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ISOVÉ TABULKY/"/>
    </mc:Choice>
  </mc:AlternateContent>
  <xr:revisionPtr revIDLastSave="185" documentId="11_5FB621A0170247079940FF35B404E14F6C4BA76E" xr6:coauthVersionLast="47" xr6:coauthVersionMax="47" xr10:uidLastSave="{7E59BF84-4464-4357-A780-AB37FE0FBC1C}"/>
  <bookViews>
    <workbookView xWindow="-120" yWindow="-120" windowWidth="29040" windowHeight="15840" firstSheet="1" activeTab="3" xr2:uid="{00000000-000D-0000-FFFF-FFFF00000000}"/>
  </bookViews>
  <sheets>
    <sheet name="Sumář_DDM" sheetId="29" state="hidden" r:id="rId1"/>
    <sheet name="SPC_stat" sheetId="21" r:id="rId2"/>
    <sheet name="SPC_rozp" sheetId="22" r:id="rId3"/>
    <sheet name="SPC_ZUKA" sheetId="32" r:id="rId4"/>
    <sheet name="normativ" sheetId="33" r:id="rId5"/>
  </sheets>
  <definedNames>
    <definedName name="_xlnm.Print_Area" localSheetId="3">SPC_ZUKA!$A$1:$T$14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1" l="1"/>
  <c r="I13" i="32" s="1"/>
  <c r="G12" i="21"/>
  <c r="G11" i="21"/>
  <c r="G10" i="21"/>
  <c r="G9" i="21"/>
  <c r="T9" i="32" s="1"/>
  <c r="G8" i="21"/>
  <c r="Q8" i="32" s="1"/>
  <c r="G7" i="21"/>
  <c r="P12" i="32"/>
  <c r="G6" i="21"/>
  <c r="A7" i="32"/>
  <c r="B7" i="32"/>
  <c r="C7" i="32"/>
  <c r="D7" i="32"/>
  <c r="I7" i="32"/>
  <c r="P7" i="32"/>
  <c r="Q7" i="32"/>
  <c r="T7" i="32"/>
  <c r="A8" i="32"/>
  <c r="B8" i="32"/>
  <c r="C8" i="32"/>
  <c r="D8" i="32"/>
  <c r="P8" i="32"/>
  <c r="A9" i="32"/>
  <c r="B9" i="32"/>
  <c r="C9" i="32"/>
  <c r="D9" i="32"/>
  <c r="Q9" i="32"/>
  <c r="A10" i="32"/>
  <c r="B10" i="32"/>
  <c r="C10" i="32"/>
  <c r="D10" i="32"/>
  <c r="I10" i="32"/>
  <c r="P10" i="32"/>
  <c r="Q10" i="32"/>
  <c r="T10" i="32"/>
  <c r="A11" i="32"/>
  <c r="B11" i="32"/>
  <c r="C11" i="32"/>
  <c r="D11" i="32"/>
  <c r="L11" i="32"/>
  <c r="A12" i="32"/>
  <c r="B12" i="32"/>
  <c r="C12" i="32"/>
  <c r="D12" i="32"/>
  <c r="T12" i="32"/>
  <c r="A13" i="32"/>
  <c r="B13" i="32"/>
  <c r="C13" i="32"/>
  <c r="D13" i="32"/>
  <c r="T13" i="32"/>
  <c r="P7" i="22"/>
  <c r="O7" i="22" s="1"/>
  <c r="P8" i="22"/>
  <c r="R8" i="22" s="1"/>
  <c r="P9" i="22"/>
  <c r="O9" i="22" s="1"/>
  <c r="O10" i="22"/>
  <c r="P10" i="22"/>
  <c r="R10" i="22"/>
  <c r="P11" i="22"/>
  <c r="O11" i="22" s="1"/>
  <c r="P12" i="22"/>
  <c r="O12" i="22" s="1"/>
  <c r="R12" i="22"/>
  <c r="P13" i="22"/>
  <c r="O13" i="22" s="1"/>
  <c r="E7" i="22"/>
  <c r="G7" i="22"/>
  <c r="L7" i="32" s="1"/>
  <c r="N7" i="32" s="1"/>
  <c r="E8" i="22"/>
  <c r="G8" i="22"/>
  <c r="L8" i="32" s="1"/>
  <c r="E9" i="22"/>
  <c r="G9" i="22"/>
  <c r="H9" i="22" s="1"/>
  <c r="E10" i="22"/>
  <c r="G10" i="22"/>
  <c r="L10" i="32" s="1"/>
  <c r="N10" i="32" s="1"/>
  <c r="E11" i="22"/>
  <c r="G11" i="22"/>
  <c r="E12" i="22"/>
  <c r="G12" i="22"/>
  <c r="L12" i="32" s="1"/>
  <c r="E13" i="22"/>
  <c r="G13" i="22"/>
  <c r="L13" i="32" s="1"/>
  <c r="A7" i="22"/>
  <c r="B7" i="22"/>
  <c r="C7" i="22"/>
  <c r="D7" i="22"/>
  <c r="A8" i="22"/>
  <c r="B8" i="22"/>
  <c r="C8" i="22"/>
  <c r="D8" i="22"/>
  <c r="A9" i="22"/>
  <c r="B9" i="22"/>
  <c r="C9" i="22"/>
  <c r="D9" i="22"/>
  <c r="A10" i="22"/>
  <c r="B10" i="22"/>
  <c r="C10" i="22"/>
  <c r="D10" i="22"/>
  <c r="A11" i="22"/>
  <c r="B11" i="22"/>
  <c r="C11" i="22"/>
  <c r="D11" i="22"/>
  <c r="A12" i="22"/>
  <c r="B12" i="22"/>
  <c r="C12" i="22"/>
  <c r="D12" i="22"/>
  <c r="A13" i="22"/>
  <c r="B13" i="22"/>
  <c r="C13" i="22"/>
  <c r="D13" i="22"/>
  <c r="J12" i="21"/>
  <c r="I12" i="21"/>
  <c r="H12" i="21"/>
  <c r="H7" i="21"/>
  <c r="I7" i="21"/>
  <c r="J7" i="21"/>
  <c r="F14" i="21"/>
  <c r="P6" i="22"/>
  <c r="R6" i="22" s="1"/>
  <c r="H8" i="21"/>
  <c r="I8" i="21"/>
  <c r="H9" i="21"/>
  <c r="I9" i="21"/>
  <c r="H10" i="21"/>
  <c r="I10" i="21"/>
  <c r="H11" i="21"/>
  <c r="I11" i="21"/>
  <c r="H13" i="21"/>
  <c r="I13" i="21"/>
  <c r="I6" i="21"/>
  <c r="H6" i="21"/>
  <c r="J9" i="21"/>
  <c r="B4" i="32"/>
  <c r="B4" i="22"/>
  <c r="A6" i="32"/>
  <c r="B6" i="32"/>
  <c r="C6" i="32"/>
  <c r="D6" i="32"/>
  <c r="A6" i="22"/>
  <c r="B6" i="22"/>
  <c r="C6" i="22"/>
  <c r="D6" i="22"/>
  <c r="B2" i="32"/>
  <c r="B1" i="32"/>
  <c r="B2" i="22"/>
  <c r="B1" i="22"/>
  <c r="J25" i="29"/>
  <c r="K25" i="29"/>
  <c r="J26" i="29"/>
  <c r="K26" i="29"/>
  <c r="J27" i="29"/>
  <c r="K27" i="29"/>
  <c r="J28" i="29"/>
  <c r="K28" i="29"/>
  <c r="J29" i="29"/>
  <c r="K29" i="29"/>
  <c r="J30" i="29"/>
  <c r="K30" i="29"/>
  <c r="J31" i="29"/>
  <c r="K31" i="29"/>
  <c r="J18" i="29"/>
  <c r="K18" i="29"/>
  <c r="K22" i="29" s="1"/>
  <c r="L22" i="29" s="1"/>
  <c r="J19" i="29"/>
  <c r="K19" i="29"/>
  <c r="J20" i="29"/>
  <c r="K20" i="29"/>
  <c r="J21" i="29"/>
  <c r="K21" i="29"/>
  <c r="L6" i="29"/>
  <c r="L7" i="29"/>
  <c r="L8" i="29"/>
  <c r="L9" i="29"/>
  <c r="L10" i="29"/>
  <c r="L11" i="29"/>
  <c r="H22" i="29"/>
  <c r="D22" i="29"/>
  <c r="D32" i="29"/>
  <c r="I32" i="29" s="1"/>
  <c r="H32" i="29"/>
  <c r="I25" i="29"/>
  <c r="D6" i="29"/>
  <c r="H6" i="29"/>
  <c r="I6" i="29" s="1"/>
  <c r="D7" i="29"/>
  <c r="E7" i="29" s="1"/>
  <c r="H7" i="29"/>
  <c r="D8" i="29"/>
  <c r="H8" i="29"/>
  <c r="D9" i="29"/>
  <c r="H9" i="29"/>
  <c r="I9" i="29" s="1"/>
  <c r="D10" i="29"/>
  <c r="H10" i="29"/>
  <c r="D11" i="29"/>
  <c r="E11" i="29" s="1"/>
  <c r="H11" i="29"/>
  <c r="I11" i="29" s="1"/>
  <c r="D5" i="29"/>
  <c r="D13" i="29" s="1"/>
  <c r="H5" i="29"/>
  <c r="G5" i="29"/>
  <c r="G13" i="29" s="1"/>
  <c r="G6" i="29"/>
  <c r="G7" i="29"/>
  <c r="I7" i="29"/>
  <c r="G8" i="29"/>
  <c r="I8" i="29" s="1"/>
  <c r="G9" i="29"/>
  <c r="G10" i="29"/>
  <c r="I10" i="29" s="1"/>
  <c r="G11" i="29"/>
  <c r="F11" i="29"/>
  <c r="F10" i="29"/>
  <c r="F9" i="29"/>
  <c r="F8" i="29"/>
  <c r="F7" i="29"/>
  <c r="F6" i="29"/>
  <c r="F5" i="29"/>
  <c r="F13" i="29" s="1"/>
  <c r="C5" i="29"/>
  <c r="C13" i="29" s="1"/>
  <c r="C6" i="29"/>
  <c r="E6" i="29"/>
  <c r="C7" i="29"/>
  <c r="C8" i="29"/>
  <c r="E8" i="29"/>
  <c r="C9" i="29"/>
  <c r="E9" i="29"/>
  <c r="C10" i="29"/>
  <c r="E10" i="29"/>
  <c r="C11" i="29"/>
  <c r="B11" i="29"/>
  <c r="B10" i="29"/>
  <c r="B9" i="29"/>
  <c r="B8" i="29"/>
  <c r="B7" i="29"/>
  <c r="B6" i="29"/>
  <c r="B5" i="29"/>
  <c r="B13" i="29" s="1"/>
  <c r="J13" i="21"/>
  <c r="G6" i="22"/>
  <c r="J6" i="21"/>
  <c r="J10" i="21"/>
  <c r="J8" i="21"/>
  <c r="J11" i="21"/>
  <c r="E6" i="22"/>
  <c r="K32" i="29"/>
  <c r="L32" i="29" s="1"/>
  <c r="J32" i="29"/>
  <c r="M32" i="29" s="1"/>
  <c r="J22" i="29"/>
  <c r="H13" i="22" l="1"/>
  <c r="L9" i="32"/>
  <c r="H10" i="22"/>
  <c r="N11" i="32"/>
  <c r="H7" i="22"/>
  <c r="O8" i="22"/>
  <c r="I7" i="22"/>
  <c r="Q13" i="32"/>
  <c r="P13" i="32"/>
  <c r="R13" i="32" s="1"/>
  <c r="N13" i="32"/>
  <c r="I13" i="22"/>
  <c r="I10" i="22"/>
  <c r="R10" i="32"/>
  <c r="P9" i="32"/>
  <c r="R9" i="32" s="1"/>
  <c r="N9" i="32"/>
  <c r="I9" i="32"/>
  <c r="I9" i="22"/>
  <c r="J9" i="22" s="1"/>
  <c r="K9" i="22" s="1"/>
  <c r="F9" i="22" s="1"/>
  <c r="K9" i="32" s="1"/>
  <c r="M9" i="32" s="1"/>
  <c r="H8" i="22"/>
  <c r="N8" i="32"/>
  <c r="I8" i="32"/>
  <c r="T8" i="32"/>
  <c r="R8" i="32"/>
  <c r="R7" i="32"/>
  <c r="R12" i="32"/>
  <c r="H12" i="22"/>
  <c r="H11" i="22"/>
  <c r="I11" i="22"/>
  <c r="J11" i="22" s="1"/>
  <c r="K11" i="22" s="1"/>
  <c r="F11" i="22" s="1"/>
  <c r="K11" i="32" s="1"/>
  <c r="M11" i="32" s="1"/>
  <c r="O11" i="32" s="1"/>
  <c r="Q12" i="32"/>
  <c r="T11" i="32"/>
  <c r="I12" i="32"/>
  <c r="Q11" i="32"/>
  <c r="I11" i="32"/>
  <c r="J7" i="22"/>
  <c r="K7" i="22" s="1"/>
  <c r="F7" i="22" s="1"/>
  <c r="K7" i="32" s="1"/>
  <c r="M7" i="32" s="1"/>
  <c r="P11" i="32"/>
  <c r="N12" i="32"/>
  <c r="I12" i="22"/>
  <c r="I8" i="22"/>
  <c r="R13" i="22"/>
  <c r="R11" i="22"/>
  <c r="R9" i="22"/>
  <c r="R7" i="22"/>
  <c r="I5" i="29"/>
  <c r="L6" i="32"/>
  <c r="N6" i="32" s="1"/>
  <c r="I6" i="22"/>
  <c r="H6" i="22"/>
  <c r="H13" i="29"/>
  <c r="I13" i="29" s="1"/>
  <c r="L5" i="29"/>
  <c r="L13" i="29" s="1"/>
  <c r="O6" i="22"/>
  <c r="L33" i="29"/>
  <c r="E13" i="29"/>
  <c r="I12" i="29"/>
  <c r="E5" i="29"/>
  <c r="E12" i="29" s="1"/>
  <c r="I6" i="32"/>
  <c r="T6" i="32"/>
  <c r="P6" i="32"/>
  <c r="Q6" i="32"/>
  <c r="G14" i="21"/>
  <c r="L11" i="22" l="1"/>
  <c r="M11" i="22" s="1"/>
  <c r="E11" i="32" s="1"/>
  <c r="F11" i="32" s="1"/>
  <c r="H11" i="32" s="1"/>
  <c r="G11" i="32" s="1"/>
  <c r="J10" i="22"/>
  <c r="K10" i="22" s="1"/>
  <c r="L10" i="22" s="1"/>
  <c r="M10" i="22" s="1"/>
  <c r="E10" i="32" s="1"/>
  <c r="J13" i="22"/>
  <c r="K13" i="22" s="1"/>
  <c r="F13" i="22" s="1"/>
  <c r="K13" i="32" s="1"/>
  <c r="M13" i="32" s="1"/>
  <c r="J13" i="32" s="1"/>
  <c r="L9" i="22"/>
  <c r="M9" i="22" s="1"/>
  <c r="E9" i="32" s="1"/>
  <c r="F9" i="32" s="1"/>
  <c r="H9" i="32" s="1"/>
  <c r="J8" i="22"/>
  <c r="K8" i="22" s="1"/>
  <c r="R11" i="32"/>
  <c r="O9" i="32"/>
  <c r="O7" i="32"/>
  <c r="J7" i="32"/>
  <c r="J11" i="32"/>
  <c r="G9" i="32"/>
  <c r="L7" i="22"/>
  <c r="M7" i="22" s="1"/>
  <c r="E7" i="32" s="1"/>
  <c r="J9" i="32"/>
  <c r="J12" i="22"/>
  <c r="K12" i="22" s="1"/>
  <c r="F12" i="22" s="1"/>
  <c r="K12" i="32" s="1"/>
  <c r="M12" i="32" s="1"/>
  <c r="F8" i="22"/>
  <c r="K8" i="32" s="1"/>
  <c r="M8" i="32" s="1"/>
  <c r="L8" i="22"/>
  <c r="M8" i="22" s="1"/>
  <c r="E8" i="32" s="1"/>
  <c r="B15" i="29"/>
  <c r="L14" i="32"/>
  <c r="I14" i="32"/>
  <c r="J6" i="22"/>
  <c r="K6" i="22" s="1"/>
  <c r="R6" i="32"/>
  <c r="Q14" i="32"/>
  <c r="H14" i="22"/>
  <c r="P14" i="32"/>
  <c r="N14" i="32"/>
  <c r="F10" i="22" l="1"/>
  <c r="K10" i="32" s="1"/>
  <c r="M10" i="32" s="1"/>
  <c r="J10" i="32" s="1"/>
  <c r="L13" i="22"/>
  <c r="M13" i="22" s="1"/>
  <c r="E13" i="32" s="1"/>
  <c r="F13" i="32" s="1"/>
  <c r="H13" i="32" s="1"/>
  <c r="O13" i="32"/>
  <c r="L12" i="22"/>
  <c r="M12" i="22" s="1"/>
  <c r="E12" i="32" s="1"/>
  <c r="F12" i="32" s="1"/>
  <c r="H12" i="32" s="1"/>
  <c r="G12" i="32" s="1"/>
  <c r="O12" i="32"/>
  <c r="J12" i="32"/>
  <c r="F8" i="32"/>
  <c r="H8" i="32" s="1"/>
  <c r="F7" i="32"/>
  <c r="H7" i="32" s="1"/>
  <c r="J8" i="32"/>
  <c r="O8" i="32"/>
  <c r="F10" i="32"/>
  <c r="H10" i="32" s="1"/>
  <c r="G13" i="32"/>
  <c r="I14" i="22"/>
  <c r="F6" i="22"/>
  <c r="K6" i="32" s="1"/>
  <c r="M6" i="32" s="1"/>
  <c r="R14" i="32"/>
  <c r="L6" i="22"/>
  <c r="M6" i="22" s="1"/>
  <c r="O10" i="32" l="1"/>
  <c r="G10" i="32"/>
  <c r="G7" i="32"/>
  <c r="G8" i="32"/>
  <c r="K14" i="32"/>
  <c r="L14" i="22"/>
  <c r="M14" i="22"/>
  <c r="E6" i="32"/>
  <c r="F6" i="32" s="1"/>
  <c r="H6" i="32" s="1"/>
  <c r="J6" i="32"/>
  <c r="M14" i="32"/>
  <c r="O6" i="32"/>
  <c r="J14" i="32" l="1"/>
  <c r="R15" i="32" s="1"/>
  <c r="O14" i="32"/>
  <c r="O15" i="32" s="1"/>
  <c r="E14" i="32"/>
  <c r="F14" i="32" l="1"/>
  <c r="H15" i="32" l="1"/>
  <c r="G15" i="32"/>
  <c r="H14" i="32"/>
  <c r="G6" i="32"/>
  <c r="G14" i="32" s="1"/>
</calcChain>
</file>

<file path=xl/sharedStrings.xml><?xml version="1.0" encoding="utf-8"?>
<sst xmlns="http://schemas.openxmlformats.org/spreadsheetml/2006/main" count="158" uniqueCount="100">
  <si>
    <t>Sumář DDM</t>
  </si>
  <si>
    <t>Pn</t>
  </si>
  <si>
    <t>Psk</t>
  </si>
  <si>
    <t>Ped</t>
  </si>
  <si>
    <t>rozdíl</t>
  </si>
  <si>
    <t>On</t>
  </si>
  <si>
    <t>Osk</t>
  </si>
  <si>
    <t>Ost</t>
  </si>
  <si>
    <t>Limit MP</t>
  </si>
  <si>
    <t xml:space="preserve">Odvody </t>
  </si>
  <si>
    <t>ONIV celkem</t>
  </si>
  <si>
    <t>NIV celkem</t>
  </si>
  <si>
    <t>LB</t>
  </si>
  <si>
    <t>FR</t>
  </si>
  <si>
    <t>CL</t>
  </si>
  <si>
    <t>NB</t>
  </si>
  <si>
    <t>SM</t>
  </si>
  <si>
    <t>JI</t>
  </si>
  <si>
    <t>TU</t>
  </si>
  <si>
    <t>CELKEM</t>
  </si>
  <si>
    <t>Ped+Ost</t>
  </si>
  <si>
    <t>Potenc.klienti</t>
  </si>
  <si>
    <t>DDM Krajské</t>
  </si>
  <si>
    <t>JAB</t>
  </si>
  <si>
    <t>TAN</t>
  </si>
  <si>
    <t>ZB</t>
  </si>
  <si>
    <t>DDM Obecní</t>
  </si>
  <si>
    <t>TUR</t>
  </si>
  <si>
    <t xml:space="preserve"> </t>
  </si>
  <si>
    <t xml:space="preserve">Speciálně pedagogická centra </t>
  </si>
  <si>
    <t>KRAJ - Liberecký</t>
  </si>
  <si>
    <t>Statistické údaje</t>
  </si>
  <si>
    <t>číselník KÚ</t>
  </si>
  <si>
    <t>ředitelství školy</t>
  </si>
  <si>
    <t>§</t>
  </si>
  <si>
    <t>součást</t>
  </si>
  <si>
    <t>upravený normativ</t>
  </si>
  <si>
    <t>Np</t>
  </si>
  <si>
    <t>No</t>
  </si>
  <si>
    <t>ONIV</t>
  </si>
  <si>
    <t>ZŠ a MŠ pro tělesně postižené, Liberec, Lužická 920/7</t>
  </si>
  <si>
    <t>ZŠ, Jablonec n. N., Liberecká 1734/31</t>
  </si>
  <si>
    <t>ZŠ a MŠ při nemocnici, Liberec, Husova 357/10</t>
  </si>
  <si>
    <t>Pedagogicko-psychologická poradna a speciálně pedagogické centrum, Semily, Nádražní 213</t>
  </si>
  <si>
    <t>SPC logopedické a surdopedické, Liberec, E. Krásnohorské 921</t>
  </si>
  <si>
    <t>X</t>
  </si>
  <si>
    <t>celkem</t>
  </si>
  <si>
    <t>Rozpočet</t>
  </si>
  <si>
    <t>Průměrný krajský měsíční plat ped. z P1-04</t>
  </si>
  <si>
    <t>Použitý měsíční plat pedagoga</t>
  </si>
  <si>
    <t>Použitý měsíční plat nepedagoga z P1-04</t>
  </si>
  <si>
    <t>Částka na 1 klienta z průměrného platu PED</t>
  </si>
  <si>
    <t>Částka na 1 klienta ze skutečného platu PED</t>
  </si>
  <si>
    <t>Opravný koeficient</t>
  </si>
  <si>
    <t xml:space="preserve">Základní částka na 1 klienta </t>
  </si>
  <si>
    <t>Finance pro klienty PPP</t>
  </si>
  <si>
    <t>Celkem NIV</t>
  </si>
  <si>
    <t xml:space="preserve">Skutečný průměrný plat s NNS </t>
  </si>
  <si>
    <t>průměrný plat bez NNS</t>
  </si>
  <si>
    <t>z toho tarify</t>
  </si>
  <si>
    <t>ostatní nárok.složky</t>
  </si>
  <si>
    <t>x</t>
  </si>
  <si>
    <t>Závazné ukazatele</t>
  </si>
  <si>
    <t>Kontrolní hodnoty</t>
  </si>
  <si>
    <t>mzdové prostředky</t>
  </si>
  <si>
    <t>odvody</t>
  </si>
  <si>
    <t>FKSP</t>
  </si>
  <si>
    <t>limit pracovníků</t>
  </si>
  <si>
    <t>částka na 1 klienta na pedagoga</t>
  </si>
  <si>
    <t xml:space="preserve">částka na 1 klienta na nepedagoga </t>
  </si>
  <si>
    <t>MP pro pedagogy</t>
  </si>
  <si>
    <t>MP pro nepedagogy</t>
  </si>
  <si>
    <t>MP celkem</t>
  </si>
  <si>
    <t>kontrolní hodnota LP</t>
  </si>
  <si>
    <t>rozvaha</t>
  </si>
  <si>
    <t>výkony</t>
  </si>
  <si>
    <t>Normativy SPC</t>
  </si>
  <si>
    <t xml:space="preserve">Np </t>
  </si>
  <si>
    <t xml:space="preserve">průměrný krajský měsíční plat pedagoga </t>
  </si>
  <si>
    <t xml:space="preserve">No </t>
  </si>
  <si>
    <t>z toho nenárokové složky pedagoga</t>
  </si>
  <si>
    <t>průměrný měsíční plat nepegagoga</t>
  </si>
  <si>
    <t>ONIV normativní</t>
  </si>
  <si>
    <t>klienti 2023/24</t>
  </si>
  <si>
    <t>Druh zdravotního postižení, pro něž je centrum určeno:</t>
  </si>
  <si>
    <t>druh</t>
  </si>
  <si>
    <t>koeficient</t>
  </si>
  <si>
    <t>souběžné postižení více vadami</t>
  </si>
  <si>
    <t>zrakové postižení</t>
  </si>
  <si>
    <t>tělesné postižení</t>
  </si>
  <si>
    <t>různé druhy postižení</t>
  </si>
  <si>
    <t>vady řeči</t>
  </si>
  <si>
    <t>autismus</t>
  </si>
  <si>
    <t>druh postižení</t>
  </si>
  <si>
    <t>místo</t>
  </si>
  <si>
    <t>Liberec</t>
  </si>
  <si>
    <t>Jablonec n/N</t>
  </si>
  <si>
    <t>Turnov</t>
  </si>
  <si>
    <t>Česká Lípa</t>
  </si>
  <si>
    <t>Semily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</si>
</sst>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"/>
    <numFmt numFmtId="165" formatCode="0.000"/>
  </numFmts>
  <fonts count="2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6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6"/>
      <name val="Arial CE"/>
      <family val="2"/>
      <charset val="238"/>
    </font>
    <font>
      <sz val="7"/>
      <name val="Arial CE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sz val="9"/>
      <name val="Arial CE"/>
      <charset val="238"/>
    </font>
    <font>
      <sz val="8"/>
      <color indexed="12"/>
      <name val="Arial CE"/>
      <family val="2"/>
      <charset val="238"/>
    </font>
    <font>
      <b/>
      <sz val="11"/>
      <name val="Arial CE"/>
      <charset val="238"/>
    </font>
    <font>
      <sz val="8"/>
      <color indexed="53"/>
      <name val="Arial CE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sz val="8"/>
      <color indexed="9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1" fillId="0" borderId="0"/>
    <xf numFmtId="0" fontId="1" fillId="0" borderId="0"/>
  </cellStyleXfs>
  <cellXfs count="120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2" fontId="2" fillId="0" borderId="1" xfId="0" applyNumberFormat="1" applyFont="1" applyBorder="1"/>
    <xf numFmtId="2" fontId="2" fillId="0" borderId="0" xfId="0" applyNumberFormat="1" applyFont="1"/>
    <xf numFmtId="3" fontId="2" fillId="0" borderId="0" xfId="0" applyNumberFormat="1" applyFont="1"/>
    <xf numFmtId="0" fontId="7" fillId="0" borderId="0" xfId="0" applyFont="1"/>
    <xf numFmtId="2" fontId="6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0" xfId="0" applyFont="1"/>
    <xf numFmtId="2" fontId="8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2" borderId="5" xfId="0" applyFont="1" applyFill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8" fillId="2" borderId="1" xfId="0" applyNumberFormat="1" applyFont="1" applyFill="1" applyBorder="1"/>
    <xf numFmtId="2" fontId="8" fillId="2" borderId="8" xfId="0" applyNumberFormat="1" applyFont="1" applyFill="1" applyBorder="1"/>
    <xf numFmtId="2" fontId="8" fillId="0" borderId="1" xfId="0" applyNumberFormat="1" applyFont="1" applyBorder="1"/>
    <xf numFmtId="0" fontId="8" fillId="0" borderId="0" xfId="0" applyFont="1" applyAlignment="1">
      <alignment horizontal="center"/>
    </xf>
    <xf numFmtId="0" fontId="8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2" borderId="10" xfId="0" applyFont="1" applyFill="1" applyBorder="1"/>
    <xf numFmtId="0" fontId="8" fillId="0" borderId="11" xfId="0" applyFont="1" applyBorder="1"/>
    <xf numFmtId="0" fontId="8" fillId="0" borderId="12" xfId="0" applyFont="1" applyBorder="1"/>
    <xf numFmtId="2" fontId="8" fillId="0" borderId="13" xfId="0" applyNumberFormat="1" applyFont="1" applyBorder="1"/>
    <xf numFmtId="2" fontId="4" fillId="0" borderId="14" xfId="0" applyNumberFormat="1" applyFont="1" applyBorder="1"/>
    <xf numFmtId="0" fontId="8" fillId="0" borderId="14" xfId="0" applyFont="1" applyBorder="1"/>
    <xf numFmtId="2" fontId="8" fillId="0" borderId="15" xfId="0" applyNumberFormat="1" applyFont="1" applyBorder="1"/>
    <xf numFmtId="2" fontId="8" fillId="0" borderId="8" xfId="0" applyNumberFormat="1" applyFont="1" applyBorder="1"/>
    <xf numFmtId="0" fontId="8" fillId="0" borderId="8" xfId="0" applyFont="1" applyBorder="1"/>
    <xf numFmtId="0" fontId="8" fillId="0" borderId="16" xfId="0" applyFont="1" applyBorder="1"/>
    <xf numFmtId="2" fontId="8" fillId="0" borderId="2" xfId="0" applyNumberFormat="1" applyFont="1" applyBorder="1"/>
    <xf numFmtId="2" fontId="8" fillId="0" borderId="3" xfId="0" applyNumberFormat="1" applyFont="1" applyBorder="1"/>
    <xf numFmtId="2" fontId="4" fillId="0" borderId="3" xfId="0" applyNumberFormat="1" applyFont="1" applyBorder="1"/>
    <xf numFmtId="2" fontId="8" fillId="2" borderId="3" xfId="0" applyNumberFormat="1" applyFont="1" applyFill="1" applyBorder="1"/>
    <xf numFmtId="1" fontId="8" fillId="0" borderId="1" xfId="0" applyNumberFormat="1" applyFont="1" applyBorder="1"/>
    <xf numFmtId="1" fontId="4" fillId="0" borderId="3" xfId="0" applyNumberFormat="1" applyFont="1" applyBorder="1"/>
    <xf numFmtId="3" fontId="4" fillId="0" borderId="0" xfId="0" applyNumberFormat="1" applyFont="1" applyAlignment="1">
      <alignment horizontal="left" wrapText="1"/>
    </xf>
    <xf numFmtId="0" fontId="9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vertical="center" textRotation="90" wrapText="1"/>
    </xf>
    <xf numFmtId="4" fontId="2" fillId="0" borderId="1" xfId="0" applyNumberFormat="1" applyFont="1" applyBorder="1"/>
    <xf numFmtId="3" fontId="2" fillId="0" borderId="1" xfId="0" applyNumberFormat="1" applyFont="1" applyBorder="1"/>
    <xf numFmtId="1" fontId="2" fillId="0" borderId="1" xfId="0" applyNumberFormat="1" applyFont="1" applyBorder="1"/>
    <xf numFmtId="0" fontId="8" fillId="0" borderId="0" xfId="0" applyFont="1" applyAlignment="1">
      <alignment horizontal="right"/>
    </xf>
    <xf numFmtId="0" fontId="2" fillId="0" borderId="1" xfId="0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3" fontId="11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0" fillId="0" borderId="1" xfId="0" applyBorder="1"/>
    <xf numFmtId="3" fontId="1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2" fontId="4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3" fontId="8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/>
    <xf numFmtId="0" fontId="15" fillId="0" borderId="0" xfId="0" applyFont="1"/>
    <xf numFmtId="14" fontId="15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6" fillId="0" borderId="0" xfId="0" applyFont="1"/>
    <xf numFmtId="0" fontId="2" fillId="0" borderId="1" xfId="2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4" fillId="0" borderId="0" xfId="0" applyFont="1"/>
    <xf numFmtId="3" fontId="20" fillId="0" borderId="1" xfId="0" applyNumberFormat="1" applyFont="1" applyBorder="1"/>
    <xf numFmtId="4" fontId="4" fillId="3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10" fontId="2" fillId="0" borderId="1" xfId="0" applyNumberFormat="1" applyFont="1" applyBorder="1"/>
    <xf numFmtId="4" fontId="3" fillId="3" borderId="9" xfId="0" applyNumberFormat="1" applyFont="1" applyFill="1" applyBorder="1"/>
    <xf numFmtId="0" fontId="10" fillId="4" borderId="0" xfId="0" applyFont="1" applyFill="1" applyAlignment="1">
      <alignment horizontal="center" vertical="center" textRotation="90" wrapText="1"/>
    </xf>
    <xf numFmtId="4" fontId="4" fillId="0" borderId="0" xfId="0" applyNumberFormat="1" applyFont="1"/>
    <xf numFmtId="165" fontId="21" fillId="5" borderId="20" xfId="1" applyNumberFormat="1" applyFill="1" applyBorder="1" applyAlignment="1">
      <alignment horizontal="right"/>
    </xf>
    <xf numFmtId="165" fontId="21" fillId="5" borderId="21" xfId="0" applyNumberFormat="1" applyFont="1" applyFill="1" applyBorder="1" applyAlignment="1">
      <alignment horizontal="right"/>
    </xf>
    <xf numFmtId="165" fontId="21" fillId="5" borderId="21" xfId="0" applyNumberFormat="1" applyFont="1" applyFill="1" applyBorder="1"/>
    <xf numFmtId="3" fontId="2" fillId="4" borderId="1" xfId="0" applyNumberFormat="1" applyFont="1" applyFill="1" applyBorder="1"/>
    <xf numFmtId="1" fontId="2" fillId="4" borderId="1" xfId="0" applyNumberFormat="1" applyFont="1" applyFill="1" applyBorder="1"/>
    <xf numFmtId="0" fontId="23" fillId="0" borderId="0" xfId="0" applyFont="1"/>
    <xf numFmtId="4" fontId="4" fillId="3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/>
    <xf numFmtId="0" fontId="22" fillId="0" borderId="0" xfId="0" applyFont="1"/>
    <xf numFmtId="0" fontId="21" fillId="0" borderId="21" xfId="0" applyFont="1" applyBorder="1"/>
    <xf numFmtId="0" fontId="2" fillId="0" borderId="17" xfId="0" applyFont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3">
    <cellStyle name="Normální" xfId="0" builtinId="0"/>
    <cellStyle name="normální_13_ostatní" xfId="1" xr:uid="{00000000-0005-0000-0000-000001000000}"/>
    <cellStyle name="normální_Lis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opLeftCell="A14" workbookViewId="0">
      <selection activeCell="K25" sqref="K25"/>
    </sheetView>
  </sheetViews>
  <sheetFormatPr defaultColWidth="8.7109375" defaultRowHeight="18" customHeight="1" x14ac:dyDescent="0.2"/>
  <cols>
    <col min="1" max="9" width="8.7109375" style="1" customWidth="1"/>
    <col min="10" max="10" width="9.85546875" style="1" customWidth="1"/>
    <col min="11" max="11" width="10.42578125" style="1" customWidth="1"/>
    <col min="12" max="12" width="11" style="1" customWidth="1"/>
    <col min="13" max="13" width="12.28515625" style="1" customWidth="1"/>
    <col min="14" max="16384" width="8.7109375" style="1"/>
  </cols>
  <sheetData>
    <row r="1" spans="1:13" s="18" customFormat="1" ht="18" customHeight="1" x14ac:dyDescent="0.2">
      <c r="A1" s="18" t="s">
        <v>0</v>
      </c>
    </row>
    <row r="2" spans="1:13" s="18" customFormat="1" ht="18" customHeight="1" thickBot="1" x14ac:dyDescent="0.25"/>
    <row r="3" spans="1:13" s="18" customFormat="1" ht="18" customHeight="1" thickBot="1" x14ac:dyDescent="0.25"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1" t="s">
        <v>6</v>
      </c>
      <c r="H3" s="25" t="s">
        <v>7</v>
      </c>
      <c r="I3" s="23" t="s">
        <v>4</v>
      </c>
      <c r="J3" s="31" t="s">
        <v>8</v>
      </c>
      <c r="K3" s="32" t="s">
        <v>9</v>
      </c>
      <c r="L3" s="32" t="s">
        <v>10</v>
      </c>
      <c r="M3" s="33" t="s">
        <v>11</v>
      </c>
    </row>
    <row r="4" spans="1:13" s="18" customFormat="1" ht="18" customHeight="1" x14ac:dyDescent="0.2">
      <c r="B4" s="37"/>
      <c r="C4" s="35"/>
      <c r="D4" s="35"/>
      <c r="E4" s="36"/>
      <c r="F4" s="35"/>
      <c r="G4" s="35"/>
      <c r="H4" s="35"/>
      <c r="I4" s="36"/>
      <c r="J4" s="35"/>
      <c r="K4" s="35"/>
      <c r="L4" s="35"/>
      <c r="M4" s="38"/>
    </row>
    <row r="5" spans="1:13" s="18" customFormat="1" ht="18" customHeight="1" x14ac:dyDescent="0.2">
      <c r="A5" s="18" t="s">
        <v>12</v>
      </c>
      <c r="B5" s="39">
        <f>SPC_ZUKA!W14</f>
        <v>0</v>
      </c>
      <c r="C5" s="28" t="e">
        <f>SPC_stat!#REF!</f>
        <v>#REF!</v>
      </c>
      <c r="D5" s="28" t="e">
        <f>SPC_stat!#REF!</f>
        <v>#REF!</v>
      </c>
      <c r="E5" s="26" t="e">
        <f>D5-C5</f>
        <v>#REF!</v>
      </c>
      <c r="F5" s="28">
        <f>SPC_ZUKA!X14</f>
        <v>0</v>
      </c>
      <c r="G5" s="28">
        <f>SPC_ZUKA!T14</f>
        <v>0</v>
      </c>
      <c r="H5" s="28">
        <f>SPC_ZUKA!U14</f>
        <v>0</v>
      </c>
      <c r="I5" s="26">
        <f>H5-G5</f>
        <v>0</v>
      </c>
      <c r="J5" s="28"/>
      <c r="K5" s="28"/>
      <c r="L5" s="50">
        <f>SPC_rozp!O9</f>
        <v>51792</v>
      </c>
      <c r="M5" s="40"/>
    </row>
    <row r="6" spans="1:13" s="18" customFormat="1" ht="18" customHeight="1" x14ac:dyDescent="0.2">
      <c r="A6" s="18" t="s">
        <v>13</v>
      </c>
      <c r="B6" s="39" t="e">
        <f>#REF!</f>
        <v>#REF!</v>
      </c>
      <c r="C6" s="28" t="e">
        <f>#REF!</f>
        <v>#REF!</v>
      </c>
      <c r="D6" s="28" t="e">
        <f>#REF!</f>
        <v>#REF!</v>
      </c>
      <c r="E6" s="26" t="e">
        <f t="shared" ref="E6:E13" si="0">D6-C6</f>
        <v>#REF!</v>
      </c>
      <c r="F6" s="28" t="e">
        <f>#REF!</f>
        <v>#REF!</v>
      </c>
      <c r="G6" s="28" t="e">
        <f>#REF!</f>
        <v>#REF!</v>
      </c>
      <c r="H6" s="28" t="e">
        <f>#REF!</f>
        <v>#REF!</v>
      </c>
      <c r="I6" s="26" t="e">
        <f t="shared" ref="I6:I13" si="1">H6-G6</f>
        <v>#REF!</v>
      </c>
      <c r="J6" s="28"/>
      <c r="K6" s="28"/>
      <c r="L6" s="50" t="e">
        <f>#REF!</f>
        <v>#REF!</v>
      </c>
      <c r="M6" s="41"/>
    </row>
    <row r="7" spans="1:13" s="18" customFormat="1" ht="18" customHeight="1" x14ac:dyDescent="0.2">
      <c r="A7" s="18" t="s">
        <v>14</v>
      </c>
      <c r="B7" s="39" t="e">
        <f>#REF!</f>
        <v>#REF!</v>
      </c>
      <c r="C7" s="28" t="e">
        <f>#REF!</f>
        <v>#REF!</v>
      </c>
      <c r="D7" s="28" t="e">
        <f>#REF!</f>
        <v>#REF!</v>
      </c>
      <c r="E7" s="26" t="e">
        <f t="shared" si="0"/>
        <v>#REF!</v>
      </c>
      <c r="F7" s="28" t="e">
        <f>#REF!</f>
        <v>#REF!</v>
      </c>
      <c r="G7" s="28" t="e">
        <f>#REF!</f>
        <v>#REF!</v>
      </c>
      <c r="H7" s="28" t="e">
        <f>#REF!</f>
        <v>#REF!</v>
      </c>
      <c r="I7" s="26" t="e">
        <f t="shared" si="1"/>
        <v>#REF!</v>
      </c>
      <c r="J7" s="28"/>
      <c r="K7" s="28"/>
      <c r="L7" s="50" t="e">
        <f>#REF!</f>
        <v>#REF!</v>
      </c>
      <c r="M7" s="41"/>
    </row>
    <row r="8" spans="1:13" s="18" customFormat="1" ht="18" customHeight="1" x14ac:dyDescent="0.2">
      <c r="A8" s="18" t="s">
        <v>15</v>
      </c>
      <c r="B8" s="39" t="e">
        <f>#REF!</f>
        <v>#REF!</v>
      </c>
      <c r="C8" s="28" t="e">
        <f>#REF!</f>
        <v>#REF!</v>
      </c>
      <c r="D8" s="28" t="e">
        <f>#REF!</f>
        <v>#REF!</v>
      </c>
      <c r="E8" s="26" t="e">
        <f t="shared" si="0"/>
        <v>#REF!</v>
      </c>
      <c r="F8" s="28" t="e">
        <f>#REF!</f>
        <v>#REF!</v>
      </c>
      <c r="G8" s="28" t="e">
        <f>#REF!</f>
        <v>#REF!</v>
      </c>
      <c r="H8" s="28" t="e">
        <f>#REF!</f>
        <v>#REF!</v>
      </c>
      <c r="I8" s="26" t="e">
        <f t="shared" si="1"/>
        <v>#REF!</v>
      </c>
      <c r="J8" s="28"/>
      <c r="K8" s="28"/>
      <c r="L8" s="50" t="e">
        <f>#REF!</f>
        <v>#REF!</v>
      </c>
      <c r="M8" s="41"/>
    </row>
    <row r="9" spans="1:13" s="18" customFormat="1" ht="18" customHeight="1" x14ac:dyDescent="0.2">
      <c r="A9" s="18" t="s">
        <v>16</v>
      </c>
      <c r="B9" s="39" t="e">
        <f>#REF!</f>
        <v>#REF!</v>
      </c>
      <c r="C9" s="28" t="e">
        <f>#REF!</f>
        <v>#REF!</v>
      </c>
      <c r="D9" s="28" t="e">
        <f>#REF!</f>
        <v>#REF!</v>
      </c>
      <c r="E9" s="26" t="e">
        <f t="shared" si="0"/>
        <v>#REF!</v>
      </c>
      <c r="F9" s="28" t="e">
        <f>#REF!</f>
        <v>#REF!</v>
      </c>
      <c r="G9" s="28" t="e">
        <f>#REF!</f>
        <v>#REF!</v>
      </c>
      <c r="H9" s="28" t="e">
        <f>#REF!</f>
        <v>#REF!</v>
      </c>
      <c r="I9" s="26" t="e">
        <f t="shared" si="1"/>
        <v>#REF!</v>
      </c>
      <c r="J9" s="28"/>
      <c r="K9" s="28"/>
      <c r="L9" s="50" t="e">
        <f>#REF!</f>
        <v>#REF!</v>
      </c>
      <c r="M9" s="41"/>
    </row>
    <row r="10" spans="1:13" s="18" customFormat="1" ht="18" customHeight="1" x14ac:dyDescent="0.2">
      <c r="A10" s="18" t="s">
        <v>17</v>
      </c>
      <c r="B10" s="39" t="e">
        <f>#REF!</f>
        <v>#REF!</v>
      </c>
      <c r="C10" s="28" t="e">
        <f>#REF!</f>
        <v>#REF!</v>
      </c>
      <c r="D10" s="28" t="e">
        <f>#REF!</f>
        <v>#REF!</v>
      </c>
      <c r="E10" s="26" t="e">
        <f t="shared" si="0"/>
        <v>#REF!</v>
      </c>
      <c r="F10" s="28" t="e">
        <f>#REF!</f>
        <v>#REF!</v>
      </c>
      <c r="G10" s="28" t="e">
        <f>#REF!</f>
        <v>#REF!</v>
      </c>
      <c r="H10" s="28" t="e">
        <f>#REF!</f>
        <v>#REF!</v>
      </c>
      <c r="I10" s="26" t="e">
        <f t="shared" si="1"/>
        <v>#REF!</v>
      </c>
      <c r="J10" s="28"/>
      <c r="K10" s="28"/>
      <c r="L10" s="50" t="e">
        <f>#REF!</f>
        <v>#REF!</v>
      </c>
      <c r="M10" s="41"/>
    </row>
    <row r="11" spans="1:13" s="18" customFormat="1" ht="18" customHeight="1" x14ac:dyDescent="0.2">
      <c r="A11" s="18" t="s">
        <v>18</v>
      </c>
      <c r="B11" s="39" t="e">
        <f>#REF!</f>
        <v>#REF!</v>
      </c>
      <c r="C11" s="28" t="e">
        <f>#REF!</f>
        <v>#REF!</v>
      </c>
      <c r="D11" s="28" t="e">
        <f>#REF!</f>
        <v>#REF!</v>
      </c>
      <c r="E11" s="26" t="e">
        <f t="shared" si="0"/>
        <v>#REF!</v>
      </c>
      <c r="F11" s="28" t="e">
        <f>#REF!</f>
        <v>#REF!</v>
      </c>
      <c r="G11" s="28" t="e">
        <f>#REF!</f>
        <v>#REF!</v>
      </c>
      <c r="H11" s="28" t="e">
        <f>#REF!</f>
        <v>#REF!</v>
      </c>
      <c r="I11" s="26" t="e">
        <f t="shared" si="1"/>
        <v>#REF!</v>
      </c>
      <c r="J11" s="28"/>
      <c r="K11" s="28"/>
      <c r="L11" s="50" t="e">
        <f>#REF!</f>
        <v>#REF!</v>
      </c>
      <c r="M11" s="41"/>
    </row>
    <row r="12" spans="1:13" s="18" customFormat="1" ht="18" customHeight="1" thickBot="1" x14ac:dyDescent="0.25">
      <c r="B12" s="42"/>
      <c r="C12" s="43"/>
      <c r="D12" s="43"/>
      <c r="E12" s="27" t="e">
        <f>SUM(E5:E11)</f>
        <v>#REF!</v>
      </c>
      <c r="F12" s="43"/>
      <c r="G12" s="43"/>
      <c r="H12" s="43"/>
      <c r="I12" s="27" t="e">
        <f>SUM(I5:I11)</f>
        <v>#REF!</v>
      </c>
      <c r="J12" s="44"/>
      <c r="K12" s="44"/>
      <c r="L12" s="44"/>
      <c r="M12" s="45"/>
    </row>
    <row r="13" spans="1:13" s="18" customFormat="1" ht="18" customHeight="1" thickBot="1" x14ac:dyDescent="0.25">
      <c r="A13" s="34" t="s">
        <v>19</v>
      </c>
      <c r="B13" s="46" t="e">
        <f>SUM(B5:B11)</f>
        <v>#REF!</v>
      </c>
      <c r="C13" s="47" t="e">
        <f>SUM(C5:C11)</f>
        <v>#REF!</v>
      </c>
      <c r="D13" s="48" t="e">
        <f>SUM(D5:D11)</f>
        <v>#REF!</v>
      </c>
      <c r="E13" s="49" t="e">
        <f t="shared" si="0"/>
        <v>#REF!</v>
      </c>
      <c r="F13" s="47" t="e">
        <f>SUM(F5:F11)</f>
        <v>#REF!</v>
      </c>
      <c r="G13" s="47" t="e">
        <f>SUM(G5:G11)</f>
        <v>#REF!</v>
      </c>
      <c r="H13" s="48" t="e">
        <f>SUM(H5:H11)</f>
        <v>#REF!</v>
      </c>
      <c r="I13" s="49" t="e">
        <f t="shared" si="1"/>
        <v>#REF!</v>
      </c>
      <c r="J13" s="48"/>
      <c r="K13" s="48"/>
      <c r="L13" s="51" t="e">
        <f>SUM(L5:L12)</f>
        <v>#REF!</v>
      </c>
      <c r="M13" s="30"/>
    </row>
    <row r="14" spans="1:13" s="18" customFormat="1" ht="18" customHeight="1" x14ac:dyDescent="0.2">
      <c r="F14" s="29"/>
      <c r="G14" s="29"/>
    </row>
    <row r="15" spans="1:13" s="18" customFormat="1" ht="18" customHeight="1" x14ac:dyDescent="0.2">
      <c r="A15" s="18" t="s">
        <v>19</v>
      </c>
      <c r="B15" s="16" t="e">
        <f>D13+H13</f>
        <v>#REF!</v>
      </c>
      <c r="F15" s="29"/>
      <c r="G15" s="29"/>
    </row>
    <row r="16" spans="1:13" ht="18" customHeight="1" x14ac:dyDescent="0.2">
      <c r="A16" s="13"/>
      <c r="B16" s="14"/>
      <c r="F16" s="4"/>
      <c r="G16" s="4"/>
    </row>
    <row r="17" spans="1:13" ht="18" customHeight="1" x14ac:dyDescent="0.2">
      <c r="B17" s="3"/>
      <c r="C17" s="3"/>
      <c r="D17" s="3" t="s">
        <v>3</v>
      </c>
      <c r="F17" s="4"/>
      <c r="G17" s="4"/>
      <c r="H17" s="17" t="s">
        <v>7</v>
      </c>
      <c r="J17" s="17" t="s">
        <v>20</v>
      </c>
      <c r="K17" s="1" t="s">
        <v>21</v>
      </c>
    </row>
    <row r="18" spans="1:13" ht="18" customHeight="1" x14ac:dyDescent="0.2">
      <c r="A18" s="1" t="s">
        <v>22</v>
      </c>
      <c r="C18" s="1" t="s">
        <v>12</v>
      </c>
      <c r="D18" s="11">
        <v>31.55</v>
      </c>
      <c r="F18" s="4"/>
      <c r="G18" s="4"/>
      <c r="H18" s="11">
        <v>10.71</v>
      </c>
      <c r="I18" s="16"/>
      <c r="J18" s="11">
        <f>D18+H18</f>
        <v>42.260000000000005</v>
      </c>
      <c r="K18" s="11">
        <f>ROUND($D$35*J18,2)</f>
        <v>22039.35</v>
      </c>
    </row>
    <row r="19" spans="1:13" ht="18" customHeight="1" x14ac:dyDescent="0.2">
      <c r="C19" s="1" t="s">
        <v>23</v>
      </c>
      <c r="D19" s="11">
        <v>8.2100000000000009</v>
      </c>
      <c r="F19" s="4"/>
      <c r="G19" s="4"/>
      <c r="H19" s="11">
        <v>2.6</v>
      </c>
      <c r="J19" s="11">
        <f>D19+H19</f>
        <v>10.81</v>
      </c>
      <c r="K19" s="11">
        <f>ROUND($D$35*J19,2)</f>
        <v>5637.61</v>
      </c>
    </row>
    <row r="20" spans="1:13" ht="18" customHeight="1" x14ac:dyDescent="0.2">
      <c r="C20" s="1" t="s">
        <v>24</v>
      </c>
      <c r="D20" s="11">
        <v>5.3</v>
      </c>
      <c r="F20" s="4"/>
      <c r="G20" s="4"/>
      <c r="H20" s="11">
        <v>1</v>
      </c>
      <c r="J20" s="11">
        <f>D20+H20</f>
        <v>6.3</v>
      </c>
      <c r="K20" s="11">
        <f>ROUND($D$35*J20,2)</f>
        <v>3285.56</v>
      </c>
    </row>
    <row r="21" spans="1:13" ht="18" customHeight="1" x14ac:dyDescent="0.2">
      <c r="C21" s="1" t="s">
        <v>25</v>
      </c>
      <c r="D21" s="11">
        <v>3.36</v>
      </c>
      <c r="F21" s="4"/>
      <c r="G21" s="4"/>
      <c r="H21" s="11">
        <v>1.3</v>
      </c>
      <c r="J21" s="11">
        <f>D21+H21</f>
        <v>4.66</v>
      </c>
      <c r="K21" s="11">
        <f>ROUND($D$35*J21,2)</f>
        <v>2430.27</v>
      </c>
    </row>
    <row r="22" spans="1:13" ht="18" customHeight="1" x14ac:dyDescent="0.2">
      <c r="B22" s="3"/>
      <c r="C22" s="3"/>
      <c r="D22" s="15">
        <f>SUM(D18:D21)</f>
        <v>48.42</v>
      </c>
      <c r="F22" s="4"/>
      <c r="G22" s="4"/>
      <c r="H22" s="16">
        <f>SUM(H18:H21)</f>
        <v>15.610000000000001</v>
      </c>
      <c r="I22" s="16"/>
      <c r="J22" s="16">
        <f>SUM(J18:J21)</f>
        <v>64.03</v>
      </c>
      <c r="K22" s="16">
        <f>SUM(K18:K21)</f>
        <v>33392.79</v>
      </c>
      <c r="L22" s="11">
        <f>K22*6</f>
        <v>200356.74</v>
      </c>
    </row>
    <row r="23" spans="1:13" ht="18" customHeight="1" x14ac:dyDescent="0.2">
      <c r="B23" s="5"/>
      <c r="C23" s="5"/>
      <c r="E23" s="5"/>
      <c r="F23" s="4"/>
      <c r="G23" s="4"/>
      <c r="K23" s="11"/>
    </row>
    <row r="24" spans="1:13" ht="18" customHeight="1" x14ac:dyDescent="0.2">
      <c r="A24" s="1" t="s">
        <v>26</v>
      </c>
      <c r="B24" s="5"/>
      <c r="C24" s="5"/>
      <c r="D24" s="5"/>
      <c r="E24" s="5"/>
      <c r="F24" s="4"/>
      <c r="G24" s="4"/>
    </row>
    <row r="25" spans="1:13" ht="18" customHeight="1" x14ac:dyDescent="0.2">
      <c r="C25" s="1" t="s">
        <v>12</v>
      </c>
      <c r="D25" s="11">
        <v>3.8133333333333335</v>
      </c>
      <c r="F25" s="4"/>
      <c r="G25" s="4"/>
      <c r="H25" s="11">
        <v>1.1000000000000001</v>
      </c>
      <c r="I25" s="16">
        <f>D18+H18+D25+H25</f>
        <v>47.173333333333339</v>
      </c>
      <c r="J25" s="11">
        <f>D25+H25</f>
        <v>4.913333333333334</v>
      </c>
      <c r="K25" s="1">
        <f>ROUND($D$35*J25,2)</f>
        <v>2562.39</v>
      </c>
    </row>
    <row r="26" spans="1:13" ht="18" customHeight="1" x14ac:dyDescent="0.2">
      <c r="C26" s="1" t="s">
        <v>13</v>
      </c>
      <c r="D26" s="11">
        <v>3.4</v>
      </c>
      <c r="F26" s="4"/>
      <c r="G26" s="4"/>
      <c r="H26" s="11">
        <v>1</v>
      </c>
      <c r="J26" s="11">
        <f t="shared" ref="J26:J31" si="2">D26+H26</f>
        <v>4.4000000000000004</v>
      </c>
      <c r="K26" s="1">
        <f t="shared" ref="K26:K31" si="3">ROUND($D$35*J26,2)</f>
        <v>2294.6799999999998</v>
      </c>
    </row>
    <row r="27" spans="1:13" ht="18" customHeight="1" x14ac:dyDescent="0.2">
      <c r="B27" s="3"/>
      <c r="C27" s="18" t="s">
        <v>14</v>
      </c>
      <c r="D27" s="19">
        <v>12.656666666666666</v>
      </c>
      <c r="F27" s="4"/>
      <c r="G27" s="4"/>
      <c r="H27" s="11">
        <v>5.78</v>
      </c>
      <c r="J27" s="11">
        <f t="shared" si="2"/>
        <v>18.436666666666667</v>
      </c>
      <c r="K27" s="1">
        <f t="shared" si="3"/>
        <v>9615.0499999999993</v>
      </c>
    </row>
    <row r="28" spans="1:13" ht="18" customHeight="1" x14ac:dyDescent="0.2">
      <c r="C28" s="1" t="s">
        <v>15</v>
      </c>
      <c r="D28" s="11">
        <v>8.3000000000000007</v>
      </c>
      <c r="F28" s="4"/>
      <c r="G28" s="4"/>
      <c r="H28" s="11">
        <v>2.27</v>
      </c>
      <c r="J28" s="11">
        <f t="shared" si="2"/>
        <v>10.57</v>
      </c>
      <c r="K28" s="1">
        <f t="shared" si="3"/>
        <v>5512.45</v>
      </c>
    </row>
    <row r="29" spans="1:13" ht="18" customHeight="1" x14ac:dyDescent="0.2">
      <c r="C29" s="1" t="s">
        <v>16</v>
      </c>
      <c r="D29" s="11">
        <v>8.5399999999999991</v>
      </c>
      <c r="F29" s="4"/>
      <c r="G29" s="4"/>
      <c r="H29" s="11">
        <v>1.5</v>
      </c>
      <c r="J29" s="11">
        <f t="shared" si="2"/>
        <v>10.039999999999999</v>
      </c>
      <c r="K29" s="1">
        <f t="shared" si="3"/>
        <v>5236.04</v>
      </c>
    </row>
    <row r="30" spans="1:13" ht="18" customHeight="1" x14ac:dyDescent="0.2">
      <c r="C30" s="1" t="s">
        <v>17</v>
      </c>
      <c r="D30" s="11">
        <v>4.1399999999999997</v>
      </c>
      <c r="F30" s="4"/>
      <c r="G30" s="4"/>
      <c r="H30" s="11">
        <v>1.0333333333333334</v>
      </c>
      <c r="J30" s="11">
        <f t="shared" si="2"/>
        <v>5.1733333333333329</v>
      </c>
      <c r="K30" s="1">
        <f t="shared" si="3"/>
        <v>2697.99</v>
      </c>
    </row>
    <row r="31" spans="1:13" ht="18" customHeight="1" x14ac:dyDescent="0.2">
      <c r="C31" s="1" t="s">
        <v>27</v>
      </c>
      <c r="D31" s="11">
        <v>4.54</v>
      </c>
      <c r="F31" s="4"/>
      <c r="G31" s="4"/>
      <c r="H31" s="11">
        <v>1.9</v>
      </c>
      <c r="J31" s="11">
        <f t="shared" si="2"/>
        <v>6.4399999999999995</v>
      </c>
      <c r="K31" s="1">
        <f t="shared" si="3"/>
        <v>3358.58</v>
      </c>
    </row>
    <row r="32" spans="1:13" ht="18" customHeight="1" x14ac:dyDescent="0.2">
      <c r="B32" s="3"/>
      <c r="C32" s="3"/>
      <c r="D32" s="15">
        <f>SUM(D25:D31)</f>
        <v>45.389999999999993</v>
      </c>
      <c r="F32" s="4"/>
      <c r="G32" s="4"/>
      <c r="H32" s="16">
        <f>SUM(H25:H31)</f>
        <v>14.583333333333334</v>
      </c>
      <c r="I32" s="16">
        <f>D22+H22+D32+H32</f>
        <v>124.00333333333332</v>
      </c>
      <c r="J32" s="16">
        <f>SUM(J25:J31)</f>
        <v>59.973333333333329</v>
      </c>
      <c r="K32" s="17">
        <f>SUM(K25:K31)</f>
        <v>31277.18</v>
      </c>
      <c r="L32" s="1">
        <f>K32*6</f>
        <v>187663.08000000002</v>
      </c>
      <c r="M32" s="1">
        <f>J32*700</f>
        <v>41981.333333333328</v>
      </c>
    </row>
    <row r="33" spans="2:13" ht="18" customHeight="1" x14ac:dyDescent="0.2">
      <c r="F33" s="4"/>
      <c r="G33" s="4"/>
      <c r="L33" s="1">
        <f>L32+M32</f>
        <v>229644.41333333333</v>
      </c>
    </row>
    <row r="34" spans="2:13" ht="18" customHeight="1" x14ac:dyDescent="0.2">
      <c r="C34" s="5"/>
      <c r="D34" s="6"/>
      <c r="F34" s="4"/>
      <c r="G34" s="4"/>
    </row>
    <row r="35" spans="2:13" ht="18" customHeight="1" x14ac:dyDescent="0.2">
      <c r="D35" s="5">
        <v>521.51800000000003</v>
      </c>
      <c r="F35" s="4"/>
      <c r="G35" s="4"/>
      <c r="M35" s="1" t="s">
        <v>28</v>
      </c>
    </row>
    <row r="36" spans="2:13" ht="18" customHeight="1" x14ac:dyDescent="0.2">
      <c r="F36" s="4"/>
      <c r="G36" s="4"/>
    </row>
    <row r="37" spans="2:13" ht="18" customHeight="1" x14ac:dyDescent="0.2">
      <c r="F37" s="4"/>
      <c r="G37" s="4"/>
    </row>
    <row r="38" spans="2:13" ht="18" customHeight="1" x14ac:dyDescent="0.2">
      <c r="B38" s="5"/>
      <c r="C38" s="5"/>
      <c r="D38" s="5"/>
      <c r="F38" s="4"/>
      <c r="G38" s="4"/>
    </row>
    <row r="41" spans="2:13" ht="18" customHeight="1" x14ac:dyDescent="0.2">
      <c r="B41" s="3"/>
      <c r="C41" s="3"/>
      <c r="D41" s="3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8" sqref="G18"/>
    </sheetView>
  </sheetViews>
  <sheetFormatPr defaultColWidth="11.28515625" defaultRowHeight="18" customHeight="1" x14ac:dyDescent="0.2"/>
  <cols>
    <col min="1" max="1" width="6.7109375" style="1" customWidth="1"/>
    <col min="2" max="2" width="44.7109375" style="1" customWidth="1"/>
    <col min="3" max="3" width="6.5703125" style="1" customWidth="1"/>
    <col min="4" max="4" width="27.140625" style="1" customWidth="1"/>
    <col min="5" max="6" width="10.42578125" style="1" customWidth="1"/>
    <col min="7" max="10" width="11.28515625" style="1" customWidth="1"/>
    <col min="11" max="24" width="7.7109375" style="1" customWidth="1"/>
    <col min="25" max="16384" width="11.28515625" style="1"/>
  </cols>
  <sheetData>
    <row r="1" spans="1:10" ht="21" customHeight="1" x14ac:dyDescent="0.3">
      <c r="B1" s="94" t="s">
        <v>29</v>
      </c>
      <c r="C1" s="4"/>
      <c r="E1" s="53"/>
      <c r="F1" s="53"/>
    </row>
    <row r="2" spans="1:10" ht="15" customHeight="1" x14ac:dyDescent="0.25">
      <c r="B2" s="92" t="s">
        <v>30</v>
      </c>
      <c r="C2" s="7"/>
    </row>
    <row r="3" spans="1:10" ht="15" customHeight="1" x14ac:dyDescent="0.25">
      <c r="B3" s="92" t="s">
        <v>31</v>
      </c>
      <c r="C3" s="7"/>
    </row>
    <row r="4" spans="1:10" ht="15" customHeight="1" x14ac:dyDescent="0.25">
      <c r="B4" s="93">
        <v>2024</v>
      </c>
      <c r="C4" s="2"/>
      <c r="E4" s="90"/>
      <c r="F4" s="90"/>
    </row>
    <row r="5" spans="1:10" ht="22.5" x14ac:dyDescent="0.2">
      <c r="A5" s="74" t="s">
        <v>32</v>
      </c>
      <c r="B5" s="75" t="s">
        <v>33</v>
      </c>
      <c r="C5" s="74" t="s">
        <v>34</v>
      </c>
      <c r="D5" s="75" t="s">
        <v>93</v>
      </c>
      <c r="E5" s="75" t="s">
        <v>94</v>
      </c>
      <c r="F5" s="74" t="s">
        <v>83</v>
      </c>
      <c r="G5" s="74" t="s">
        <v>36</v>
      </c>
      <c r="H5" s="76" t="s">
        <v>37</v>
      </c>
      <c r="I5" s="76" t="s">
        <v>38</v>
      </c>
      <c r="J5" s="75" t="s">
        <v>39</v>
      </c>
    </row>
    <row r="6" spans="1:10" ht="15" customHeight="1" x14ac:dyDescent="0.2">
      <c r="A6" s="101">
        <v>1456</v>
      </c>
      <c r="B6" s="102" t="s">
        <v>40</v>
      </c>
      <c r="C6" s="73">
        <v>3146</v>
      </c>
      <c r="D6" s="60" t="s">
        <v>89</v>
      </c>
      <c r="E6" s="73" t="s">
        <v>95</v>
      </c>
      <c r="F6" s="114">
        <v>331</v>
      </c>
      <c r="G6" s="56">
        <f>ROUND(F6*normativ!B15,0)</f>
        <v>497</v>
      </c>
      <c r="H6" s="10">
        <f>normativ!$B$4</f>
        <v>98.136645962732914</v>
      </c>
      <c r="I6" s="10">
        <f>normativ!$B$5</f>
        <v>499.83471074380162</v>
      </c>
      <c r="J6" s="58">
        <f>normativ!$E$8</f>
        <v>11</v>
      </c>
    </row>
    <row r="7" spans="1:10" ht="15" customHeight="1" x14ac:dyDescent="0.2">
      <c r="A7" s="101">
        <v>1456</v>
      </c>
      <c r="B7" s="102" t="s">
        <v>40</v>
      </c>
      <c r="C7" s="73">
        <v>3146</v>
      </c>
      <c r="D7" s="60" t="s">
        <v>92</v>
      </c>
      <c r="E7" s="73" t="s">
        <v>95</v>
      </c>
      <c r="F7" s="114">
        <v>411</v>
      </c>
      <c r="G7" s="56">
        <f>ROUND(F7*normativ!B18,0)</f>
        <v>473</v>
      </c>
      <c r="H7" s="10">
        <f>normativ!$B$4</f>
        <v>98.136645962732914</v>
      </c>
      <c r="I7" s="10">
        <f>normativ!$B$5</f>
        <v>499.83471074380162</v>
      </c>
      <c r="J7" s="58">
        <f>normativ!$E$8</f>
        <v>11</v>
      </c>
    </row>
    <row r="8" spans="1:10" ht="15" customHeight="1" x14ac:dyDescent="0.2">
      <c r="A8" s="73">
        <v>1457</v>
      </c>
      <c r="B8" s="91" t="s">
        <v>41</v>
      </c>
      <c r="C8" s="73">
        <v>3146</v>
      </c>
      <c r="D8" s="60" t="s">
        <v>87</v>
      </c>
      <c r="E8" s="73" t="s">
        <v>96</v>
      </c>
      <c r="F8" s="114">
        <v>342</v>
      </c>
      <c r="G8" s="56">
        <f>ROUND(F8*normativ!B13,0)</f>
        <v>479</v>
      </c>
      <c r="H8" s="10">
        <f>normativ!$B$4</f>
        <v>98.136645962732914</v>
      </c>
      <c r="I8" s="10">
        <f>normativ!$B$5</f>
        <v>499.83471074380162</v>
      </c>
      <c r="J8" s="58">
        <f>normativ!$E$8</f>
        <v>11</v>
      </c>
    </row>
    <row r="9" spans="1:10" ht="15" customHeight="1" x14ac:dyDescent="0.2">
      <c r="A9" s="73">
        <v>1460</v>
      </c>
      <c r="B9" s="91" t="s">
        <v>42</v>
      </c>
      <c r="C9" s="73">
        <v>3146</v>
      </c>
      <c r="D9" s="60" t="s">
        <v>88</v>
      </c>
      <c r="E9" s="73" t="s">
        <v>95</v>
      </c>
      <c r="F9" s="114">
        <v>237</v>
      </c>
      <c r="G9" s="56">
        <f>ROUND(F9*normativ!B14,0)</f>
        <v>220</v>
      </c>
      <c r="H9" s="10">
        <f>normativ!$B$4</f>
        <v>98.136645962732914</v>
      </c>
      <c r="I9" s="10">
        <f>normativ!$B$5</f>
        <v>499.83471074380162</v>
      </c>
      <c r="J9" s="58">
        <f>normativ!$E$8</f>
        <v>11</v>
      </c>
    </row>
    <row r="10" spans="1:10" ht="15" customHeight="1" x14ac:dyDescent="0.2">
      <c r="A10" s="99">
        <v>1494</v>
      </c>
      <c r="B10" s="100" t="s">
        <v>43</v>
      </c>
      <c r="C10" s="73">
        <v>3146</v>
      </c>
      <c r="D10" s="60" t="s">
        <v>92</v>
      </c>
      <c r="E10" s="73" t="s">
        <v>97</v>
      </c>
      <c r="F10" s="114">
        <v>208</v>
      </c>
      <c r="G10" s="56">
        <f>ROUND(F10*normativ!B18,0)</f>
        <v>239</v>
      </c>
      <c r="H10" s="10">
        <f>normativ!$B$4</f>
        <v>98.136645962732914</v>
      </c>
      <c r="I10" s="10">
        <f>normativ!$B$5</f>
        <v>499.83471074380162</v>
      </c>
      <c r="J10" s="58">
        <f>normativ!$E$8</f>
        <v>11</v>
      </c>
    </row>
    <row r="11" spans="1:10" ht="15" customHeight="1" x14ac:dyDescent="0.2">
      <c r="A11" s="101">
        <v>1498</v>
      </c>
      <c r="B11" s="102" t="s">
        <v>44</v>
      </c>
      <c r="C11" s="73">
        <v>3146</v>
      </c>
      <c r="D11" s="60" t="s">
        <v>90</v>
      </c>
      <c r="E11" s="73" t="s">
        <v>95</v>
      </c>
      <c r="F11" s="114">
        <v>1327</v>
      </c>
      <c r="G11" s="56">
        <f>ROUND(F11*normativ!B16,0)</f>
        <v>1002</v>
      </c>
      <c r="H11" s="10">
        <f>normativ!$B$4</f>
        <v>98.136645962732914</v>
      </c>
      <c r="I11" s="10">
        <f>normativ!$B$5</f>
        <v>499.83471074380162</v>
      </c>
      <c r="J11" s="58">
        <f>normativ!$E$8</f>
        <v>11</v>
      </c>
    </row>
    <row r="12" spans="1:10" ht="15" customHeight="1" x14ac:dyDescent="0.2">
      <c r="A12" s="101">
        <v>1498</v>
      </c>
      <c r="B12" s="102" t="s">
        <v>44</v>
      </c>
      <c r="C12" s="73">
        <v>3146</v>
      </c>
      <c r="D12" s="60" t="s">
        <v>91</v>
      </c>
      <c r="E12" s="73" t="s">
        <v>98</v>
      </c>
      <c r="F12" s="114">
        <v>146</v>
      </c>
      <c r="G12" s="56">
        <f>ROUND(F12*normativ!B17,0)</f>
        <v>107</v>
      </c>
      <c r="H12" s="10">
        <f>normativ!$B$4</f>
        <v>98.136645962732914</v>
      </c>
      <c r="I12" s="10">
        <f>normativ!$B$5</f>
        <v>499.83471074380162</v>
      </c>
      <c r="J12" s="58">
        <f>normativ!$E$8</f>
        <v>11</v>
      </c>
    </row>
    <row r="13" spans="1:10" ht="15" customHeight="1" x14ac:dyDescent="0.2">
      <c r="A13" s="101">
        <v>1498</v>
      </c>
      <c r="B13" s="102" t="s">
        <v>44</v>
      </c>
      <c r="C13" s="73">
        <v>3146</v>
      </c>
      <c r="D13" s="60" t="s">
        <v>91</v>
      </c>
      <c r="E13" s="117" t="s">
        <v>99</v>
      </c>
      <c r="F13" s="114">
        <v>158</v>
      </c>
      <c r="G13" s="56">
        <f>ROUND(F13*normativ!B17,0)</f>
        <v>115</v>
      </c>
      <c r="H13" s="10">
        <f>normativ!$B$4</f>
        <v>98.136645962732914</v>
      </c>
      <c r="I13" s="10">
        <f>normativ!$B$5</f>
        <v>499.83471074380162</v>
      </c>
      <c r="J13" s="58">
        <f>normativ!$E$8</f>
        <v>11</v>
      </c>
    </row>
    <row r="14" spans="1:10" ht="15" customHeight="1" x14ac:dyDescent="0.2">
      <c r="A14" s="77" t="s">
        <v>45</v>
      </c>
      <c r="B14" s="78" t="s">
        <v>46</v>
      </c>
      <c r="C14" s="77" t="s">
        <v>45</v>
      </c>
      <c r="D14" s="77" t="s">
        <v>45</v>
      </c>
      <c r="E14" s="77" t="s">
        <v>45</v>
      </c>
      <c r="F14" s="113">
        <f>SUM(F6:F13)</f>
        <v>3160</v>
      </c>
      <c r="G14" s="98">
        <f>SUM(G6:G13)</f>
        <v>3132</v>
      </c>
      <c r="H14" s="79" t="s">
        <v>45</v>
      </c>
      <c r="I14" s="79" t="s">
        <v>45</v>
      </c>
      <c r="J14" s="77" t="s">
        <v>45</v>
      </c>
    </row>
    <row r="15" spans="1:10" ht="18" customHeight="1" x14ac:dyDescent="0.2">
      <c r="B15" s="3"/>
      <c r="C15" s="7"/>
      <c r="E15" s="4"/>
      <c r="F15" s="4"/>
      <c r="G15" s="54"/>
    </row>
    <row r="16" spans="1:10" ht="18" customHeight="1" x14ac:dyDescent="0.2">
      <c r="C16" s="4"/>
      <c r="E16" s="4"/>
      <c r="F16" s="4"/>
      <c r="G16" s="5"/>
    </row>
    <row r="17" spans="3:6" ht="18" customHeight="1" x14ac:dyDescent="0.2">
      <c r="C17" s="4"/>
      <c r="E17" s="4"/>
      <c r="F17" s="4"/>
    </row>
    <row r="18" spans="3:6" ht="18" customHeight="1" x14ac:dyDescent="0.2">
      <c r="C18" s="4"/>
      <c r="E18" s="4"/>
      <c r="F18" s="4"/>
    </row>
    <row r="19" spans="3:6" ht="18" customHeight="1" x14ac:dyDescent="0.2">
      <c r="C19" s="4"/>
      <c r="E19" s="4"/>
      <c r="F19" s="4"/>
    </row>
    <row r="20" spans="3:6" ht="18" customHeight="1" x14ac:dyDescent="0.2">
      <c r="C20" s="4"/>
      <c r="E20" s="4"/>
      <c r="F20" s="4"/>
    </row>
    <row r="21" spans="3:6" ht="18" customHeight="1" x14ac:dyDescent="0.2">
      <c r="C21" s="4"/>
      <c r="E21" s="4"/>
      <c r="F21" s="4"/>
    </row>
    <row r="22" spans="3:6" ht="18" customHeight="1" x14ac:dyDescent="0.2">
      <c r="C22" s="4"/>
      <c r="E22" s="4"/>
      <c r="F22" s="4"/>
    </row>
    <row r="23" spans="3:6" ht="18" customHeight="1" x14ac:dyDescent="0.2">
      <c r="C23" s="4"/>
      <c r="E23" s="4"/>
      <c r="F23" s="4"/>
    </row>
    <row r="24" spans="3:6" ht="18" customHeight="1" x14ac:dyDescent="0.2">
      <c r="C24" s="4"/>
      <c r="E24" s="4"/>
      <c r="F24" s="4"/>
    </row>
    <row r="25" spans="3:6" ht="18" customHeight="1" x14ac:dyDescent="0.2">
      <c r="C25" s="4"/>
      <c r="E25" s="4"/>
      <c r="F25" s="4"/>
    </row>
    <row r="26" spans="3:6" ht="18" customHeight="1" x14ac:dyDescent="0.2">
      <c r="C26" s="4"/>
      <c r="E26" s="4"/>
      <c r="F26" s="4"/>
    </row>
    <row r="27" spans="3:6" ht="18" customHeight="1" x14ac:dyDescent="0.2">
      <c r="C27" s="4"/>
      <c r="E27" s="4"/>
      <c r="F27" s="4"/>
    </row>
    <row r="28" spans="3:6" ht="18" customHeight="1" x14ac:dyDescent="0.2">
      <c r="C28" s="4"/>
      <c r="E28" s="4"/>
      <c r="F28" s="4"/>
    </row>
    <row r="29" spans="3:6" ht="18" customHeight="1" x14ac:dyDescent="0.2">
      <c r="C29" s="4"/>
      <c r="E29" s="4"/>
      <c r="F29" s="4"/>
    </row>
    <row r="30" spans="3:6" ht="18" customHeight="1" x14ac:dyDescent="0.2">
      <c r="C30" s="4"/>
      <c r="E30" s="4"/>
      <c r="F30" s="4"/>
    </row>
    <row r="31" spans="3:6" ht="18" customHeight="1" x14ac:dyDescent="0.2">
      <c r="C31" s="4"/>
      <c r="E31" s="4"/>
      <c r="F31" s="4"/>
    </row>
    <row r="32" spans="3:6" ht="18" customHeight="1" x14ac:dyDescent="0.2">
      <c r="C32" s="4"/>
      <c r="E32" s="4"/>
      <c r="F32" s="4"/>
    </row>
    <row r="33" spans="3:6" ht="18" customHeight="1" x14ac:dyDescent="0.2">
      <c r="C33" s="4"/>
      <c r="E33" s="4"/>
      <c r="F33" s="4"/>
    </row>
    <row r="34" spans="3:6" ht="18" customHeight="1" x14ac:dyDescent="0.2">
      <c r="C34" s="4"/>
      <c r="E34" s="4"/>
      <c r="F34" s="4"/>
    </row>
    <row r="35" spans="3:6" ht="18" customHeight="1" x14ac:dyDescent="0.2">
      <c r="C35" s="4"/>
      <c r="E35" s="4"/>
      <c r="F35" s="4"/>
    </row>
    <row r="36" spans="3:6" ht="18" customHeight="1" x14ac:dyDescent="0.2">
      <c r="C36" s="4"/>
      <c r="E36" s="4"/>
      <c r="F36" s="4"/>
    </row>
    <row r="37" spans="3:6" ht="18" customHeight="1" x14ac:dyDescent="0.2">
      <c r="C37" s="4"/>
      <c r="E37" s="4"/>
      <c r="F37" s="4"/>
    </row>
    <row r="38" spans="3:6" ht="18" customHeight="1" x14ac:dyDescent="0.2">
      <c r="C38" s="4"/>
      <c r="E38" s="4"/>
      <c r="F38" s="4"/>
    </row>
    <row r="39" spans="3:6" ht="18" customHeight="1" x14ac:dyDescent="0.2">
      <c r="C39" s="4"/>
      <c r="E39" s="4"/>
      <c r="F39" s="4"/>
    </row>
    <row r="40" spans="3:6" ht="18" customHeight="1" x14ac:dyDescent="0.2">
      <c r="C40" s="4"/>
      <c r="E40" s="4"/>
      <c r="F40" s="4"/>
    </row>
    <row r="41" spans="3:6" ht="18" customHeight="1" x14ac:dyDescent="0.2">
      <c r="C41" s="4"/>
      <c r="E41" s="4"/>
      <c r="F41" s="4"/>
    </row>
    <row r="42" spans="3:6" ht="18" customHeight="1" x14ac:dyDescent="0.2">
      <c r="C42" s="4"/>
      <c r="E42" s="4"/>
      <c r="F42" s="4"/>
    </row>
    <row r="43" spans="3:6" ht="18" customHeight="1" x14ac:dyDescent="0.2">
      <c r="C43" s="4"/>
      <c r="E43" s="4"/>
      <c r="F43" s="4"/>
    </row>
    <row r="44" spans="3:6" ht="18" customHeight="1" x14ac:dyDescent="0.2">
      <c r="C44" s="4"/>
      <c r="E44" s="4"/>
      <c r="F44" s="4"/>
    </row>
    <row r="45" spans="3:6" ht="18" customHeight="1" x14ac:dyDescent="0.2">
      <c r="C45" s="4"/>
      <c r="E45" s="4"/>
      <c r="F45" s="4"/>
    </row>
    <row r="46" spans="3:6" ht="18" customHeight="1" x14ac:dyDescent="0.2">
      <c r="C46" s="4"/>
      <c r="E46" s="4"/>
      <c r="F46" s="4"/>
    </row>
    <row r="47" spans="3:6" ht="18" customHeight="1" x14ac:dyDescent="0.2">
      <c r="C47" s="4"/>
      <c r="E47" s="4"/>
      <c r="F47" s="4"/>
    </row>
    <row r="48" spans="3:6" ht="18" customHeight="1" x14ac:dyDescent="0.2">
      <c r="C48" s="4"/>
      <c r="E48" s="4"/>
      <c r="F48" s="4"/>
    </row>
    <row r="49" spans="2:6" ht="18" customHeight="1" x14ac:dyDescent="0.2">
      <c r="C49" s="4"/>
      <c r="E49" s="4"/>
      <c r="F49" s="4"/>
    </row>
    <row r="50" spans="2:6" ht="18" customHeight="1" x14ac:dyDescent="0.2">
      <c r="C50" s="4"/>
      <c r="E50" s="4"/>
      <c r="F50" s="4"/>
    </row>
    <row r="51" spans="2:6" ht="18" customHeight="1" x14ac:dyDescent="0.2">
      <c r="C51" s="4"/>
      <c r="E51" s="4"/>
      <c r="F51" s="4"/>
    </row>
    <row r="52" spans="2:6" ht="18" customHeight="1" x14ac:dyDescent="0.2">
      <c r="C52" s="4"/>
      <c r="E52" s="4"/>
      <c r="F52" s="4"/>
    </row>
    <row r="53" spans="2:6" ht="18" customHeight="1" x14ac:dyDescent="0.2">
      <c r="B53" s="3"/>
      <c r="C53" s="7"/>
      <c r="E53" s="4"/>
      <c r="F53" s="4"/>
    </row>
    <row r="54" spans="2:6" ht="18" customHeight="1" x14ac:dyDescent="0.2">
      <c r="C54" s="4"/>
      <c r="E54" s="4"/>
      <c r="F54" s="4"/>
    </row>
    <row r="55" spans="2:6" ht="18" customHeight="1" x14ac:dyDescent="0.2">
      <c r="B55" s="3"/>
      <c r="C55" s="7"/>
      <c r="E55" s="4"/>
      <c r="F55" s="4"/>
    </row>
    <row r="56" spans="2:6" ht="18" customHeight="1" x14ac:dyDescent="0.2">
      <c r="C56" s="4"/>
      <c r="E56" s="4"/>
      <c r="F56" s="4"/>
    </row>
    <row r="57" spans="2:6" ht="18" customHeight="1" x14ac:dyDescent="0.2">
      <c r="B57" s="3"/>
      <c r="C57" s="7"/>
      <c r="E57" s="4"/>
      <c r="F57" s="4"/>
    </row>
    <row r="58" spans="2:6" ht="18" customHeight="1" x14ac:dyDescent="0.2">
      <c r="C58" s="4"/>
      <c r="E58" s="4"/>
      <c r="F58" s="4"/>
    </row>
    <row r="59" spans="2:6" ht="18" customHeight="1" x14ac:dyDescent="0.2">
      <c r="C59" s="4"/>
      <c r="E59" s="4"/>
      <c r="F59" s="4"/>
    </row>
    <row r="60" spans="2:6" ht="18" customHeight="1" x14ac:dyDescent="0.2">
      <c r="B60" s="3"/>
      <c r="C60" s="7"/>
      <c r="E60" s="4"/>
      <c r="F60" s="4"/>
    </row>
    <row r="61" spans="2:6" ht="18" customHeight="1" x14ac:dyDescent="0.2">
      <c r="C61" s="4"/>
      <c r="E61" s="4"/>
      <c r="F61" s="4"/>
    </row>
    <row r="62" spans="2:6" ht="18" customHeight="1" x14ac:dyDescent="0.2">
      <c r="B62" s="3"/>
      <c r="C62" s="7"/>
      <c r="E62" s="4"/>
      <c r="F62" s="4"/>
    </row>
    <row r="63" spans="2:6" ht="18" customHeight="1" x14ac:dyDescent="0.2">
      <c r="C63" s="4"/>
      <c r="E63" s="4"/>
      <c r="F63" s="4"/>
    </row>
    <row r="64" spans="2:6" ht="18" customHeight="1" x14ac:dyDescent="0.2">
      <c r="B64" s="3"/>
      <c r="C64" s="7"/>
      <c r="E64" s="4"/>
      <c r="F64" s="4"/>
    </row>
    <row r="65" spans="2:6" ht="18" customHeight="1" x14ac:dyDescent="0.2">
      <c r="C65" s="4"/>
      <c r="E65" s="4"/>
      <c r="F65" s="4"/>
    </row>
    <row r="66" spans="2:6" ht="18" customHeight="1" x14ac:dyDescent="0.2">
      <c r="C66" s="4"/>
      <c r="E66" s="4"/>
      <c r="F66" s="4"/>
    </row>
    <row r="67" spans="2:6" ht="18" customHeight="1" x14ac:dyDescent="0.2">
      <c r="B67" s="3"/>
      <c r="C67" s="7"/>
      <c r="E67" s="4"/>
      <c r="F67" s="4"/>
    </row>
    <row r="68" spans="2:6" ht="18" customHeight="1" x14ac:dyDescent="0.2">
      <c r="C68" s="4"/>
      <c r="E68" s="4"/>
      <c r="F68" s="4"/>
    </row>
    <row r="69" spans="2:6" ht="18" customHeight="1" x14ac:dyDescent="0.2">
      <c r="C69" s="4"/>
      <c r="E69" s="4"/>
      <c r="F69" s="4"/>
    </row>
    <row r="70" spans="2:6" ht="18" customHeight="1" x14ac:dyDescent="0.2">
      <c r="C70" s="4"/>
      <c r="E70" s="4"/>
      <c r="F70" s="4"/>
    </row>
    <row r="71" spans="2:6" ht="18" customHeight="1" x14ac:dyDescent="0.2">
      <c r="C71" s="4"/>
      <c r="E71" s="4"/>
      <c r="F71" s="4"/>
    </row>
    <row r="72" spans="2:6" ht="18" customHeight="1" x14ac:dyDescent="0.2">
      <c r="C72" s="4"/>
      <c r="E72" s="4"/>
      <c r="F72" s="4"/>
    </row>
    <row r="73" spans="2:6" ht="18" customHeight="1" x14ac:dyDescent="0.2">
      <c r="C73" s="4"/>
      <c r="E73" s="4"/>
      <c r="F73" s="4"/>
    </row>
    <row r="74" spans="2:6" ht="18" customHeight="1" x14ac:dyDescent="0.2">
      <c r="B74" s="3"/>
      <c r="C74" s="7"/>
      <c r="E74" s="4"/>
      <c r="F74" s="4"/>
    </row>
    <row r="75" spans="2:6" ht="18" customHeight="1" x14ac:dyDescent="0.2">
      <c r="C75" s="4"/>
      <c r="E75" s="4"/>
      <c r="F75" s="4"/>
    </row>
    <row r="76" spans="2:6" ht="18" customHeight="1" x14ac:dyDescent="0.2">
      <c r="B76" s="3"/>
      <c r="C76" s="7"/>
      <c r="E76" s="4"/>
      <c r="F76" s="4"/>
    </row>
    <row r="77" spans="2:6" ht="18" customHeight="1" x14ac:dyDescent="0.2">
      <c r="C77" s="4"/>
      <c r="E77" s="4"/>
      <c r="F77" s="4"/>
    </row>
    <row r="78" spans="2:6" ht="18" customHeight="1" x14ac:dyDescent="0.2">
      <c r="C78" s="4"/>
      <c r="E78" s="4"/>
      <c r="F78" s="4"/>
    </row>
    <row r="79" spans="2:6" ht="18" customHeight="1" x14ac:dyDescent="0.2">
      <c r="C79" s="4"/>
      <c r="E79" s="4"/>
      <c r="F79" s="4"/>
    </row>
    <row r="80" spans="2:6" ht="18" customHeight="1" x14ac:dyDescent="0.2">
      <c r="C80" s="4"/>
      <c r="E80" s="4"/>
      <c r="F80" s="4"/>
    </row>
    <row r="81" spans="2:6" ht="18" customHeight="1" x14ac:dyDescent="0.2">
      <c r="C81" s="4"/>
      <c r="E81" s="4"/>
      <c r="F81" s="4"/>
    </row>
    <row r="82" spans="2:6" ht="18" customHeight="1" x14ac:dyDescent="0.2">
      <c r="B82" s="3"/>
      <c r="C82" s="7"/>
      <c r="E82" s="4"/>
      <c r="F82" s="4"/>
    </row>
    <row r="83" spans="2:6" ht="18" customHeight="1" x14ac:dyDescent="0.2">
      <c r="C83" s="4"/>
      <c r="E83" s="4"/>
      <c r="F83" s="4"/>
    </row>
    <row r="84" spans="2:6" ht="18" customHeight="1" x14ac:dyDescent="0.2">
      <c r="C84" s="4"/>
      <c r="E84" s="4"/>
      <c r="F84" s="4"/>
    </row>
    <row r="85" spans="2:6" ht="18" customHeight="1" x14ac:dyDescent="0.2">
      <c r="B85" s="3"/>
      <c r="C85" s="7"/>
      <c r="E85" s="4"/>
      <c r="F85" s="4"/>
    </row>
    <row r="86" spans="2:6" ht="18" customHeight="1" x14ac:dyDescent="0.2">
      <c r="C86" s="4"/>
      <c r="E86" s="4"/>
      <c r="F86" s="4"/>
    </row>
    <row r="87" spans="2:6" ht="18" customHeight="1" x14ac:dyDescent="0.2">
      <c r="C87" s="4"/>
      <c r="E87" s="4"/>
      <c r="F87" s="4"/>
    </row>
    <row r="88" spans="2:6" ht="18" customHeight="1" x14ac:dyDescent="0.2">
      <c r="B88" s="3"/>
      <c r="C88" s="7"/>
      <c r="E88" s="4"/>
      <c r="F88" s="4"/>
    </row>
    <row r="89" spans="2:6" ht="18" customHeight="1" x14ac:dyDescent="0.2">
      <c r="C89" s="4"/>
      <c r="E89" s="4"/>
      <c r="F89" s="4"/>
    </row>
    <row r="90" spans="2:6" ht="18" customHeight="1" x14ac:dyDescent="0.2">
      <c r="C90" s="4"/>
      <c r="E90" s="4"/>
      <c r="F90" s="4"/>
    </row>
    <row r="91" spans="2:6" ht="18" customHeight="1" x14ac:dyDescent="0.2">
      <c r="B91" s="3"/>
      <c r="C91" s="7"/>
      <c r="E91" s="4"/>
      <c r="F91" s="4"/>
    </row>
    <row r="92" spans="2:6" ht="18" customHeight="1" x14ac:dyDescent="0.2">
      <c r="C92" s="4"/>
      <c r="E92" s="4"/>
      <c r="F92" s="4"/>
    </row>
    <row r="93" spans="2:6" ht="18" customHeight="1" x14ac:dyDescent="0.2">
      <c r="B93" s="3"/>
      <c r="C93" s="7"/>
      <c r="E93" s="4"/>
      <c r="F93" s="4"/>
    </row>
    <row r="94" spans="2:6" ht="18" customHeight="1" x14ac:dyDescent="0.2">
      <c r="C94" s="4"/>
      <c r="E94" s="4"/>
      <c r="F94" s="4"/>
    </row>
    <row r="95" spans="2:6" ht="18" customHeight="1" x14ac:dyDescent="0.2">
      <c r="B95" s="3"/>
      <c r="C95" s="7"/>
      <c r="E95" s="4"/>
      <c r="F95" s="4"/>
    </row>
    <row r="96" spans="2:6" ht="18" customHeight="1" x14ac:dyDescent="0.2">
      <c r="C96" s="4"/>
      <c r="E96" s="4"/>
      <c r="F96" s="4"/>
    </row>
    <row r="97" spans="2:6" ht="18" customHeight="1" x14ac:dyDescent="0.2">
      <c r="C97" s="4"/>
      <c r="E97" s="4"/>
      <c r="F97" s="4"/>
    </row>
    <row r="98" spans="2:6" ht="18" customHeight="1" x14ac:dyDescent="0.2">
      <c r="B98" s="3"/>
      <c r="C98" s="7"/>
      <c r="E98" s="4"/>
      <c r="F98" s="4"/>
    </row>
    <row r="99" spans="2:6" ht="18" customHeight="1" x14ac:dyDescent="0.2">
      <c r="C99" s="4"/>
      <c r="E99" s="4"/>
      <c r="F99" s="4"/>
    </row>
    <row r="100" spans="2:6" ht="18" customHeight="1" x14ac:dyDescent="0.2">
      <c r="B100" s="3"/>
      <c r="C100" s="7"/>
      <c r="E100" s="4"/>
      <c r="F100" s="4"/>
    </row>
    <row r="101" spans="2:6" ht="18" customHeight="1" x14ac:dyDescent="0.2">
      <c r="C101" s="4"/>
      <c r="E101" s="4"/>
      <c r="F101" s="4"/>
    </row>
    <row r="102" spans="2:6" ht="18" customHeight="1" x14ac:dyDescent="0.2">
      <c r="C102" s="4"/>
      <c r="E102" s="4"/>
      <c r="F102" s="4"/>
    </row>
    <row r="103" spans="2:6" ht="18" customHeight="1" x14ac:dyDescent="0.2">
      <c r="C103" s="4"/>
      <c r="E103" s="4"/>
      <c r="F103" s="4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21" sqref="L21"/>
    </sheetView>
  </sheetViews>
  <sheetFormatPr defaultColWidth="11.28515625" defaultRowHeight="18" customHeight="1" x14ac:dyDescent="0.2"/>
  <cols>
    <col min="1" max="1" width="6.85546875" style="1" customWidth="1"/>
    <col min="2" max="2" width="44.140625" style="1" customWidth="1"/>
    <col min="3" max="3" width="6.7109375" style="1" customWidth="1"/>
    <col min="4" max="4" width="27.28515625" style="1" customWidth="1"/>
    <col min="5" max="9" width="11.28515625" style="12" customWidth="1"/>
    <col min="10" max="10" width="11.28515625" style="1" customWidth="1"/>
    <col min="11" max="13" width="11.28515625" style="12" customWidth="1"/>
    <col min="14" max="14" width="7.7109375" style="1" customWidth="1"/>
    <col min="15" max="15" width="11.28515625" style="6" customWidth="1"/>
    <col min="16" max="16" width="11.28515625" style="1" customWidth="1"/>
    <col min="17" max="17" width="11.28515625" style="12" customWidth="1"/>
    <col min="18" max="18" width="11.28515625" style="1" customWidth="1"/>
    <col min="19" max="21" width="7.7109375" style="1" customWidth="1"/>
    <col min="22" max="16384" width="11.28515625" style="1"/>
  </cols>
  <sheetData>
    <row r="1" spans="1:18" ht="21" customHeight="1" x14ac:dyDescent="0.3">
      <c r="B1" s="95" t="str">
        <f>SPC_stat!B1</f>
        <v xml:space="preserve">Speciálně pedagogická centra </v>
      </c>
      <c r="C1" s="8"/>
      <c r="D1" s="8"/>
    </row>
    <row r="2" spans="1:18" ht="15" customHeight="1" x14ac:dyDescent="0.25">
      <c r="B2" s="87" t="str">
        <f>SPC_stat!B2</f>
        <v>KRAJ - Liberecký</v>
      </c>
      <c r="C2" s="9"/>
    </row>
    <row r="3" spans="1:18" ht="15" customHeight="1" x14ac:dyDescent="0.25">
      <c r="B3" s="88" t="s">
        <v>47</v>
      </c>
      <c r="C3" s="52"/>
    </row>
    <row r="4" spans="1:18" ht="15" customHeight="1" x14ac:dyDescent="0.25">
      <c r="B4" s="89">
        <f>SPC_stat!B4</f>
        <v>2024</v>
      </c>
      <c r="C4" s="52"/>
    </row>
    <row r="5" spans="1:18" ht="45" x14ac:dyDescent="0.2">
      <c r="A5" s="74" t="s">
        <v>32</v>
      </c>
      <c r="B5" s="75" t="s">
        <v>33</v>
      </c>
      <c r="C5" s="74" t="s">
        <v>34</v>
      </c>
      <c r="D5" s="75" t="s">
        <v>35</v>
      </c>
      <c r="E5" s="81" t="s">
        <v>48</v>
      </c>
      <c r="F5" s="81" t="s">
        <v>49</v>
      </c>
      <c r="G5" s="81" t="s">
        <v>50</v>
      </c>
      <c r="H5" s="81" t="s">
        <v>51</v>
      </c>
      <c r="I5" s="81" t="s">
        <v>52</v>
      </c>
      <c r="J5" s="81" t="s">
        <v>53</v>
      </c>
      <c r="K5" s="81" t="s">
        <v>54</v>
      </c>
      <c r="L5" s="81" t="s">
        <v>55</v>
      </c>
      <c r="M5" s="81" t="s">
        <v>56</v>
      </c>
      <c r="N5" s="55"/>
      <c r="O5" s="84" t="s">
        <v>57</v>
      </c>
      <c r="P5" s="85" t="s">
        <v>58</v>
      </c>
      <c r="Q5" s="84" t="s">
        <v>59</v>
      </c>
      <c r="R5" s="84" t="s">
        <v>60</v>
      </c>
    </row>
    <row r="6" spans="1:18" ht="15" customHeight="1" x14ac:dyDescent="0.2">
      <c r="A6" s="73">
        <f>SPC_stat!A6</f>
        <v>1456</v>
      </c>
      <c r="B6" s="60" t="str">
        <f>SPC_stat!B6</f>
        <v>ZŠ a MŠ pro tělesně postižené, Liberec, Lužická 920/7</v>
      </c>
      <c r="C6" s="73">
        <f>SPC_stat!C6</f>
        <v>3146</v>
      </c>
      <c r="D6" s="60" t="str">
        <f>SPC_stat!D6</f>
        <v>tělesné postižení</v>
      </c>
      <c r="E6" s="70">
        <f>normativ!$E$4</f>
        <v>51792</v>
      </c>
      <c r="F6" s="57">
        <f>SPC_stat!H6*((SPC_rozp!K6-SPC_stat!J6)/(12*1.348)-(SPC_rozp!G6/SPC_stat!I6))</f>
        <v>51792</v>
      </c>
      <c r="G6" s="57">
        <f>normativ!$E$6</f>
        <v>31320</v>
      </c>
      <c r="H6" s="57">
        <f>IF(SPC_stat!G6=0,0,(12*1.348*(1/SPC_stat!H6*SPC_rozp!E6+1/SPC_stat!I6*SPC_rozp!G6)+SPC_stat!J6))</f>
        <v>9561.5471897287534</v>
      </c>
      <c r="I6" s="57">
        <f>IF(SPC_stat!G6=0,0,(12*1.348*(1/SPC_stat!H6*O6+1/SPC_stat!I6*SPC_rozp!G6)+SPC_stat!J6))</f>
        <v>9561.5471897287534</v>
      </c>
      <c r="J6" s="80">
        <f t="shared" ref="J6" si="0">IF(H6=0,0,I6/H6)</f>
        <v>1</v>
      </c>
      <c r="K6" s="57">
        <f t="shared" ref="K6" si="1">IF(J6&gt;1.1,H6*1.1,IF(J6&lt;0.9,H6*0.9,I6))</f>
        <v>9561.5471897287534</v>
      </c>
      <c r="L6" s="57">
        <f>SPC_stat!G6*SPC_rozp!K6</f>
        <v>4752088.9532951908</v>
      </c>
      <c r="M6" s="57">
        <f t="shared" ref="M6" si="2">SUM(L6:L6)</f>
        <v>4752088.9532951908</v>
      </c>
      <c r="N6" s="61"/>
      <c r="O6" s="69">
        <f>ROUND(P6+normativ!$E$5,0)</f>
        <v>51792</v>
      </c>
      <c r="P6" s="70">
        <f>normativ!$E$4</f>
        <v>51792</v>
      </c>
      <c r="Q6" s="57">
        <v>0</v>
      </c>
      <c r="R6" s="57">
        <f t="shared" ref="R6" si="3">P6-Q6</f>
        <v>51792</v>
      </c>
    </row>
    <row r="7" spans="1:18" ht="15" customHeight="1" x14ac:dyDescent="0.2">
      <c r="A7" s="73">
        <f>SPC_stat!A7</f>
        <v>1456</v>
      </c>
      <c r="B7" s="60" t="str">
        <f>SPC_stat!B7</f>
        <v>ZŠ a MŠ pro tělesně postižené, Liberec, Lužická 920/7</v>
      </c>
      <c r="C7" s="73">
        <f>SPC_stat!C7</f>
        <v>3146</v>
      </c>
      <c r="D7" s="60" t="str">
        <f>SPC_stat!D7</f>
        <v>autismus</v>
      </c>
      <c r="E7" s="70">
        <f>normativ!$E$4</f>
        <v>51792</v>
      </c>
      <c r="F7" s="57">
        <f>SPC_stat!H7*((SPC_rozp!K7-SPC_stat!J7)/(12*1.348)-(SPC_rozp!G7/SPC_stat!I7))</f>
        <v>51792</v>
      </c>
      <c r="G7" s="57">
        <f>normativ!$E$6</f>
        <v>31320</v>
      </c>
      <c r="H7" s="57">
        <f>IF(SPC_stat!G7=0,0,(12*1.348*(1/SPC_stat!H7*SPC_rozp!E7+1/SPC_stat!I7*SPC_rozp!G7)+SPC_stat!J7))</f>
        <v>9561.5471897287534</v>
      </c>
      <c r="I7" s="57">
        <f>IF(SPC_stat!G7=0,0,(12*1.348*(1/SPC_stat!H7*O7+1/SPC_stat!I7*SPC_rozp!G7)+SPC_stat!J7))</f>
        <v>9561.5471897287534</v>
      </c>
      <c r="J7" s="80">
        <f t="shared" ref="J7:J13" si="4">IF(H7=0,0,I7/H7)</f>
        <v>1</v>
      </c>
      <c r="K7" s="57">
        <f t="shared" ref="K7:K13" si="5">IF(J7&gt;1.1,H7*1.1,IF(J7&lt;0.9,H7*0.9,I7))</f>
        <v>9561.5471897287534</v>
      </c>
      <c r="L7" s="57">
        <f>SPC_stat!G7*SPC_rozp!K7</f>
        <v>4522611.8207417</v>
      </c>
      <c r="M7" s="57">
        <f t="shared" ref="M7:M13" si="6">SUM(L7:L7)</f>
        <v>4522611.8207417</v>
      </c>
      <c r="N7" s="61"/>
      <c r="O7" s="69">
        <f>ROUND(P7+normativ!$E$5,0)</f>
        <v>51792</v>
      </c>
      <c r="P7" s="70">
        <f>normativ!$E$4</f>
        <v>51792</v>
      </c>
      <c r="Q7" s="57">
        <v>0</v>
      </c>
      <c r="R7" s="57">
        <f t="shared" ref="R7:R13" si="7">P7-Q7</f>
        <v>51792</v>
      </c>
    </row>
    <row r="8" spans="1:18" ht="15" customHeight="1" x14ac:dyDescent="0.2">
      <c r="A8" s="73">
        <f>SPC_stat!A8</f>
        <v>1457</v>
      </c>
      <c r="B8" s="60" t="str">
        <f>SPC_stat!B8</f>
        <v>ZŠ, Jablonec n. N., Liberecká 1734/31</v>
      </c>
      <c r="C8" s="73">
        <f>SPC_stat!C8</f>
        <v>3146</v>
      </c>
      <c r="D8" s="60" t="str">
        <f>SPC_stat!D8</f>
        <v>souběžné postižení více vadami</v>
      </c>
      <c r="E8" s="70">
        <f>normativ!$E$4</f>
        <v>51792</v>
      </c>
      <c r="F8" s="57">
        <f>SPC_stat!H8*((SPC_rozp!K8-SPC_stat!J8)/(12*1.348)-(SPC_rozp!G8/SPC_stat!I8))</f>
        <v>51792</v>
      </c>
      <c r="G8" s="57">
        <f>normativ!$E$6</f>
        <v>31320</v>
      </c>
      <c r="H8" s="57">
        <f>IF(SPC_stat!G8=0,0,(12*1.348*(1/SPC_stat!H8*SPC_rozp!E8+1/SPC_stat!I8*SPC_rozp!G8)+SPC_stat!J8))</f>
        <v>9561.5471897287534</v>
      </c>
      <c r="I8" s="57">
        <f>IF(SPC_stat!G8=0,0,(12*1.348*(1/SPC_stat!H8*O8+1/SPC_stat!I8*SPC_rozp!G8)+SPC_stat!J8))</f>
        <v>9561.5471897287534</v>
      </c>
      <c r="J8" s="80">
        <f t="shared" si="4"/>
        <v>1</v>
      </c>
      <c r="K8" s="57">
        <f t="shared" si="5"/>
        <v>9561.5471897287534</v>
      </c>
      <c r="L8" s="57">
        <f>SPC_stat!G8*SPC_rozp!K8</f>
        <v>4579981.1038800729</v>
      </c>
      <c r="M8" s="57">
        <f t="shared" si="6"/>
        <v>4579981.1038800729</v>
      </c>
      <c r="N8" s="12"/>
      <c r="O8" s="69">
        <f>ROUND(P8+normativ!$E$5,0)</f>
        <v>51792</v>
      </c>
      <c r="P8" s="70">
        <f>normativ!$E$4</f>
        <v>51792</v>
      </c>
      <c r="Q8" s="57">
        <v>0</v>
      </c>
      <c r="R8" s="57">
        <f t="shared" si="7"/>
        <v>51792</v>
      </c>
    </row>
    <row r="9" spans="1:18" ht="15" customHeight="1" x14ac:dyDescent="0.2">
      <c r="A9" s="73">
        <f>SPC_stat!A9</f>
        <v>1460</v>
      </c>
      <c r="B9" s="60" t="str">
        <f>SPC_stat!B9</f>
        <v>ZŠ a MŠ při nemocnici, Liberec, Husova 357/10</v>
      </c>
      <c r="C9" s="73">
        <f>SPC_stat!C9</f>
        <v>3146</v>
      </c>
      <c r="D9" s="60" t="str">
        <f>SPC_stat!D9</f>
        <v>zrakové postižení</v>
      </c>
      <c r="E9" s="70">
        <f>normativ!$E$4</f>
        <v>51792</v>
      </c>
      <c r="F9" s="57">
        <f>SPC_stat!H9*((SPC_rozp!K9-SPC_stat!J9)/(12*1.348)-(SPC_rozp!G9/SPC_stat!I9))</f>
        <v>51792</v>
      </c>
      <c r="G9" s="57">
        <f>normativ!$E$6</f>
        <v>31320</v>
      </c>
      <c r="H9" s="57">
        <f>IF(SPC_stat!G9=0,0,(12*1.348*(1/SPC_stat!H9*SPC_rozp!E9+1/SPC_stat!I9*SPC_rozp!G9)+SPC_stat!J9))</f>
        <v>9561.5471897287534</v>
      </c>
      <c r="I9" s="57">
        <f>IF(SPC_stat!G9=0,0,(12*1.348*(1/SPC_stat!H9*O9+1/SPC_stat!I9*SPC_rozp!G9)+SPC_stat!J9))</f>
        <v>9561.5471897287534</v>
      </c>
      <c r="J9" s="80">
        <f t="shared" si="4"/>
        <v>1</v>
      </c>
      <c r="K9" s="57">
        <f t="shared" si="5"/>
        <v>9561.5471897287534</v>
      </c>
      <c r="L9" s="57">
        <f>SPC_stat!G9*SPC_rozp!K9</f>
        <v>2103540.3817403256</v>
      </c>
      <c r="M9" s="57">
        <f t="shared" si="6"/>
        <v>2103540.3817403256</v>
      </c>
      <c r="N9" s="12"/>
      <c r="O9" s="69">
        <f>ROUND(P9+normativ!$E$5,0)</f>
        <v>51792</v>
      </c>
      <c r="P9" s="70">
        <f>normativ!$E$4</f>
        <v>51792</v>
      </c>
      <c r="Q9" s="57">
        <v>0</v>
      </c>
      <c r="R9" s="57">
        <f t="shared" si="7"/>
        <v>51792</v>
      </c>
    </row>
    <row r="10" spans="1:18" ht="15" customHeight="1" x14ac:dyDescent="0.2">
      <c r="A10" s="73">
        <f>SPC_stat!A10</f>
        <v>1494</v>
      </c>
      <c r="B10" s="60" t="str">
        <f>SPC_stat!B10</f>
        <v>Pedagogicko-psychologická poradna a speciálně pedagogické centrum, Semily, Nádražní 213</v>
      </c>
      <c r="C10" s="73">
        <f>SPC_stat!C10</f>
        <v>3146</v>
      </c>
      <c r="D10" s="60" t="str">
        <f>SPC_stat!D10</f>
        <v>autismus</v>
      </c>
      <c r="E10" s="70">
        <f>normativ!$E$4</f>
        <v>51792</v>
      </c>
      <c r="F10" s="57">
        <f>SPC_stat!H10*((SPC_rozp!K10-SPC_stat!J10)/(12*1.348)-(SPC_rozp!G10/SPC_stat!I10))</f>
        <v>51792</v>
      </c>
      <c r="G10" s="57">
        <f>normativ!$E$6</f>
        <v>31320</v>
      </c>
      <c r="H10" s="57">
        <f>IF(SPC_stat!G10=0,0,(12*1.348*(1/SPC_stat!H10*SPC_rozp!E10+1/SPC_stat!I10*SPC_rozp!G10)+SPC_stat!J10))</f>
        <v>9561.5471897287534</v>
      </c>
      <c r="I10" s="57">
        <f>IF(SPC_stat!G10=0,0,(12*1.348*(1/SPC_stat!H10*O10+1/SPC_stat!I10*SPC_rozp!G10)+SPC_stat!J10))</f>
        <v>9561.5471897287534</v>
      </c>
      <c r="J10" s="80">
        <f t="shared" si="4"/>
        <v>1</v>
      </c>
      <c r="K10" s="57">
        <f t="shared" si="5"/>
        <v>9561.5471897287534</v>
      </c>
      <c r="L10" s="57">
        <f>SPC_stat!G10*SPC_rozp!K10</f>
        <v>2285209.7783451723</v>
      </c>
      <c r="M10" s="57">
        <f t="shared" si="6"/>
        <v>2285209.7783451723</v>
      </c>
      <c r="N10" s="12"/>
      <c r="O10" s="69">
        <f>ROUND(P10+normativ!$E$5,0)</f>
        <v>51792</v>
      </c>
      <c r="P10" s="70">
        <f>normativ!$E$4</f>
        <v>51792</v>
      </c>
      <c r="Q10" s="57">
        <v>0</v>
      </c>
      <c r="R10" s="57">
        <f t="shared" si="7"/>
        <v>51792</v>
      </c>
    </row>
    <row r="11" spans="1:18" ht="15" customHeight="1" x14ac:dyDescent="0.2">
      <c r="A11" s="73">
        <f>SPC_stat!A11</f>
        <v>1498</v>
      </c>
      <c r="B11" s="60" t="str">
        <f>SPC_stat!B11</f>
        <v>SPC logopedické a surdopedické, Liberec, E. Krásnohorské 921</v>
      </c>
      <c r="C11" s="73">
        <f>SPC_stat!C11</f>
        <v>3146</v>
      </c>
      <c r="D11" s="60" t="str">
        <f>SPC_stat!D11</f>
        <v>různé druhy postižení</v>
      </c>
      <c r="E11" s="70">
        <f>normativ!$E$4</f>
        <v>51792</v>
      </c>
      <c r="F11" s="57">
        <f>SPC_stat!H11*((SPC_rozp!K11-SPC_stat!J11)/(12*1.348)-(SPC_rozp!G11/SPC_stat!I11))</f>
        <v>51792</v>
      </c>
      <c r="G11" s="57">
        <f>normativ!$E$6</f>
        <v>31320</v>
      </c>
      <c r="H11" s="57">
        <f>IF(SPC_stat!G11=0,0,(12*1.348*(1/SPC_stat!H11*SPC_rozp!E11+1/SPC_stat!I11*SPC_rozp!G11)+SPC_stat!J11))</f>
        <v>9561.5471897287534</v>
      </c>
      <c r="I11" s="57">
        <f>IF(SPC_stat!G11=0,0,(12*1.348*(1/SPC_stat!H11*O11+1/SPC_stat!I11*SPC_rozp!G11)+SPC_stat!J11))</f>
        <v>9561.5471897287534</v>
      </c>
      <c r="J11" s="80">
        <f t="shared" si="4"/>
        <v>1</v>
      </c>
      <c r="K11" s="57">
        <f t="shared" si="5"/>
        <v>9561.5471897287534</v>
      </c>
      <c r="L11" s="57">
        <f>SPC_stat!G11*SPC_rozp!K11</f>
        <v>9580670.2841082104</v>
      </c>
      <c r="M11" s="57">
        <f t="shared" si="6"/>
        <v>9580670.2841082104</v>
      </c>
      <c r="N11" s="12"/>
      <c r="O11" s="69">
        <f>ROUND(P11+normativ!$E$5,0)</f>
        <v>51792</v>
      </c>
      <c r="P11" s="70">
        <f>normativ!$E$4</f>
        <v>51792</v>
      </c>
      <c r="Q11" s="57">
        <v>0</v>
      </c>
      <c r="R11" s="57">
        <f t="shared" si="7"/>
        <v>51792</v>
      </c>
    </row>
    <row r="12" spans="1:18" ht="15" customHeight="1" x14ac:dyDescent="0.2">
      <c r="A12" s="73">
        <f>SPC_stat!A12</f>
        <v>1498</v>
      </c>
      <c r="B12" s="60" t="str">
        <f>SPC_stat!B12</f>
        <v>SPC logopedické a surdopedické, Liberec, E. Krásnohorské 921</v>
      </c>
      <c r="C12" s="73">
        <f>SPC_stat!C12</f>
        <v>3146</v>
      </c>
      <c r="D12" s="60" t="str">
        <f>SPC_stat!D12</f>
        <v>vady řeči</v>
      </c>
      <c r="E12" s="70">
        <f>normativ!$E$4</f>
        <v>51792</v>
      </c>
      <c r="F12" s="57">
        <f>SPC_stat!H12*((SPC_rozp!K12-SPC_stat!J12)/(12*1.348)-(SPC_rozp!G12/SPC_stat!I12))</f>
        <v>51792</v>
      </c>
      <c r="G12" s="57">
        <f>normativ!$E$6</f>
        <v>31320</v>
      </c>
      <c r="H12" s="57">
        <f>IF(SPC_stat!G12=0,0,(12*1.348*(1/SPC_stat!H12*SPC_rozp!E12+1/SPC_stat!I12*SPC_rozp!G12)+SPC_stat!J12))</f>
        <v>9561.5471897287534</v>
      </c>
      <c r="I12" s="57">
        <f>IF(SPC_stat!G12=0,0,(12*1.348*(1/SPC_stat!H12*O12+1/SPC_stat!I12*SPC_rozp!G12)+SPC_stat!J12))</f>
        <v>9561.5471897287534</v>
      </c>
      <c r="J12" s="80">
        <f t="shared" si="4"/>
        <v>1</v>
      </c>
      <c r="K12" s="57">
        <f t="shared" si="5"/>
        <v>9561.5471897287534</v>
      </c>
      <c r="L12" s="57">
        <f>SPC_stat!G12*SPC_rozp!K12</f>
        <v>1023085.5493009766</v>
      </c>
      <c r="M12" s="57">
        <f t="shared" si="6"/>
        <v>1023085.5493009766</v>
      </c>
      <c r="N12" s="12"/>
      <c r="O12" s="69">
        <f>ROUND(P12+normativ!$E$5,0)</f>
        <v>51792</v>
      </c>
      <c r="P12" s="70">
        <f>normativ!$E$4</f>
        <v>51792</v>
      </c>
      <c r="Q12" s="57">
        <v>0</v>
      </c>
      <c r="R12" s="57">
        <f t="shared" si="7"/>
        <v>51792</v>
      </c>
    </row>
    <row r="13" spans="1:18" ht="15" customHeight="1" x14ac:dyDescent="0.2">
      <c r="A13" s="73">
        <f>SPC_stat!A13</f>
        <v>1498</v>
      </c>
      <c r="B13" s="60" t="str">
        <f>SPC_stat!B13</f>
        <v>SPC logopedické a surdopedické, Liberec, E. Krásnohorské 921</v>
      </c>
      <c r="C13" s="73">
        <f>SPC_stat!C13</f>
        <v>3146</v>
      </c>
      <c r="D13" s="60" t="str">
        <f>SPC_stat!D13</f>
        <v>vady řeči</v>
      </c>
      <c r="E13" s="70">
        <f>normativ!$E$4</f>
        <v>51792</v>
      </c>
      <c r="F13" s="57">
        <f>SPC_stat!H13*((SPC_rozp!K13-SPC_stat!J13)/(12*1.348)-(SPC_rozp!G13/SPC_stat!I13))</f>
        <v>51792</v>
      </c>
      <c r="G13" s="57">
        <f>normativ!$E$6</f>
        <v>31320</v>
      </c>
      <c r="H13" s="57">
        <f>IF(SPC_stat!G13=0,0,(12*1.348*(1/SPC_stat!H13*SPC_rozp!E13+1/SPC_stat!I13*SPC_rozp!G13)+SPC_stat!J13))</f>
        <v>9561.5471897287534</v>
      </c>
      <c r="I13" s="57">
        <f>IF(SPC_stat!G13=0,0,(12*1.348*(1/SPC_stat!H13*O13+1/SPC_stat!I13*SPC_rozp!G13)+SPC_stat!J13))</f>
        <v>9561.5471897287534</v>
      </c>
      <c r="J13" s="80">
        <f t="shared" si="4"/>
        <v>1</v>
      </c>
      <c r="K13" s="57">
        <f t="shared" si="5"/>
        <v>9561.5471897287534</v>
      </c>
      <c r="L13" s="57">
        <f>SPC_stat!G13*SPC_rozp!K13</f>
        <v>1099577.9268188067</v>
      </c>
      <c r="M13" s="57">
        <f t="shared" si="6"/>
        <v>1099577.9268188067</v>
      </c>
      <c r="N13" s="12"/>
      <c r="O13" s="69">
        <f>ROUND(P13+normativ!$E$5,0)</f>
        <v>51792</v>
      </c>
      <c r="P13" s="70">
        <f>normativ!$E$4</f>
        <v>51792</v>
      </c>
      <c r="Q13" s="57">
        <v>0</v>
      </c>
      <c r="R13" s="57">
        <f t="shared" si="7"/>
        <v>51792</v>
      </c>
    </row>
    <row r="14" spans="1:18" ht="15" customHeight="1" x14ac:dyDescent="0.2">
      <c r="A14" s="77" t="s">
        <v>45</v>
      </c>
      <c r="B14" s="78" t="s">
        <v>46</v>
      </c>
      <c r="C14" s="77" t="s">
        <v>45</v>
      </c>
      <c r="D14" s="77" t="s">
        <v>45</v>
      </c>
      <c r="E14" s="82" t="s">
        <v>61</v>
      </c>
      <c r="F14" s="82" t="s">
        <v>61</v>
      </c>
      <c r="G14" s="82" t="s">
        <v>61</v>
      </c>
      <c r="H14" s="83">
        <f>SUM(H6:H10)</f>
        <v>47807.735948643764</v>
      </c>
      <c r="I14" s="83">
        <f>SUM(I6:I10)</f>
        <v>47807.735948643764</v>
      </c>
      <c r="J14" s="77" t="s">
        <v>61</v>
      </c>
      <c r="K14" s="82" t="s">
        <v>61</v>
      </c>
      <c r="L14" s="83">
        <f>SUM(L6:L13)</f>
        <v>29946765.798230458</v>
      </c>
      <c r="M14" s="83">
        <f>SUM(M6:M13)</f>
        <v>29946765.798230458</v>
      </c>
      <c r="N14" s="62"/>
      <c r="O14" s="82" t="s">
        <v>61</v>
      </c>
      <c r="P14" s="82" t="s">
        <v>61</v>
      </c>
      <c r="Q14" s="82" t="s">
        <v>61</v>
      </c>
      <c r="R14" s="82" t="s">
        <v>61</v>
      </c>
    </row>
    <row r="15" spans="1:18" ht="18" customHeight="1" x14ac:dyDescent="0.2">
      <c r="C15" s="4"/>
    </row>
    <row r="16" spans="1:18" ht="18" customHeight="1" x14ac:dyDescent="0.2">
      <c r="C16" s="4"/>
    </row>
    <row r="17" spans="2:3" ht="18" customHeight="1" x14ac:dyDescent="0.2">
      <c r="C17" s="4"/>
    </row>
    <row r="18" spans="2:3" ht="18" customHeight="1" x14ac:dyDescent="0.2">
      <c r="C18" s="4"/>
    </row>
    <row r="19" spans="2:3" ht="18" customHeight="1" x14ac:dyDescent="0.2">
      <c r="C19" s="4"/>
    </row>
    <row r="20" spans="2:3" ht="18" customHeight="1" x14ac:dyDescent="0.2">
      <c r="C20" s="4"/>
    </row>
    <row r="21" spans="2:3" ht="18" customHeight="1" x14ac:dyDescent="0.2">
      <c r="B21" s="96"/>
      <c r="C21" s="4"/>
    </row>
    <row r="22" spans="2:3" ht="18" customHeight="1" x14ac:dyDescent="0.2">
      <c r="C22" s="4"/>
    </row>
    <row r="23" spans="2:3" ht="18" customHeight="1" x14ac:dyDescent="0.2">
      <c r="C23" s="4"/>
    </row>
    <row r="24" spans="2:3" ht="18" customHeight="1" x14ac:dyDescent="0.2">
      <c r="C24" s="4"/>
    </row>
    <row r="25" spans="2:3" ht="18" customHeight="1" x14ac:dyDescent="0.2">
      <c r="C25" s="4"/>
    </row>
    <row r="26" spans="2:3" ht="18" customHeight="1" x14ac:dyDescent="0.2">
      <c r="C26" s="4"/>
    </row>
    <row r="27" spans="2:3" ht="18" customHeight="1" x14ac:dyDescent="0.2">
      <c r="C27" s="4"/>
    </row>
    <row r="28" spans="2:3" ht="18" customHeight="1" x14ac:dyDescent="0.2">
      <c r="C28" s="4"/>
    </row>
    <row r="29" spans="2:3" ht="18" customHeight="1" x14ac:dyDescent="0.2">
      <c r="C29" s="4"/>
    </row>
    <row r="30" spans="2:3" ht="18" customHeight="1" x14ac:dyDescent="0.2">
      <c r="C30" s="4"/>
    </row>
    <row r="31" spans="2:3" ht="18" customHeight="1" x14ac:dyDescent="0.2">
      <c r="C31" s="4"/>
    </row>
    <row r="32" spans="2:3" ht="18" customHeight="1" x14ac:dyDescent="0.2">
      <c r="C32" s="4"/>
    </row>
    <row r="33" spans="3:3" ht="18" customHeight="1" x14ac:dyDescent="0.2">
      <c r="C33" s="4"/>
    </row>
    <row r="34" spans="3:3" ht="18" customHeight="1" x14ac:dyDescent="0.2">
      <c r="C34" s="4"/>
    </row>
    <row r="35" spans="3:3" ht="18" customHeight="1" x14ac:dyDescent="0.2">
      <c r="C35" s="4"/>
    </row>
    <row r="36" spans="3:3" ht="18" customHeight="1" x14ac:dyDescent="0.2">
      <c r="C36" s="4"/>
    </row>
    <row r="37" spans="3:3" ht="18" customHeight="1" x14ac:dyDescent="0.2">
      <c r="C37" s="4"/>
    </row>
    <row r="38" spans="3:3" ht="18" customHeight="1" x14ac:dyDescent="0.2">
      <c r="C38" s="4"/>
    </row>
    <row r="39" spans="3:3" ht="18" customHeight="1" x14ac:dyDescent="0.2">
      <c r="C39" s="4"/>
    </row>
    <row r="40" spans="3:3" ht="18" customHeight="1" x14ac:dyDescent="0.2">
      <c r="C40" s="4"/>
    </row>
    <row r="41" spans="3:3" ht="18" customHeight="1" x14ac:dyDescent="0.2">
      <c r="C41" s="4"/>
    </row>
    <row r="42" spans="3:3" ht="18" customHeight="1" x14ac:dyDescent="0.2">
      <c r="C42" s="4"/>
    </row>
    <row r="43" spans="3:3" ht="18" customHeight="1" x14ac:dyDescent="0.2">
      <c r="C43" s="4"/>
    </row>
    <row r="44" spans="3:3" ht="18" customHeight="1" x14ac:dyDescent="0.2">
      <c r="C44" s="4"/>
    </row>
    <row r="45" spans="3:3" ht="18" customHeight="1" x14ac:dyDescent="0.2">
      <c r="C45" s="4"/>
    </row>
    <row r="46" spans="3:3" ht="18" customHeight="1" x14ac:dyDescent="0.2">
      <c r="C46" s="4"/>
    </row>
    <row r="47" spans="3:3" ht="18" customHeight="1" x14ac:dyDescent="0.2">
      <c r="C47" s="4"/>
    </row>
    <row r="48" spans="3:3" ht="18" customHeight="1" x14ac:dyDescent="0.2">
      <c r="C48" s="4"/>
    </row>
    <row r="49" spans="2:3" ht="18" customHeight="1" x14ac:dyDescent="0.2">
      <c r="C49" s="4"/>
    </row>
    <row r="50" spans="2:3" ht="18" customHeight="1" x14ac:dyDescent="0.2">
      <c r="B50" s="3"/>
      <c r="C50" s="7"/>
    </row>
    <row r="51" spans="2:3" ht="18" customHeight="1" x14ac:dyDescent="0.2">
      <c r="C51" s="4"/>
    </row>
    <row r="52" spans="2:3" ht="18" customHeight="1" x14ac:dyDescent="0.2">
      <c r="B52" s="3"/>
      <c r="C52" s="7"/>
    </row>
    <row r="53" spans="2:3" ht="18" customHeight="1" x14ac:dyDescent="0.2">
      <c r="C53" s="4"/>
    </row>
    <row r="54" spans="2:3" ht="18" customHeight="1" x14ac:dyDescent="0.2">
      <c r="B54" s="3"/>
      <c r="C54" s="7"/>
    </row>
    <row r="55" spans="2:3" ht="18" customHeight="1" x14ac:dyDescent="0.2">
      <c r="C55" s="4"/>
    </row>
    <row r="56" spans="2:3" ht="18" customHeight="1" x14ac:dyDescent="0.2">
      <c r="C56" s="4"/>
    </row>
    <row r="57" spans="2:3" ht="18" customHeight="1" x14ac:dyDescent="0.2">
      <c r="B57" s="3"/>
      <c r="C57" s="7"/>
    </row>
    <row r="58" spans="2:3" ht="18" customHeight="1" x14ac:dyDescent="0.2">
      <c r="C58" s="4"/>
    </row>
    <row r="59" spans="2:3" ht="18" customHeight="1" x14ac:dyDescent="0.2">
      <c r="B59" s="3"/>
      <c r="C59" s="7"/>
    </row>
    <row r="60" spans="2:3" ht="18" customHeight="1" x14ac:dyDescent="0.2">
      <c r="C60" s="4"/>
    </row>
    <row r="61" spans="2:3" ht="18" customHeight="1" x14ac:dyDescent="0.2">
      <c r="B61" s="3"/>
      <c r="C61" s="7"/>
    </row>
    <row r="62" spans="2:3" ht="18" customHeight="1" x14ac:dyDescent="0.2">
      <c r="C62" s="4"/>
    </row>
    <row r="63" spans="2:3" ht="18" customHeight="1" x14ac:dyDescent="0.2">
      <c r="C63" s="4"/>
    </row>
    <row r="64" spans="2:3" ht="18" customHeight="1" x14ac:dyDescent="0.2">
      <c r="B64" s="3"/>
      <c r="C64" s="7"/>
    </row>
    <row r="65" spans="2:3" ht="18" customHeight="1" x14ac:dyDescent="0.2">
      <c r="C65" s="4"/>
    </row>
    <row r="66" spans="2:3" ht="18" customHeight="1" x14ac:dyDescent="0.2">
      <c r="C66" s="4"/>
    </row>
    <row r="67" spans="2:3" ht="18" customHeight="1" x14ac:dyDescent="0.2">
      <c r="C67" s="4"/>
    </row>
    <row r="68" spans="2:3" ht="18" customHeight="1" x14ac:dyDescent="0.2">
      <c r="C68" s="4"/>
    </row>
    <row r="69" spans="2:3" ht="18" customHeight="1" x14ac:dyDescent="0.2">
      <c r="C69" s="4"/>
    </row>
    <row r="70" spans="2:3" ht="18" customHeight="1" x14ac:dyDescent="0.2">
      <c r="C70" s="4"/>
    </row>
    <row r="71" spans="2:3" ht="18" customHeight="1" x14ac:dyDescent="0.2">
      <c r="B71" s="3"/>
      <c r="C71" s="7"/>
    </row>
    <row r="72" spans="2:3" ht="18" customHeight="1" x14ac:dyDescent="0.2">
      <c r="C72" s="4"/>
    </row>
    <row r="73" spans="2:3" ht="18" customHeight="1" x14ac:dyDescent="0.2">
      <c r="B73" s="3"/>
      <c r="C73" s="7"/>
    </row>
    <row r="74" spans="2:3" ht="18" customHeight="1" x14ac:dyDescent="0.2">
      <c r="C74" s="4"/>
    </row>
    <row r="75" spans="2:3" ht="18" customHeight="1" x14ac:dyDescent="0.2">
      <c r="C75" s="4"/>
    </row>
    <row r="76" spans="2:3" ht="18" customHeight="1" x14ac:dyDescent="0.2">
      <c r="C76" s="4"/>
    </row>
    <row r="77" spans="2:3" ht="18" customHeight="1" x14ac:dyDescent="0.2">
      <c r="C77" s="4"/>
    </row>
    <row r="78" spans="2:3" ht="18" customHeight="1" x14ac:dyDescent="0.2">
      <c r="C78" s="4"/>
    </row>
    <row r="79" spans="2:3" ht="18" customHeight="1" x14ac:dyDescent="0.2">
      <c r="B79" s="3"/>
      <c r="C79" s="7"/>
    </row>
    <row r="80" spans="2:3" ht="18" customHeight="1" x14ac:dyDescent="0.2">
      <c r="C80" s="4"/>
    </row>
    <row r="81" spans="2:3" ht="18" customHeight="1" x14ac:dyDescent="0.2">
      <c r="C81" s="4"/>
    </row>
    <row r="82" spans="2:3" ht="18" customHeight="1" x14ac:dyDescent="0.2">
      <c r="B82" s="3"/>
      <c r="C82" s="7"/>
    </row>
    <row r="83" spans="2:3" ht="18" customHeight="1" x14ac:dyDescent="0.2">
      <c r="C83" s="4"/>
    </row>
    <row r="84" spans="2:3" ht="18" customHeight="1" x14ac:dyDescent="0.2">
      <c r="C84" s="4"/>
    </row>
    <row r="85" spans="2:3" ht="18" customHeight="1" x14ac:dyDescent="0.2">
      <c r="B85" s="3"/>
      <c r="C85" s="7"/>
    </row>
    <row r="86" spans="2:3" ht="18" customHeight="1" x14ac:dyDescent="0.2">
      <c r="C86" s="4"/>
    </row>
    <row r="87" spans="2:3" ht="18" customHeight="1" x14ac:dyDescent="0.2">
      <c r="C87" s="4"/>
    </row>
    <row r="88" spans="2:3" ht="18" customHeight="1" x14ac:dyDescent="0.2">
      <c r="B88" s="3"/>
      <c r="C88" s="7"/>
    </row>
    <row r="89" spans="2:3" ht="18" customHeight="1" x14ac:dyDescent="0.2">
      <c r="C89" s="4"/>
    </row>
    <row r="90" spans="2:3" ht="18" customHeight="1" x14ac:dyDescent="0.2">
      <c r="B90" s="3"/>
      <c r="C90" s="7"/>
    </row>
    <row r="91" spans="2:3" ht="18" customHeight="1" x14ac:dyDescent="0.2">
      <c r="C91" s="4"/>
    </row>
    <row r="92" spans="2:3" ht="18" customHeight="1" x14ac:dyDescent="0.2">
      <c r="B92" s="3"/>
      <c r="C92" s="7"/>
    </row>
    <row r="93" spans="2:3" ht="18" customHeight="1" x14ac:dyDescent="0.2">
      <c r="C93" s="4"/>
    </row>
    <row r="94" spans="2:3" ht="18" customHeight="1" x14ac:dyDescent="0.2">
      <c r="C94" s="4"/>
    </row>
    <row r="95" spans="2:3" ht="18" customHeight="1" x14ac:dyDescent="0.2">
      <c r="B95" s="3"/>
      <c r="C95" s="7"/>
    </row>
    <row r="96" spans="2:3" ht="18" customHeight="1" x14ac:dyDescent="0.2">
      <c r="C96" s="4"/>
    </row>
    <row r="97" spans="2:3" ht="18" customHeight="1" x14ac:dyDescent="0.2">
      <c r="B97" s="3"/>
      <c r="C97" s="7"/>
    </row>
    <row r="98" spans="2:3" ht="18" customHeight="1" x14ac:dyDescent="0.2">
      <c r="C98" s="4"/>
    </row>
    <row r="99" spans="2:3" ht="18" customHeight="1" x14ac:dyDescent="0.2">
      <c r="C99" s="4"/>
    </row>
    <row r="100" spans="2:3" ht="18" customHeight="1" x14ac:dyDescent="0.2">
      <c r="C100" s="4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8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20" sqref="I20"/>
    </sheetView>
  </sheetViews>
  <sheetFormatPr defaultRowHeight="12.75" x14ac:dyDescent="0.2"/>
  <cols>
    <col min="1" max="1" width="7.140625" customWidth="1"/>
    <col min="2" max="2" width="45.140625" customWidth="1"/>
    <col min="3" max="3" width="6.7109375" customWidth="1"/>
    <col min="4" max="4" width="24.140625" customWidth="1"/>
    <col min="5" max="9" width="11.28515625" style="72" customWidth="1"/>
    <col min="10" max="10" width="11.28515625" customWidth="1"/>
    <col min="11" max="13" width="11.28515625" style="72" customWidth="1"/>
    <col min="14" max="15" width="11.28515625" customWidth="1"/>
    <col min="16" max="16" width="8.85546875" customWidth="1"/>
    <col min="17" max="17" width="6.85546875" customWidth="1"/>
    <col min="18" max="18" width="9.140625" customWidth="1"/>
    <col min="19" max="19" width="8.7109375" customWidth="1"/>
    <col min="20" max="20" width="9.140625" customWidth="1"/>
    <col min="21" max="21" width="4.42578125" customWidth="1"/>
  </cols>
  <sheetData>
    <row r="1" spans="1:20" ht="21" customHeight="1" x14ac:dyDescent="0.3">
      <c r="A1" s="1"/>
      <c r="B1" s="95" t="str">
        <f>SPC_stat!B1</f>
        <v xml:space="preserve">Speciálně pedagogická centra </v>
      </c>
      <c r="C1" s="8"/>
      <c r="D1" s="8"/>
      <c r="F1" s="12"/>
      <c r="H1" s="12"/>
      <c r="O1" s="1"/>
      <c r="P1" s="1"/>
    </row>
    <row r="2" spans="1:20" ht="15" customHeight="1" x14ac:dyDescent="0.25">
      <c r="A2" s="1"/>
      <c r="B2" s="87" t="str">
        <f>SPC_stat!B2</f>
        <v>KRAJ - Liberecký</v>
      </c>
      <c r="C2" s="9"/>
      <c r="D2" s="1"/>
      <c r="E2" s="12"/>
      <c r="F2" s="12"/>
      <c r="G2" s="12"/>
      <c r="H2" s="12"/>
      <c r="M2" s="12"/>
      <c r="P2" s="59"/>
    </row>
    <row r="3" spans="1:20" ht="15" customHeight="1" x14ac:dyDescent="0.25">
      <c r="A3" s="1"/>
      <c r="B3" s="88" t="s">
        <v>62</v>
      </c>
      <c r="C3" s="52"/>
      <c r="D3" s="1"/>
      <c r="E3" s="12"/>
      <c r="F3" s="12"/>
      <c r="G3" s="12"/>
      <c r="H3" s="12"/>
      <c r="M3" s="12"/>
    </row>
    <row r="4" spans="1:20" ht="15" customHeight="1" x14ac:dyDescent="0.25">
      <c r="A4" s="1"/>
      <c r="B4" s="89">
        <f>SPC_stat!B4</f>
        <v>2024</v>
      </c>
      <c r="C4" s="52"/>
      <c r="D4" s="1"/>
      <c r="E4" s="12"/>
      <c r="F4" s="12"/>
      <c r="G4" s="12"/>
      <c r="H4" s="12"/>
      <c r="K4" s="118" t="s">
        <v>63</v>
      </c>
      <c r="L4" s="119"/>
      <c r="M4" s="119"/>
      <c r="N4" s="119"/>
      <c r="O4" s="119"/>
      <c r="P4" s="119"/>
      <c r="Q4" s="119"/>
      <c r="R4" s="119"/>
    </row>
    <row r="5" spans="1:20" ht="33.75" x14ac:dyDescent="0.2">
      <c r="A5" s="74" t="s">
        <v>32</v>
      </c>
      <c r="B5" s="75" t="s">
        <v>33</v>
      </c>
      <c r="C5" s="74" t="s">
        <v>34</v>
      </c>
      <c r="D5" s="75" t="s">
        <v>35</v>
      </c>
      <c r="E5" s="74" t="s">
        <v>11</v>
      </c>
      <c r="F5" s="81" t="s">
        <v>64</v>
      </c>
      <c r="G5" s="81" t="s">
        <v>65</v>
      </c>
      <c r="H5" s="81" t="s">
        <v>66</v>
      </c>
      <c r="I5" s="81" t="s">
        <v>10</v>
      </c>
      <c r="J5" s="74" t="s">
        <v>67</v>
      </c>
      <c r="K5" s="81" t="s">
        <v>68</v>
      </c>
      <c r="L5" s="81" t="s">
        <v>69</v>
      </c>
      <c r="M5" s="81" t="s">
        <v>70</v>
      </c>
      <c r="N5" s="81" t="s">
        <v>71</v>
      </c>
      <c r="O5" s="81" t="s">
        <v>72</v>
      </c>
      <c r="P5" s="75" t="s">
        <v>1</v>
      </c>
      <c r="Q5" s="75" t="s">
        <v>5</v>
      </c>
      <c r="R5" s="74" t="s">
        <v>73</v>
      </c>
      <c r="S5" s="105" t="s">
        <v>74</v>
      </c>
      <c r="T5" s="74" t="s">
        <v>75</v>
      </c>
    </row>
    <row r="6" spans="1:20" ht="15" customHeight="1" x14ac:dyDescent="0.2">
      <c r="A6" s="73">
        <f>SPC_stat!A6</f>
        <v>1456</v>
      </c>
      <c r="B6" s="60" t="str">
        <f>SPC_stat!B6</f>
        <v>ZŠ a MŠ pro tělesně postižené, Liberec, Lužická 920/7</v>
      </c>
      <c r="C6" s="73">
        <f>SPC_stat!C6</f>
        <v>3146</v>
      </c>
      <c r="D6" s="60" t="str">
        <f>SPC_stat!D6</f>
        <v>tělesné postižení</v>
      </c>
      <c r="E6" s="57">
        <f>ROUND(SPC_rozp!M6,0)</f>
        <v>4752089</v>
      </c>
      <c r="F6" s="57">
        <f t="shared" ref="F6" si="0">ROUND((E6-I6)/1.348,0)</f>
        <v>3521233</v>
      </c>
      <c r="G6" s="57">
        <f t="shared" ref="G6" si="1">ROUND(E6-F6-H6-I6,0)</f>
        <v>1190177</v>
      </c>
      <c r="H6" s="57">
        <f>ROUND(F6*0.01,0)</f>
        <v>35212</v>
      </c>
      <c r="I6" s="57">
        <f>ROUND(SPC_stat!G6*SPC_stat!J6,0)</f>
        <v>5467</v>
      </c>
      <c r="J6" s="56">
        <f>ROUND(((M6/SPC_rozp!F6)+(SPC_ZUKA!N6/SPC_rozp!G6))/12,2)</f>
        <v>6.06</v>
      </c>
      <c r="K6" s="57">
        <f>IF(SPC_stat!H6=0,0,12*1.348*1/SPC_stat!H6*SPC_rozp!F6)</f>
        <v>8536.9474754430394</v>
      </c>
      <c r="L6" s="57">
        <f>IF(SPC_stat!I6=0,0,12*1.348*1/SPC_stat!I6*SPC_rozp!G6)</f>
        <v>1013.5997142857145</v>
      </c>
      <c r="M6" s="57">
        <f>ROUND(SPC_ZUKA!K6*SPC_stat!G6/1.348,0)</f>
        <v>3147524</v>
      </c>
      <c r="N6" s="57">
        <f>ROUND(L6*SPC_stat!G6/1.348,0)</f>
        <v>373709</v>
      </c>
      <c r="O6" s="57">
        <f t="shared" ref="O6" si="2">M6+N6</f>
        <v>3521233</v>
      </c>
      <c r="P6" s="56">
        <f>ROUND(SPC_stat!G6/SPC_stat!H6,2)</f>
        <v>5.0599999999999996</v>
      </c>
      <c r="Q6" s="56">
        <f>ROUND(SPC_stat!G6/SPC_stat!I6,2)</f>
        <v>0.99</v>
      </c>
      <c r="R6" s="56">
        <f t="shared" ref="R6" si="3">P6+Q6</f>
        <v>6.05</v>
      </c>
      <c r="S6" s="106"/>
      <c r="T6" s="10">
        <f>SPC_stat!G6</f>
        <v>497</v>
      </c>
    </row>
    <row r="7" spans="1:20" ht="15" customHeight="1" x14ac:dyDescent="0.2">
      <c r="A7" s="73">
        <f>SPC_stat!A7</f>
        <v>1456</v>
      </c>
      <c r="B7" s="60" t="str">
        <f>SPC_stat!B7</f>
        <v>ZŠ a MŠ pro tělesně postižené, Liberec, Lužická 920/7</v>
      </c>
      <c r="C7" s="73">
        <f>SPC_stat!C7</f>
        <v>3146</v>
      </c>
      <c r="D7" s="60" t="str">
        <f>SPC_stat!D7</f>
        <v>autismus</v>
      </c>
      <c r="E7" s="57">
        <f>ROUND(SPC_rozp!M7,0)</f>
        <v>4522612</v>
      </c>
      <c r="F7" s="57">
        <f t="shared" ref="F7:F13" si="4">ROUND((E7-I7)/1.348,0)</f>
        <v>3351194</v>
      </c>
      <c r="G7" s="57">
        <f t="shared" ref="G7:G13" si="5">ROUND(E7-F7-H7-I7,0)</f>
        <v>1132703</v>
      </c>
      <c r="H7" s="57">
        <f t="shared" ref="H7:H13" si="6">ROUND(F7*0.01,0)</f>
        <v>33512</v>
      </c>
      <c r="I7" s="57">
        <f>ROUND(SPC_stat!G7*SPC_stat!J7,0)</f>
        <v>5203</v>
      </c>
      <c r="J7" s="56">
        <f>ROUND(((M7/SPC_rozp!F7)+(SPC_ZUKA!N7/SPC_rozp!G7))/12,2)</f>
        <v>5.77</v>
      </c>
      <c r="K7" s="57">
        <f>IF(SPC_stat!H7=0,0,12*1.348*1/SPC_stat!H7*SPC_rozp!F7)</f>
        <v>8536.9474754430394</v>
      </c>
      <c r="L7" s="57">
        <f>IF(SPC_stat!I7=0,0,12*1.348*1/SPC_stat!I7*SPC_rozp!G7)</f>
        <v>1013.5997142857145</v>
      </c>
      <c r="M7" s="57">
        <f>ROUND(SPC_ZUKA!K7*SPC_stat!G7/1.348,0)</f>
        <v>2995531</v>
      </c>
      <c r="N7" s="57">
        <f>ROUND(L7*SPC_stat!G7/1.348,0)</f>
        <v>355662</v>
      </c>
      <c r="O7" s="57">
        <f t="shared" ref="O7:O13" si="7">M7+N7</f>
        <v>3351193</v>
      </c>
      <c r="P7" s="56">
        <f>ROUND(SPC_stat!G7/SPC_stat!H7,2)</f>
        <v>4.82</v>
      </c>
      <c r="Q7" s="56">
        <f>ROUND(SPC_stat!G7/SPC_stat!I7,2)</f>
        <v>0.95</v>
      </c>
      <c r="R7" s="56">
        <f t="shared" ref="R7:R13" si="8">P7+Q7</f>
        <v>5.7700000000000005</v>
      </c>
      <c r="S7" s="106"/>
      <c r="T7" s="10">
        <f>SPC_stat!G7</f>
        <v>473</v>
      </c>
    </row>
    <row r="8" spans="1:20" ht="15" customHeight="1" x14ac:dyDescent="0.2">
      <c r="A8" s="73">
        <f>SPC_stat!A8</f>
        <v>1457</v>
      </c>
      <c r="B8" s="60" t="str">
        <f>SPC_stat!B8</f>
        <v>ZŠ, Jablonec n. N., Liberecká 1734/31</v>
      </c>
      <c r="C8" s="73">
        <f>SPC_stat!C8</f>
        <v>3146</v>
      </c>
      <c r="D8" s="60" t="str">
        <f>SPC_stat!D8</f>
        <v>souběžné postižení více vadami</v>
      </c>
      <c r="E8" s="57">
        <f>ROUND(SPC_rozp!M8,0)</f>
        <v>4579981</v>
      </c>
      <c r="F8" s="57">
        <f t="shared" si="4"/>
        <v>3393703</v>
      </c>
      <c r="G8" s="57">
        <f t="shared" si="5"/>
        <v>1147072</v>
      </c>
      <c r="H8" s="57">
        <f t="shared" si="6"/>
        <v>33937</v>
      </c>
      <c r="I8" s="57">
        <f>ROUND(SPC_stat!G8*SPC_stat!J8,0)</f>
        <v>5269</v>
      </c>
      <c r="J8" s="56">
        <f>ROUND(((M8/SPC_rozp!F8)+(SPC_ZUKA!N8/SPC_rozp!G8))/12,2)</f>
        <v>5.84</v>
      </c>
      <c r="K8" s="57">
        <f>IF(SPC_stat!H8=0,0,12*1.348*1/SPC_stat!H8*SPC_rozp!F8)</f>
        <v>8536.9474754430394</v>
      </c>
      <c r="L8" s="57">
        <f>IF(SPC_stat!I8=0,0,12*1.348*1/SPC_stat!I8*SPC_rozp!G8)</f>
        <v>1013.5997142857145</v>
      </c>
      <c r="M8" s="57">
        <f>ROUND(SPC_ZUKA!K8*SPC_stat!G8/1.348,0)</f>
        <v>3033530</v>
      </c>
      <c r="N8" s="57">
        <f>ROUND(L8*SPC_stat!G8/1.348,0)</f>
        <v>360174</v>
      </c>
      <c r="O8" s="57">
        <f t="shared" si="7"/>
        <v>3393704</v>
      </c>
      <c r="P8" s="56">
        <f>ROUND(SPC_stat!G8/SPC_stat!H8,2)</f>
        <v>4.88</v>
      </c>
      <c r="Q8" s="56">
        <f>ROUND(SPC_stat!G8/SPC_stat!I8,2)</f>
        <v>0.96</v>
      </c>
      <c r="R8" s="56">
        <f t="shared" si="8"/>
        <v>5.84</v>
      </c>
      <c r="S8" s="106"/>
      <c r="T8" s="10">
        <f>SPC_stat!G8</f>
        <v>479</v>
      </c>
    </row>
    <row r="9" spans="1:20" ht="15" customHeight="1" x14ac:dyDescent="0.2">
      <c r="A9" s="73">
        <f>SPC_stat!A9</f>
        <v>1460</v>
      </c>
      <c r="B9" s="60" t="str">
        <f>SPC_stat!B9</f>
        <v>ZŠ a MŠ při nemocnici, Liberec, Husova 357/10</v>
      </c>
      <c r="C9" s="73">
        <f>SPC_stat!C9</f>
        <v>3146</v>
      </c>
      <c r="D9" s="60" t="str">
        <f>SPC_stat!D9</f>
        <v>zrakové postižení</v>
      </c>
      <c r="E9" s="57">
        <f>ROUND(SPC_rozp!M9,0)</f>
        <v>2103540</v>
      </c>
      <c r="F9" s="57">
        <f t="shared" si="4"/>
        <v>1558694</v>
      </c>
      <c r="G9" s="57">
        <f t="shared" si="5"/>
        <v>526839</v>
      </c>
      <c r="H9" s="57">
        <f t="shared" si="6"/>
        <v>15587</v>
      </c>
      <c r="I9" s="57">
        <f>ROUND(SPC_stat!G9*SPC_stat!J9,0)</f>
        <v>2420</v>
      </c>
      <c r="J9" s="56">
        <f>ROUND(((M9/SPC_rozp!F9)+(SPC_ZUKA!N9/SPC_rozp!G9))/12,2)</f>
        <v>2.68</v>
      </c>
      <c r="K9" s="57">
        <f>IF(SPC_stat!H9=0,0,12*1.348*1/SPC_stat!H9*SPC_rozp!F9)</f>
        <v>8536.9474754430394</v>
      </c>
      <c r="L9" s="57">
        <f>IF(SPC_stat!I9=0,0,12*1.348*1/SPC_stat!I9*SPC_rozp!G9)</f>
        <v>1013.5997142857145</v>
      </c>
      <c r="M9" s="57">
        <f>ROUND(SPC_ZUKA!K9*SPC_stat!G9/1.348,0)</f>
        <v>1393270</v>
      </c>
      <c r="N9" s="57">
        <f>ROUND(L9*SPC_stat!G9/1.348,0)</f>
        <v>165424</v>
      </c>
      <c r="O9" s="57">
        <f t="shared" si="7"/>
        <v>1558694</v>
      </c>
      <c r="P9" s="56">
        <f>ROUND(SPC_stat!G9/SPC_stat!H9,2)</f>
        <v>2.2400000000000002</v>
      </c>
      <c r="Q9" s="56">
        <f>ROUND(SPC_stat!G9/SPC_stat!I9,2)</f>
        <v>0.44</v>
      </c>
      <c r="R9" s="56">
        <f t="shared" si="8"/>
        <v>2.68</v>
      </c>
      <c r="S9" s="106"/>
      <c r="T9" s="10">
        <f>SPC_stat!G9</f>
        <v>220</v>
      </c>
    </row>
    <row r="10" spans="1:20" ht="15" customHeight="1" x14ac:dyDescent="0.2">
      <c r="A10" s="73">
        <f>SPC_stat!A10</f>
        <v>1494</v>
      </c>
      <c r="B10" s="60" t="str">
        <f>SPC_stat!B10</f>
        <v>Pedagogicko-psychologická poradna a speciálně pedagogické centrum, Semily, Nádražní 213</v>
      </c>
      <c r="C10" s="73">
        <f>SPC_stat!C10</f>
        <v>3146</v>
      </c>
      <c r="D10" s="60" t="str">
        <f>SPC_stat!D10</f>
        <v>autismus</v>
      </c>
      <c r="E10" s="57">
        <f>ROUND(SPC_rozp!M10,0)</f>
        <v>2285210</v>
      </c>
      <c r="F10" s="57">
        <f t="shared" si="4"/>
        <v>1693309</v>
      </c>
      <c r="G10" s="57">
        <f t="shared" si="5"/>
        <v>572339</v>
      </c>
      <c r="H10" s="57">
        <f t="shared" si="6"/>
        <v>16933</v>
      </c>
      <c r="I10" s="57">
        <f>ROUND(SPC_stat!G10*SPC_stat!J10,0)</f>
        <v>2629</v>
      </c>
      <c r="J10" s="56">
        <f>ROUND(((M10/SPC_rozp!F10)+(SPC_ZUKA!N10/SPC_rozp!G10))/12,2)</f>
        <v>2.91</v>
      </c>
      <c r="K10" s="57">
        <f>IF(SPC_stat!H10=0,0,12*1.348*1/SPC_stat!H10*SPC_rozp!F10)</f>
        <v>8536.9474754430394</v>
      </c>
      <c r="L10" s="57">
        <f>IF(SPC_stat!I10=0,0,12*1.348*1/SPC_stat!I10*SPC_rozp!G10)</f>
        <v>1013.5997142857145</v>
      </c>
      <c r="M10" s="57">
        <f>ROUND(SPC_ZUKA!K10*SPC_stat!G10/1.348,0)</f>
        <v>1513598</v>
      </c>
      <c r="N10" s="57">
        <f>ROUND(L10*SPC_stat!G10/1.348,0)</f>
        <v>179711</v>
      </c>
      <c r="O10" s="57">
        <f t="shared" si="7"/>
        <v>1693309</v>
      </c>
      <c r="P10" s="56">
        <f>ROUND(SPC_stat!G10/SPC_stat!H10,2)</f>
        <v>2.44</v>
      </c>
      <c r="Q10" s="56">
        <f>ROUND(SPC_stat!G10/SPC_stat!I10,2)</f>
        <v>0.48</v>
      </c>
      <c r="R10" s="56">
        <f t="shared" si="8"/>
        <v>2.92</v>
      </c>
      <c r="S10" s="106"/>
      <c r="T10" s="10">
        <f>SPC_stat!G10</f>
        <v>239</v>
      </c>
    </row>
    <row r="11" spans="1:20" ht="15" customHeight="1" x14ac:dyDescent="0.2">
      <c r="A11" s="73">
        <f>SPC_stat!A11</f>
        <v>1498</v>
      </c>
      <c r="B11" s="60" t="str">
        <f>SPC_stat!B11</f>
        <v>SPC logopedické a surdopedické, Liberec, E. Krásnohorské 921</v>
      </c>
      <c r="C11" s="73">
        <f>SPC_stat!C11</f>
        <v>3146</v>
      </c>
      <c r="D11" s="60" t="str">
        <f>SPC_stat!D11</f>
        <v>různé druhy postižení</v>
      </c>
      <c r="E11" s="57">
        <f>ROUND(SPC_rozp!M11,0)</f>
        <v>9580670</v>
      </c>
      <c r="F11" s="57">
        <f t="shared" si="4"/>
        <v>7099145</v>
      </c>
      <c r="G11" s="57">
        <f t="shared" si="5"/>
        <v>2399512</v>
      </c>
      <c r="H11" s="57">
        <f t="shared" si="6"/>
        <v>70991</v>
      </c>
      <c r="I11" s="57">
        <f>ROUND(SPC_stat!G11*SPC_stat!J11,0)</f>
        <v>11022</v>
      </c>
      <c r="J11" s="56">
        <f>ROUND(((M11/SPC_rozp!F11)+(SPC_ZUKA!N11/SPC_rozp!G11))/12,2)</f>
        <v>12.21</v>
      </c>
      <c r="K11" s="57">
        <f>IF(SPC_stat!H11=0,0,12*1.348*1/SPC_stat!H11*SPC_rozp!F11)</f>
        <v>8536.9474754430394</v>
      </c>
      <c r="L11" s="57">
        <f>IF(SPC_stat!I11=0,0,12*1.348*1/SPC_stat!I11*SPC_rozp!G11)</f>
        <v>1013.5997142857145</v>
      </c>
      <c r="M11" s="57">
        <f>ROUND(SPC_ZUKA!K11*SPC_stat!G11/1.348,0)</f>
        <v>6345713</v>
      </c>
      <c r="N11" s="57">
        <f>ROUND(L11*SPC_stat!G11/1.348,0)</f>
        <v>753432</v>
      </c>
      <c r="O11" s="57">
        <f t="shared" si="7"/>
        <v>7099145</v>
      </c>
      <c r="P11" s="56">
        <f>ROUND(SPC_stat!G11/SPC_stat!H11,2)</f>
        <v>10.210000000000001</v>
      </c>
      <c r="Q11" s="56">
        <f>ROUND(SPC_stat!G11/SPC_stat!I11,2)</f>
        <v>2</v>
      </c>
      <c r="R11" s="56">
        <f t="shared" si="8"/>
        <v>12.21</v>
      </c>
      <c r="S11" s="106"/>
      <c r="T11" s="10">
        <f>SPC_stat!G11</f>
        <v>1002</v>
      </c>
    </row>
    <row r="12" spans="1:20" ht="15" customHeight="1" x14ac:dyDescent="0.2">
      <c r="A12" s="73">
        <f>SPC_stat!A12</f>
        <v>1498</v>
      </c>
      <c r="B12" s="60" t="str">
        <f>SPC_stat!B12</f>
        <v>SPC logopedické a surdopedické, Liberec, E. Krásnohorské 921</v>
      </c>
      <c r="C12" s="73">
        <f>SPC_stat!C12</f>
        <v>3146</v>
      </c>
      <c r="D12" s="60" t="str">
        <f>SPC_stat!D12</f>
        <v>vady řeči</v>
      </c>
      <c r="E12" s="57">
        <f>ROUND(SPC_rozp!M12,0)</f>
        <v>1023086</v>
      </c>
      <c r="F12" s="57">
        <f t="shared" si="4"/>
        <v>758093</v>
      </c>
      <c r="G12" s="57">
        <f t="shared" si="5"/>
        <v>256235</v>
      </c>
      <c r="H12" s="57">
        <f t="shared" si="6"/>
        <v>7581</v>
      </c>
      <c r="I12" s="57">
        <f>ROUND(SPC_stat!G12*SPC_stat!J12,0)</f>
        <v>1177</v>
      </c>
      <c r="J12" s="56">
        <f>ROUND(((M12/SPC_rozp!F12)+(SPC_ZUKA!N12/SPC_rozp!G12))/12,2)</f>
        <v>1.3</v>
      </c>
      <c r="K12" s="57">
        <f>IF(SPC_stat!H12=0,0,12*1.348*1/SPC_stat!H12*SPC_rozp!F12)</f>
        <v>8536.9474754430394</v>
      </c>
      <c r="L12" s="57">
        <f>IF(SPC_stat!I12=0,0,12*1.348*1/SPC_stat!I12*SPC_rozp!G12)</f>
        <v>1013.5997142857145</v>
      </c>
      <c r="M12" s="57">
        <f>ROUND(SPC_ZUKA!K12*SPC_stat!G12/1.348,0)</f>
        <v>677636</v>
      </c>
      <c r="N12" s="57">
        <f>ROUND(L12*SPC_stat!G12/1.348,0)</f>
        <v>80456</v>
      </c>
      <c r="O12" s="57">
        <f t="shared" si="7"/>
        <v>758092</v>
      </c>
      <c r="P12" s="56">
        <f>ROUND(SPC_stat!G12/SPC_stat!H12,2)</f>
        <v>1.0900000000000001</v>
      </c>
      <c r="Q12" s="56">
        <f>ROUND(SPC_stat!G12/SPC_stat!I12,2)</f>
        <v>0.21</v>
      </c>
      <c r="R12" s="56">
        <f t="shared" si="8"/>
        <v>1.3</v>
      </c>
      <c r="S12" s="106"/>
      <c r="T12" s="10">
        <f>SPC_stat!G12</f>
        <v>107</v>
      </c>
    </row>
    <row r="13" spans="1:20" ht="15" customHeight="1" x14ac:dyDescent="0.2">
      <c r="A13" s="73">
        <f>SPC_stat!A13</f>
        <v>1498</v>
      </c>
      <c r="B13" s="60" t="str">
        <f>SPC_stat!B13</f>
        <v>SPC logopedické a surdopedické, Liberec, E. Krásnohorské 921</v>
      </c>
      <c r="C13" s="73">
        <f>SPC_stat!C13</f>
        <v>3146</v>
      </c>
      <c r="D13" s="60" t="str">
        <f>SPC_stat!D13</f>
        <v>vady řeči</v>
      </c>
      <c r="E13" s="57">
        <f>ROUND(SPC_rozp!M13,0)</f>
        <v>1099578</v>
      </c>
      <c r="F13" s="57">
        <f t="shared" si="4"/>
        <v>814772</v>
      </c>
      <c r="G13" s="57">
        <f t="shared" si="5"/>
        <v>275393</v>
      </c>
      <c r="H13" s="57">
        <f t="shared" si="6"/>
        <v>8148</v>
      </c>
      <c r="I13" s="57">
        <f>ROUND(SPC_stat!G13*SPC_stat!J13,0)</f>
        <v>1265</v>
      </c>
      <c r="J13" s="56">
        <f>ROUND(((M13/SPC_rozp!F13)+(SPC_ZUKA!N13/SPC_rozp!G13))/12,2)</f>
        <v>1.4</v>
      </c>
      <c r="K13" s="57">
        <f>IF(SPC_stat!H13=0,0,12*1.348*1/SPC_stat!H13*SPC_rozp!F13)</f>
        <v>8536.9474754430394</v>
      </c>
      <c r="L13" s="57">
        <f>IF(SPC_stat!I13=0,0,12*1.348*1/SPC_stat!I13*SPC_rozp!G13)</f>
        <v>1013.5997142857145</v>
      </c>
      <c r="M13" s="57">
        <f>ROUND(SPC_ZUKA!K13*SPC_stat!G13/1.348,0)</f>
        <v>728300</v>
      </c>
      <c r="N13" s="57">
        <f>ROUND(L13*SPC_stat!G13/1.348,0)</f>
        <v>86472</v>
      </c>
      <c r="O13" s="57">
        <f t="shared" si="7"/>
        <v>814772</v>
      </c>
      <c r="P13" s="56">
        <f>ROUND(SPC_stat!G13/SPC_stat!H13,2)</f>
        <v>1.17</v>
      </c>
      <c r="Q13" s="56">
        <f>ROUND(SPC_stat!G13/SPC_stat!I13,2)</f>
        <v>0.23</v>
      </c>
      <c r="R13" s="56">
        <f t="shared" si="8"/>
        <v>1.4</v>
      </c>
      <c r="S13" s="106"/>
      <c r="T13" s="10">
        <f>SPC_stat!G13</f>
        <v>115</v>
      </c>
    </row>
    <row r="14" spans="1:20" ht="15" customHeight="1" x14ac:dyDescent="0.2">
      <c r="A14" s="77" t="s">
        <v>61</v>
      </c>
      <c r="B14" s="78" t="s">
        <v>46</v>
      </c>
      <c r="C14" s="77" t="s">
        <v>61</v>
      </c>
      <c r="D14" s="77" t="s">
        <v>61</v>
      </c>
      <c r="E14" s="86">
        <f>SUM(E6:E13)</f>
        <v>29946766</v>
      </c>
      <c r="F14" s="86">
        <f t="shared" ref="F14:R14" si="9">SUM(F6:F13)</f>
        <v>22190143</v>
      </c>
      <c r="G14" s="86">
        <f t="shared" si="9"/>
        <v>7500270</v>
      </c>
      <c r="H14" s="86">
        <f t="shared" si="9"/>
        <v>221901</v>
      </c>
      <c r="I14" s="86">
        <f t="shared" si="9"/>
        <v>34452</v>
      </c>
      <c r="J14" s="104">
        <f t="shared" si="9"/>
        <v>38.169999999999995</v>
      </c>
      <c r="K14" s="86">
        <f t="shared" si="9"/>
        <v>68295.579803544315</v>
      </c>
      <c r="L14" s="86">
        <f t="shared" si="9"/>
        <v>8108.7977142857144</v>
      </c>
      <c r="M14" s="86">
        <f t="shared" si="9"/>
        <v>19835102</v>
      </c>
      <c r="N14" s="86">
        <f t="shared" si="9"/>
        <v>2355040</v>
      </c>
      <c r="O14" s="86">
        <f t="shared" si="9"/>
        <v>22190142</v>
      </c>
      <c r="P14" s="104">
        <f t="shared" si="9"/>
        <v>31.910000000000004</v>
      </c>
      <c r="Q14" s="104">
        <f t="shared" si="9"/>
        <v>6.2600000000000007</v>
      </c>
      <c r="R14" s="104">
        <f t="shared" si="9"/>
        <v>38.169999999999995</v>
      </c>
      <c r="T14" s="11"/>
    </row>
    <row r="15" spans="1:20" x14ac:dyDescent="0.2">
      <c r="E15" s="12"/>
      <c r="F15" s="12"/>
      <c r="G15" s="65">
        <f>F14*33.8%</f>
        <v>7500268.3339999989</v>
      </c>
      <c r="H15" s="12">
        <f>F14*2%</f>
        <v>443802.86</v>
      </c>
      <c r="I15" s="12"/>
      <c r="J15" s="66"/>
      <c r="K15" s="65"/>
      <c r="L15" s="65"/>
      <c r="M15" s="65"/>
      <c r="N15" s="65"/>
      <c r="O15" s="12">
        <f>O14</f>
        <v>22190142</v>
      </c>
      <c r="P15" s="66"/>
      <c r="Q15" s="66"/>
      <c r="R15" s="63">
        <f>J14</f>
        <v>38.169999999999995</v>
      </c>
      <c r="S15" s="67"/>
    </row>
    <row r="16" spans="1:20" x14ac:dyDescent="0.2">
      <c r="E16" s="12"/>
      <c r="F16" s="65"/>
      <c r="H16" s="65"/>
      <c r="I16" s="65"/>
      <c r="J16" s="66"/>
      <c r="K16" s="65"/>
      <c r="L16" s="65"/>
      <c r="M16" s="65"/>
      <c r="N16" s="66"/>
      <c r="O16" s="66"/>
      <c r="P16" s="66"/>
      <c r="Q16" s="67"/>
    </row>
    <row r="17" spans="2:16" x14ac:dyDescent="0.2">
      <c r="B17" s="1"/>
      <c r="E17" s="12"/>
      <c r="F17" s="12"/>
      <c r="G17" s="12"/>
      <c r="H17" s="12"/>
      <c r="I17" s="12"/>
      <c r="J17" s="63"/>
      <c r="K17" s="12"/>
      <c r="L17" s="12"/>
      <c r="M17" s="12"/>
      <c r="N17" s="63"/>
      <c r="O17" s="63"/>
      <c r="P17" s="63"/>
    </row>
    <row r="18" spans="2:16" x14ac:dyDescent="0.2">
      <c r="J18" s="64"/>
      <c r="N18" s="64"/>
      <c r="O18" s="64"/>
      <c r="P18" s="64"/>
    </row>
  </sheetData>
  <mergeCells count="1">
    <mergeCell ref="K4:R4"/>
  </mergeCells>
  <phoneticPr fontId="8" type="noConversion"/>
  <pageMargins left="0.78740157480314965" right="0.78740157480314965" top="0.78740157480314965" bottom="0.78740157480314965" header="0.51181102362204722" footer="0.51181102362204722"/>
  <pageSetup paperSize="9" scale="52" orientation="landscape" r:id="rId1"/>
  <headerFooter alignWithMargins="0"/>
  <colBreaks count="1" manualBreakCount="1">
    <brk id="9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2:E18"/>
  <sheetViews>
    <sheetView workbookViewId="0">
      <selection activeCell="H13" sqref="H13"/>
    </sheetView>
  </sheetViews>
  <sheetFormatPr defaultRowHeight="12.75" x14ac:dyDescent="0.2"/>
  <cols>
    <col min="1" max="1" width="30.85546875" bestFit="1" customWidth="1"/>
    <col min="4" max="4" width="29.5703125" customWidth="1"/>
  </cols>
  <sheetData>
    <row r="2" spans="1:5" ht="20.25" x14ac:dyDescent="0.3">
      <c r="A2" s="8" t="s">
        <v>76</v>
      </c>
      <c r="B2" s="8">
        <v>2024</v>
      </c>
    </row>
    <row r="3" spans="1:5" x14ac:dyDescent="0.2">
      <c r="E3" s="112">
        <v>2024</v>
      </c>
    </row>
    <row r="4" spans="1:5" x14ac:dyDescent="0.2">
      <c r="A4" s="68" t="s">
        <v>77</v>
      </c>
      <c r="B4" s="107">
        <v>98.136645962732914</v>
      </c>
      <c r="D4" s="60" t="s">
        <v>78</v>
      </c>
      <c r="E4" s="110">
        <v>51792</v>
      </c>
    </row>
    <row r="5" spans="1:5" x14ac:dyDescent="0.2">
      <c r="A5" s="68" t="s">
        <v>79</v>
      </c>
      <c r="B5" s="108">
        <v>499.83471074380162</v>
      </c>
      <c r="D5" s="71" t="s">
        <v>80</v>
      </c>
      <c r="E5" s="57">
        <v>0</v>
      </c>
    </row>
    <row r="6" spans="1:5" x14ac:dyDescent="0.2">
      <c r="D6" s="60" t="s">
        <v>81</v>
      </c>
      <c r="E6" s="110">
        <v>31320</v>
      </c>
    </row>
    <row r="7" spans="1:5" x14ac:dyDescent="0.2">
      <c r="E7" s="13"/>
    </row>
    <row r="8" spans="1:5" x14ac:dyDescent="0.2">
      <c r="D8" s="71" t="s">
        <v>82</v>
      </c>
      <c r="E8" s="111">
        <v>11</v>
      </c>
    </row>
    <row r="9" spans="1:5" x14ac:dyDescent="0.2">
      <c r="D9" s="97"/>
      <c r="E9" s="103"/>
    </row>
    <row r="11" spans="1:5" x14ac:dyDescent="0.2">
      <c r="A11" s="115" t="s">
        <v>84</v>
      </c>
    </row>
    <row r="12" spans="1:5" x14ac:dyDescent="0.2">
      <c r="A12" s="116" t="s">
        <v>85</v>
      </c>
      <c r="B12" s="116" t="s">
        <v>86</v>
      </c>
    </row>
    <row r="13" spans="1:5" x14ac:dyDescent="0.2">
      <c r="A13" s="116" t="s">
        <v>87</v>
      </c>
      <c r="B13" s="109">
        <v>1.4</v>
      </c>
    </row>
    <row r="14" spans="1:5" x14ac:dyDescent="0.2">
      <c r="A14" s="116" t="s">
        <v>88</v>
      </c>
      <c r="B14" s="109">
        <v>0.93</v>
      </c>
    </row>
    <row r="15" spans="1:5" x14ac:dyDescent="0.2">
      <c r="A15" s="116" t="s">
        <v>89</v>
      </c>
      <c r="B15" s="109">
        <v>1.5</v>
      </c>
    </row>
    <row r="16" spans="1:5" x14ac:dyDescent="0.2">
      <c r="A16" s="116" t="s">
        <v>90</v>
      </c>
      <c r="B16" s="109">
        <v>0.755</v>
      </c>
    </row>
    <row r="17" spans="1:2" x14ac:dyDescent="0.2">
      <c r="A17" s="116" t="s">
        <v>91</v>
      </c>
      <c r="B17" s="109">
        <v>0.73</v>
      </c>
    </row>
    <row r="18" spans="1:2" x14ac:dyDescent="0.2">
      <c r="A18" s="116" t="s">
        <v>92</v>
      </c>
      <c r="B18" s="109">
        <v>1.1499999999999999</v>
      </c>
    </row>
  </sheetData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Sumář_DDM</vt:lpstr>
      <vt:lpstr>SPC_stat</vt:lpstr>
      <vt:lpstr>SPC_rozp</vt:lpstr>
      <vt:lpstr>SPC_ZUKA</vt:lpstr>
      <vt:lpstr>normativ</vt:lpstr>
      <vt:lpstr>SPC_ZUKA!Oblast_tisku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Havelka</dc:creator>
  <cp:keywords/>
  <dc:description/>
  <cp:lastModifiedBy>Löfflerová Kamila</cp:lastModifiedBy>
  <cp:revision/>
  <cp:lastPrinted>2024-03-07T05:53:05Z</cp:lastPrinted>
  <dcterms:created xsi:type="dcterms:W3CDTF">2003-11-21T19:37:53Z</dcterms:created>
  <dcterms:modified xsi:type="dcterms:W3CDTF">2024-03-07T05:53:14Z</dcterms:modified>
  <cp:category/>
  <cp:contentStatus/>
</cp:coreProperties>
</file>