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3\01_obec_ROZPOČET_2023\08_Upr_rozp_NIV_obec_2023_upr_k_16_10_2023\"/>
    </mc:Choice>
  </mc:AlternateContent>
  <xr:revisionPtr revIDLastSave="0" documentId="13_ncr:1_{0FB68CD5-C880-4C6B-8C59-1E23166371A1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ČL!$W$1:$W$315</definedName>
    <definedName name="_xlnm._FilterDatabase" localSheetId="2" hidden="1">FR!$AQ$1:$AQ$342</definedName>
    <definedName name="_xlnm._FilterDatabase" localSheetId="9" hidden="1">JI!$R$1:$R$159</definedName>
    <definedName name="_xlnm._FilterDatabase" localSheetId="3" hidden="1">JN!$R$1:$R$203</definedName>
    <definedName name="_xlnm._FilterDatabase" localSheetId="1" hidden="1">LB!$U$1:$U$852</definedName>
    <definedName name="_xlnm._FilterDatabase" localSheetId="7" hidden="1">NB!$R$1:$R$139</definedName>
    <definedName name="_xlnm._FilterDatabase" localSheetId="8" hidden="1">SM!$U$1:$U$180</definedName>
    <definedName name="_xlnm._FilterDatabase" localSheetId="4" hidden="1">TA!$R$1:$R$133</definedName>
    <definedName name="_xlnm._FilterDatabase" localSheetId="10" hidden="1">TU!$R$1:$R$219</definedName>
    <definedName name="_xlnm._FilterDatabase" localSheetId="5" hidden="1">ŽB!$R$1:$R$133</definedName>
    <definedName name="_xlnm.Print_Titles" localSheetId="2">FR!$5:$11</definedName>
    <definedName name="_xlnm.Print_Titles" localSheetId="1">LB!$5:$11</definedName>
    <definedName name="_xlnm.Print_Area" localSheetId="0">komentář!$A$1:$P$37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4" i="40" l="1"/>
  <c r="X150" i="40"/>
  <c r="C13" i="47"/>
  <c r="D13" i="47"/>
  <c r="E13" i="47"/>
  <c r="F13" i="47"/>
  <c r="G13" i="47"/>
  <c r="H13" i="47"/>
  <c r="I13" i="47"/>
  <c r="J13" i="47"/>
  <c r="K13" i="47"/>
  <c r="L13" i="47"/>
  <c r="N13" i="47"/>
  <c r="O13" i="47"/>
  <c r="P13" i="47"/>
  <c r="R13" i="47"/>
  <c r="S13" i="47"/>
  <c r="T13" i="47"/>
  <c r="U13" i="47"/>
  <c r="Y13" i="47"/>
  <c r="Z13" i="47"/>
  <c r="AA13" i="47"/>
  <c r="AC13" i="47"/>
  <c r="AD13" i="47"/>
  <c r="AE13" i="47"/>
  <c r="AG13" i="47"/>
  <c r="AH13" i="47"/>
  <c r="AI13" i="47"/>
  <c r="AJ13" i="47"/>
  <c r="AL13" i="47"/>
  <c r="AP13" i="47"/>
  <c r="AS13" i="47"/>
  <c r="AV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B22" i="47"/>
  <c r="B21" i="47"/>
  <c r="B19" i="47"/>
  <c r="B17" i="47"/>
  <c r="B16" i="47"/>
  <c r="B15" i="47"/>
  <c r="B14" i="47"/>
  <c r="B13" i="47"/>
  <c r="AQ212" i="42"/>
  <c r="AP212" i="42"/>
  <c r="AO212" i="42"/>
  <c r="AN212" i="42"/>
  <c r="AM212" i="42"/>
  <c r="AL212" i="42"/>
  <c r="AK212" i="42"/>
  <c r="AJ212" i="42"/>
  <c r="AG212" i="42"/>
  <c r="AF212" i="42"/>
  <c r="AA212" i="42"/>
  <c r="Z212" i="42"/>
  <c r="Y212" i="42"/>
  <c r="W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Q211" i="42"/>
  <c r="AP211" i="42"/>
  <c r="AO211" i="42"/>
  <c r="AN211" i="42"/>
  <c r="AM211" i="42"/>
  <c r="AL211" i="42"/>
  <c r="AK211" i="42"/>
  <c r="AJ211" i="42"/>
  <c r="AG211" i="42"/>
  <c r="AF211" i="42"/>
  <c r="AA211" i="42"/>
  <c r="Z211" i="42"/>
  <c r="Y211" i="42"/>
  <c r="W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Q210" i="42"/>
  <c r="AP210" i="42"/>
  <c r="AO210" i="42"/>
  <c r="AN210" i="42"/>
  <c r="AM210" i="42"/>
  <c r="AL210" i="42"/>
  <c r="AK210" i="42"/>
  <c r="AJ210" i="42"/>
  <c r="AG210" i="42"/>
  <c r="AF210" i="42"/>
  <c r="AA210" i="42"/>
  <c r="Z210" i="42"/>
  <c r="Y210" i="42"/>
  <c r="W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Q209" i="42"/>
  <c r="AP209" i="42"/>
  <c r="AO209" i="42"/>
  <c r="AM209" i="42"/>
  <c r="AL209" i="42"/>
  <c r="AK209" i="42"/>
  <c r="AJ209" i="42"/>
  <c r="AG209" i="42"/>
  <c r="AF209" i="42"/>
  <c r="AA209" i="42"/>
  <c r="Z209" i="42"/>
  <c r="Y209" i="42"/>
  <c r="W209" i="42"/>
  <c r="V209" i="42"/>
  <c r="U209" i="42"/>
  <c r="S209" i="42"/>
  <c r="Q209" i="42"/>
  <c r="P209" i="42"/>
  <c r="O209" i="42"/>
  <c r="N209" i="42"/>
  <c r="M209" i="42"/>
  <c r="L209" i="42"/>
  <c r="K209" i="42"/>
  <c r="J209" i="42"/>
  <c r="I209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V202" i="42" s="1"/>
  <c r="U208" i="42"/>
  <c r="T208" i="42"/>
  <c r="S208" i="42"/>
  <c r="R208" i="42"/>
  <c r="Q208" i="42"/>
  <c r="P208" i="42"/>
  <c r="P202" i="42" s="1"/>
  <c r="O208" i="42"/>
  <c r="N208" i="42"/>
  <c r="M208" i="42"/>
  <c r="L208" i="42"/>
  <c r="K208" i="42"/>
  <c r="J208" i="42"/>
  <c r="J202" i="42" s="1"/>
  <c r="I208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M202" i="42" s="1"/>
  <c r="AL207" i="42"/>
  <c r="AK207" i="42"/>
  <c r="AJ207" i="42"/>
  <c r="AI207" i="42"/>
  <c r="AH207" i="42"/>
  <c r="AG207" i="42"/>
  <c r="AG202" i="42" s="1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Q206" i="42"/>
  <c r="AP206" i="42"/>
  <c r="AO206" i="42"/>
  <c r="AN206" i="42"/>
  <c r="AM206" i="42"/>
  <c r="AL206" i="42"/>
  <c r="AK206" i="42"/>
  <c r="AJ206" i="42"/>
  <c r="AG206" i="42"/>
  <c r="AF206" i="42"/>
  <c r="AA206" i="42"/>
  <c r="Z206" i="42"/>
  <c r="Y206" i="42"/>
  <c r="W206" i="42"/>
  <c r="V206" i="42"/>
  <c r="U206" i="42"/>
  <c r="T206" i="42"/>
  <c r="S206" i="42"/>
  <c r="Q206" i="42"/>
  <c r="P206" i="42"/>
  <c r="O206" i="42"/>
  <c r="N206" i="42"/>
  <c r="N202" i="42" s="1"/>
  <c r="M206" i="42"/>
  <c r="L206" i="42"/>
  <c r="K206" i="42"/>
  <c r="J206" i="42"/>
  <c r="I206" i="42"/>
  <c r="AQ205" i="42"/>
  <c r="AP205" i="42"/>
  <c r="AO205" i="42"/>
  <c r="AN205" i="42"/>
  <c r="AM205" i="42"/>
  <c r="AL205" i="42"/>
  <c r="AK205" i="42"/>
  <c r="AJ205" i="42"/>
  <c r="AG205" i="42"/>
  <c r="AF205" i="42"/>
  <c r="AA205" i="42"/>
  <c r="Z205" i="42"/>
  <c r="Y205" i="42"/>
  <c r="W205" i="42"/>
  <c r="V205" i="42"/>
  <c r="U205" i="42"/>
  <c r="T205" i="42"/>
  <c r="S205" i="42"/>
  <c r="Q205" i="42"/>
  <c r="P205" i="42"/>
  <c r="O205" i="42"/>
  <c r="N205" i="42"/>
  <c r="M205" i="42"/>
  <c r="L205" i="42"/>
  <c r="K205" i="42"/>
  <c r="J205" i="42"/>
  <c r="I205" i="42"/>
  <c r="AQ204" i="42"/>
  <c r="AP204" i="42"/>
  <c r="AP202" i="42" s="1"/>
  <c r="AO204" i="42"/>
  <c r="AN204" i="42"/>
  <c r="AM204" i="42"/>
  <c r="AL204" i="42"/>
  <c r="AK204" i="42"/>
  <c r="AJ204" i="42"/>
  <c r="AG204" i="42"/>
  <c r="AF204" i="42"/>
  <c r="AA204" i="42"/>
  <c r="Z204" i="42"/>
  <c r="Y204" i="42"/>
  <c r="W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Q203" i="42"/>
  <c r="AP203" i="42"/>
  <c r="AO203" i="42"/>
  <c r="AO202" i="42" s="1"/>
  <c r="AN203" i="42"/>
  <c r="AM203" i="42"/>
  <c r="AL203" i="42"/>
  <c r="AK203" i="42"/>
  <c r="AJ203" i="42"/>
  <c r="AG203" i="42"/>
  <c r="AF203" i="42"/>
  <c r="AA203" i="42"/>
  <c r="Z203" i="42"/>
  <c r="Y203" i="42"/>
  <c r="Y202" i="42" s="1"/>
  <c r="W203" i="42"/>
  <c r="W202" i="42" s="1"/>
  <c r="V203" i="42"/>
  <c r="U203" i="42"/>
  <c r="T203" i="42"/>
  <c r="S203" i="42"/>
  <c r="S202" i="42" s="1"/>
  <c r="Q203" i="42"/>
  <c r="Q202" i="42" s="1"/>
  <c r="P203" i="42"/>
  <c r="O203" i="42"/>
  <c r="N203" i="42"/>
  <c r="M203" i="42"/>
  <c r="M202" i="42" s="1"/>
  <c r="L203" i="42"/>
  <c r="K203" i="42"/>
  <c r="K202" i="42" s="1"/>
  <c r="J203" i="42"/>
  <c r="I203" i="42"/>
  <c r="AQ202" i="42"/>
  <c r="AL202" i="42"/>
  <c r="AJ202" i="42"/>
  <c r="AF202" i="42"/>
  <c r="AH201" i="42" s="1"/>
  <c r="Z202" i="42"/>
  <c r="L202" i="42"/>
  <c r="O200" i="42"/>
  <c r="Q199" i="42"/>
  <c r="P199" i="42"/>
  <c r="O199" i="42"/>
  <c r="N199" i="42"/>
  <c r="M199" i="42"/>
  <c r="L199" i="42"/>
  <c r="I200" i="42" s="1"/>
  <c r="K199" i="42"/>
  <c r="J199" i="42"/>
  <c r="I199" i="42"/>
  <c r="AQ198" i="42"/>
  <c r="AP198" i="42"/>
  <c r="AO198" i="42"/>
  <c r="AN198" i="42"/>
  <c r="AM198" i="42"/>
  <c r="AL198" i="42"/>
  <c r="AK198" i="42"/>
  <c r="AJ198" i="42"/>
  <c r="AG198" i="42"/>
  <c r="AF198" i="42"/>
  <c r="AA198" i="42"/>
  <c r="Z198" i="42"/>
  <c r="Y198" i="42"/>
  <c r="W198" i="42"/>
  <c r="V198" i="42"/>
  <c r="U198" i="42"/>
  <c r="S198" i="42"/>
  <c r="BB197" i="42"/>
  <c r="AZ197" i="42"/>
  <c r="AV197" i="42"/>
  <c r="AS197" i="42"/>
  <c r="AT197" i="42" s="1"/>
  <c r="BA197" i="42" s="1"/>
  <c r="AR197" i="42"/>
  <c r="AH197" i="42"/>
  <c r="AD197" i="42"/>
  <c r="AX197" i="42" s="1"/>
  <c r="AB197" i="42"/>
  <c r="AW197" i="42" s="1"/>
  <c r="R197" i="42"/>
  <c r="X197" i="42" s="1"/>
  <c r="AE197" i="42" s="1"/>
  <c r="AY197" i="42" s="1"/>
  <c r="AZ196" i="42"/>
  <c r="AS196" i="42"/>
  <c r="BC196" i="42" s="1"/>
  <c r="AR196" i="42"/>
  <c r="BB196" i="42" s="1"/>
  <c r="AH196" i="42"/>
  <c r="AE196" i="42"/>
  <c r="AY196" i="42" s="1"/>
  <c r="AB196" i="42"/>
  <c r="AW196" i="42" s="1"/>
  <c r="R196" i="42"/>
  <c r="X196" i="42" s="1"/>
  <c r="AD196" i="42" s="1"/>
  <c r="AX196" i="42" s="1"/>
  <c r="BC195" i="42"/>
  <c r="AZ195" i="42"/>
  <c r="AS195" i="42"/>
  <c r="AR195" i="42"/>
  <c r="AT195" i="42" s="1"/>
  <c r="BA195" i="42" s="1"/>
  <c r="AH195" i="42"/>
  <c r="AB195" i="42"/>
  <c r="AW195" i="42" s="1"/>
  <c r="T195" i="42"/>
  <c r="T198" i="42" s="1"/>
  <c r="R195" i="42"/>
  <c r="AZ194" i="42"/>
  <c r="AY194" i="42"/>
  <c r="AS194" i="42"/>
  <c r="BC194" i="42" s="1"/>
  <c r="AR194" i="42"/>
  <c r="AH194" i="42"/>
  <c r="AE194" i="42"/>
  <c r="AB194" i="42"/>
  <c r="X194" i="42"/>
  <c r="R194" i="42"/>
  <c r="BB193" i="42"/>
  <c r="AZ193" i="42"/>
  <c r="AW193" i="42"/>
  <c r="AS193" i="42"/>
  <c r="BC193" i="42" s="1"/>
  <c r="AR193" i="42"/>
  <c r="AH193" i="42"/>
  <c r="AB193" i="42"/>
  <c r="R193" i="42"/>
  <c r="X193" i="42" s="1"/>
  <c r="AE193" i="42" s="1"/>
  <c r="AY193" i="42" s="1"/>
  <c r="AS192" i="42"/>
  <c r="AR192" i="42"/>
  <c r="AH192" i="42"/>
  <c r="AZ192" i="42" s="1"/>
  <c r="AB192" i="42"/>
  <c r="AW192" i="42" s="1"/>
  <c r="X192" i="42"/>
  <c r="R192" i="42"/>
  <c r="R198" i="42" s="1"/>
  <c r="AR191" i="42"/>
  <c r="AQ191" i="42"/>
  <c r="AP191" i="42"/>
  <c r="AO191" i="42"/>
  <c r="AN191" i="42"/>
  <c r="AM191" i="42"/>
  <c r="AL191" i="42"/>
  <c r="AK191" i="42"/>
  <c r="AJ191" i="42"/>
  <c r="AG191" i="42"/>
  <c r="AF191" i="42"/>
  <c r="AA191" i="42"/>
  <c r="Z191" i="42"/>
  <c r="Y191" i="42"/>
  <c r="W191" i="42"/>
  <c r="V191" i="42"/>
  <c r="U191" i="42"/>
  <c r="T191" i="42"/>
  <c r="S191" i="42"/>
  <c r="BB190" i="42"/>
  <c r="AZ190" i="42"/>
  <c r="AW190" i="42"/>
  <c r="AS190" i="42"/>
  <c r="AT190" i="42" s="1"/>
  <c r="BA190" i="42" s="1"/>
  <c r="AR190" i="42"/>
  <c r="AH190" i="42"/>
  <c r="AB190" i="42"/>
  <c r="R190" i="42"/>
  <c r="X190" i="42" s="1"/>
  <c r="AS189" i="42"/>
  <c r="BC189" i="42" s="1"/>
  <c r="AR189" i="42"/>
  <c r="AH189" i="42"/>
  <c r="AZ189" i="42" s="1"/>
  <c r="AB189" i="42"/>
  <c r="AW189" i="42" s="1"/>
  <c r="R189" i="42"/>
  <c r="X189" i="42" s="1"/>
  <c r="BC188" i="42"/>
  <c r="AZ188" i="42"/>
  <c r="AW188" i="42"/>
  <c r="AS188" i="42"/>
  <c r="AR188" i="42"/>
  <c r="BB188" i="42" s="1"/>
  <c r="AH188" i="42"/>
  <c r="AE188" i="42"/>
  <c r="AY188" i="42" s="1"/>
  <c r="AD188" i="42"/>
  <c r="AX188" i="42" s="1"/>
  <c r="AB188" i="42"/>
  <c r="X188" i="42"/>
  <c r="AV188" i="42" s="1"/>
  <c r="R188" i="42"/>
  <c r="BB187" i="42"/>
  <c r="AZ187" i="42"/>
  <c r="AW187" i="42"/>
  <c r="AS187" i="42"/>
  <c r="AT187" i="42" s="1"/>
  <c r="BA187" i="42" s="1"/>
  <c r="AR187" i="42"/>
  <c r="AH187" i="42"/>
  <c r="AB187" i="42"/>
  <c r="R187" i="42"/>
  <c r="X187" i="42" s="1"/>
  <c r="AS186" i="42"/>
  <c r="AR186" i="42"/>
  <c r="AH186" i="42"/>
  <c r="AB186" i="42"/>
  <c r="AB191" i="42" s="1"/>
  <c r="R186" i="42"/>
  <c r="AQ185" i="42"/>
  <c r="AP185" i="42"/>
  <c r="AO185" i="42"/>
  <c r="AN185" i="42"/>
  <c r="AM185" i="42"/>
  <c r="AL185" i="42"/>
  <c r="AK185" i="42"/>
  <c r="AJ185" i="42"/>
  <c r="AG185" i="42"/>
  <c r="AF185" i="42"/>
  <c r="AA185" i="42"/>
  <c r="Z185" i="42"/>
  <c r="Y185" i="42"/>
  <c r="W185" i="42"/>
  <c r="V185" i="42"/>
  <c r="U185" i="42"/>
  <c r="T185" i="42"/>
  <c r="S185" i="42"/>
  <c r="BC184" i="42"/>
  <c r="AZ184" i="42"/>
  <c r="AS184" i="42"/>
  <c r="AR184" i="42"/>
  <c r="AT184" i="42" s="1"/>
  <c r="BA184" i="42" s="1"/>
  <c r="AH184" i="42"/>
  <c r="AB184" i="42"/>
  <c r="AW184" i="42" s="1"/>
  <c r="R184" i="42"/>
  <c r="X184" i="42" s="1"/>
  <c r="BB183" i="42"/>
  <c r="AS183" i="42"/>
  <c r="AR183" i="42"/>
  <c r="AH183" i="42"/>
  <c r="AZ183" i="42" s="1"/>
  <c r="AB183" i="42"/>
  <c r="AW183" i="42" s="1"/>
  <c r="R183" i="42"/>
  <c r="X183" i="42" s="1"/>
  <c r="BC182" i="42"/>
  <c r="AV182" i="42"/>
  <c r="AS182" i="42"/>
  <c r="AR182" i="42"/>
  <c r="BB182" i="42" s="1"/>
  <c r="AH182" i="42"/>
  <c r="AE182" i="42"/>
  <c r="AY182" i="42" s="1"/>
  <c r="AB182" i="42"/>
  <c r="AW182" i="42" s="1"/>
  <c r="R182" i="42"/>
  <c r="X182" i="42" s="1"/>
  <c r="AC182" i="42" s="1"/>
  <c r="BC181" i="42"/>
  <c r="BB181" i="42"/>
  <c r="AZ181" i="42"/>
  <c r="AS181" i="42"/>
  <c r="AR181" i="42"/>
  <c r="AT181" i="42" s="1"/>
  <c r="BA181" i="42" s="1"/>
  <c r="AH181" i="42"/>
  <c r="AB181" i="42"/>
  <c r="AW181" i="42" s="1"/>
  <c r="R181" i="42"/>
  <c r="AY180" i="42"/>
  <c r="AV180" i="42"/>
  <c r="AT180" i="42"/>
  <c r="BA180" i="42" s="1"/>
  <c r="AS180" i="42"/>
  <c r="AR180" i="42"/>
  <c r="AR185" i="42" s="1"/>
  <c r="AH180" i="42"/>
  <c r="AZ180" i="42" s="1"/>
  <c r="AD180" i="42"/>
  <c r="AB180" i="42"/>
  <c r="R180" i="42"/>
  <c r="X180" i="42" s="1"/>
  <c r="AE180" i="42" s="1"/>
  <c r="AQ179" i="42"/>
  <c r="AP179" i="42"/>
  <c r="AO179" i="42"/>
  <c r="AN179" i="42"/>
  <c r="AM179" i="42"/>
  <c r="AL179" i="42"/>
  <c r="AK179" i="42"/>
  <c r="AJ179" i="42"/>
  <c r="AG179" i="42"/>
  <c r="AF179" i="42"/>
  <c r="AA179" i="42"/>
  <c r="Z179" i="42"/>
  <c r="Y179" i="42"/>
  <c r="W179" i="42"/>
  <c r="V179" i="42"/>
  <c r="U179" i="42"/>
  <c r="T179" i="42"/>
  <c r="S179" i="42"/>
  <c r="BC178" i="42"/>
  <c r="BB178" i="42"/>
  <c r="AT178" i="42"/>
  <c r="BA178" i="42" s="1"/>
  <c r="AS178" i="42"/>
  <c r="AR178" i="42"/>
  <c r="AH178" i="42"/>
  <c r="AZ178" i="42" s="1"/>
  <c r="AB178" i="42"/>
  <c r="AW178" i="42" s="1"/>
  <c r="X178" i="42"/>
  <c r="R178" i="42"/>
  <c r="AZ177" i="42"/>
  <c r="AY177" i="42"/>
  <c r="AX177" i="42"/>
  <c r="AV177" i="42"/>
  <c r="AS177" i="42"/>
  <c r="BC177" i="42" s="1"/>
  <c r="AR177" i="42"/>
  <c r="AT177" i="42" s="1"/>
  <c r="BA177" i="42" s="1"/>
  <c r="AH177" i="42"/>
  <c r="AD177" i="42"/>
  <c r="AC177" i="42"/>
  <c r="AI177" i="42" s="1"/>
  <c r="AU177" i="42" s="1"/>
  <c r="AB177" i="42"/>
  <c r="AW177" i="42" s="1"/>
  <c r="R177" i="42"/>
  <c r="X177" i="42" s="1"/>
  <c r="AE177" i="42" s="1"/>
  <c r="BC176" i="42"/>
  <c r="AZ176" i="42"/>
  <c r="AS176" i="42"/>
  <c r="AR176" i="42"/>
  <c r="AH176" i="42"/>
  <c r="AB176" i="42"/>
  <c r="AW176" i="42" s="1"/>
  <c r="R176" i="42"/>
  <c r="X176" i="42" s="1"/>
  <c r="BC175" i="42"/>
  <c r="AW175" i="42"/>
  <c r="AT175" i="42"/>
  <c r="BA175" i="42" s="1"/>
  <c r="AS175" i="42"/>
  <c r="AR175" i="42"/>
  <c r="BB175" i="42" s="1"/>
  <c r="AH175" i="42"/>
  <c r="AZ175" i="42" s="1"/>
  <c r="AD175" i="42"/>
  <c r="AX175" i="42" s="1"/>
  <c r="AB175" i="42"/>
  <c r="R175" i="42"/>
  <c r="X175" i="42" s="1"/>
  <c r="BB174" i="42"/>
  <c r="AZ174" i="42"/>
  <c r="AV174" i="42"/>
  <c r="AS174" i="42"/>
  <c r="BC174" i="42" s="1"/>
  <c r="AR174" i="42"/>
  <c r="AH174" i="42"/>
  <c r="AE174" i="42"/>
  <c r="AY174" i="42" s="1"/>
  <c r="AD174" i="42"/>
  <c r="AX174" i="42" s="1"/>
  <c r="AB174" i="42"/>
  <c r="AW174" i="42" s="1"/>
  <c r="R174" i="42"/>
  <c r="X174" i="42" s="1"/>
  <c r="BC173" i="42"/>
  <c r="AZ173" i="42"/>
  <c r="AS173" i="42"/>
  <c r="AS179" i="42" s="1"/>
  <c r="AR173" i="42"/>
  <c r="AH173" i="42"/>
  <c r="AH179" i="42" s="1"/>
  <c r="AB173" i="42"/>
  <c r="X173" i="42"/>
  <c r="R173" i="42"/>
  <c r="AZ172" i="42"/>
  <c r="AS172" i="42"/>
  <c r="AQ172" i="42"/>
  <c r="AP172" i="42"/>
  <c r="AO172" i="42"/>
  <c r="AN172" i="42"/>
  <c r="AM172" i="42"/>
  <c r="AL172" i="42"/>
  <c r="AK172" i="42"/>
  <c r="AJ172" i="42"/>
  <c r="AG172" i="42"/>
  <c r="AF172" i="42"/>
  <c r="AA172" i="42"/>
  <c r="Z172" i="42"/>
  <c r="Y172" i="42"/>
  <c r="W172" i="42"/>
  <c r="V172" i="42"/>
  <c r="U172" i="42"/>
  <c r="T172" i="42"/>
  <c r="S172" i="42"/>
  <c r="BC171" i="42"/>
  <c r="BB171" i="42"/>
  <c r="AS171" i="42"/>
  <c r="AR171" i="42"/>
  <c r="AT171" i="42" s="1"/>
  <c r="BA171" i="42" s="1"/>
  <c r="AH171" i="42"/>
  <c r="AZ171" i="42" s="1"/>
  <c r="AB171" i="42"/>
  <c r="AW171" i="42" s="1"/>
  <c r="R171" i="42"/>
  <c r="X171" i="42" s="1"/>
  <c r="BC170" i="42"/>
  <c r="AZ170" i="42"/>
  <c r="AS170" i="42"/>
  <c r="AR170" i="42"/>
  <c r="AH170" i="42"/>
  <c r="AB170" i="42"/>
  <c r="AW170" i="42" s="1"/>
  <c r="X170" i="42"/>
  <c r="R170" i="42"/>
  <c r="BB169" i="42"/>
  <c r="AZ169" i="42"/>
  <c r="AW169" i="42"/>
  <c r="AS169" i="42"/>
  <c r="AR169" i="42"/>
  <c r="AH169" i="42"/>
  <c r="AD169" i="42"/>
  <c r="AX169" i="42" s="1"/>
  <c r="AB169" i="42"/>
  <c r="R169" i="42"/>
  <c r="X169" i="42" s="1"/>
  <c r="BC168" i="42"/>
  <c r="BB168" i="42"/>
  <c r="BA168" i="42"/>
  <c r="AS168" i="42"/>
  <c r="AR168" i="42"/>
  <c r="AT168" i="42" s="1"/>
  <c r="AH168" i="42"/>
  <c r="AZ168" i="42" s="1"/>
  <c r="AB168" i="42"/>
  <c r="AW168" i="42" s="1"/>
  <c r="R168" i="42"/>
  <c r="BC167" i="42"/>
  <c r="AZ167" i="42"/>
  <c r="AT167" i="42"/>
  <c r="AS167" i="42"/>
  <c r="AR167" i="42"/>
  <c r="AH167" i="42"/>
  <c r="AD167" i="42"/>
  <c r="AB167" i="42"/>
  <c r="AB172" i="42" s="1"/>
  <c r="X167" i="42"/>
  <c r="R167" i="42"/>
  <c r="AQ166" i="42"/>
  <c r="AP166" i="42"/>
  <c r="AO166" i="42"/>
  <c r="AN166" i="42"/>
  <c r="AM166" i="42"/>
  <c r="AL166" i="42"/>
  <c r="AK166" i="42"/>
  <c r="AJ166" i="42"/>
  <c r="AH166" i="42"/>
  <c r="AG166" i="42"/>
  <c r="AF166" i="42"/>
  <c r="AB166" i="42"/>
  <c r="AA166" i="42"/>
  <c r="Z166" i="42"/>
  <c r="Y166" i="42"/>
  <c r="W166" i="42"/>
  <c r="V166" i="42"/>
  <c r="U166" i="42"/>
  <c r="T166" i="42"/>
  <c r="S166" i="42"/>
  <c r="BC165" i="42"/>
  <c r="AV165" i="42"/>
  <c r="AS165" i="42"/>
  <c r="AR165" i="42"/>
  <c r="AT165" i="42" s="1"/>
  <c r="BA165" i="42" s="1"/>
  <c r="AH165" i="42"/>
  <c r="AZ165" i="42" s="1"/>
  <c r="AE165" i="42"/>
  <c r="AY165" i="42" s="1"/>
  <c r="AB165" i="42"/>
  <c r="AW165" i="42" s="1"/>
  <c r="R165" i="42"/>
  <c r="X165" i="42" s="1"/>
  <c r="BC164" i="42"/>
  <c r="AZ164" i="42"/>
  <c r="AW164" i="42"/>
  <c r="AS164" i="42"/>
  <c r="AR164" i="42"/>
  <c r="AH164" i="42"/>
  <c r="AD164" i="42"/>
  <c r="AX164" i="42" s="1"/>
  <c r="AB164" i="42"/>
  <c r="X164" i="42"/>
  <c r="R164" i="42"/>
  <c r="BB163" i="42"/>
  <c r="AW163" i="42"/>
  <c r="AS163" i="42"/>
  <c r="BC163" i="42" s="1"/>
  <c r="BC166" i="42" s="1"/>
  <c r="AR163" i="42"/>
  <c r="AH163" i="42"/>
  <c r="AZ163" i="42" s="1"/>
  <c r="AB163" i="42"/>
  <c r="R163" i="42"/>
  <c r="AQ162" i="42"/>
  <c r="AP162" i="42"/>
  <c r="AO162" i="42"/>
  <c r="AN162" i="42"/>
  <c r="AM162" i="42"/>
  <c r="AL162" i="42"/>
  <c r="AK162" i="42"/>
  <c r="AJ162" i="42"/>
  <c r="AG162" i="42"/>
  <c r="AF162" i="42"/>
  <c r="AA162" i="42"/>
  <c r="Z162" i="42"/>
  <c r="Y162" i="42"/>
  <c r="W162" i="42"/>
  <c r="V162" i="42"/>
  <c r="U162" i="42"/>
  <c r="T162" i="42"/>
  <c r="S162" i="42"/>
  <c r="BC161" i="42"/>
  <c r="AZ161" i="42"/>
  <c r="AW161" i="42"/>
  <c r="AT161" i="42"/>
  <c r="BA161" i="42" s="1"/>
  <c r="AS161" i="42"/>
  <c r="AR161" i="42"/>
  <c r="BB161" i="42" s="1"/>
  <c r="AH161" i="42"/>
  <c r="AB161" i="42"/>
  <c r="X161" i="42"/>
  <c r="AD161" i="42" s="1"/>
  <c r="AX161" i="42" s="1"/>
  <c r="R161" i="42"/>
  <c r="BB160" i="42"/>
  <c r="BA160" i="42"/>
  <c r="AZ160" i="42"/>
  <c r="AW160" i="42"/>
  <c r="AT160" i="42"/>
  <c r="AS160" i="42"/>
  <c r="BC160" i="42" s="1"/>
  <c r="AR160" i="42"/>
  <c r="AH160" i="42"/>
  <c r="AE160" i="42"/>
  <c r="AY160" i="42" s="1"/>
  <c r="AB160" i="42"/>
  <c r="X160" i="42"/>
  <c r="R160" i="42"/>
  <c r="BC159" i="42"/>
  <c r="BB159" i="42"/>
  <c r="AS159" i="42"/>
  <c r="AR159" i="42"/>
  <c r="AT159" i="42" s="1"/>
  <c r="BA159" i="42" s="1"/>
  <c r="AH159" i="42"/>
  <c r="AZ159" i="42" s="1"/>
  <c r="AB159" i="42"/>
  <c r="AW159" i="42" s="1"/>
  <c r="X159" i="42"/>
  <c r="R159" i="42"/>
  <c r="AZ158" i="42"/>
  <c r="AW158" i="42"/>
  <c r="AT158" i="42"/>
  <c r="BA158" i="42" s="1"/>
  <c r="AS158" i="42"/>
  <c r="BC158" i="42" s="1"/>
  <c r="AR158" i="42"/>
  <c r="BB158" i="42" s="1"/>
  <c r="AH158" i="42"/>
  <c r="AD158" i="42"/>
  <c r="AX158" i="42" s="1"/>
  <c r="AC158" i="42"/>
  <c r="AB158" i="42"/>
  <c r="X158" i="42"/>
  <c r="R158" i="42"/>
  <c r="BB157" i="42"/>
  <c r="BA157" i="42"/>
  <c r="AZ157" i="42"/>
  <c r="AW157" i="42"/>
  <c r="AT157" i="42"/>
  <c r="AS157" i="42"/>
  <c r="AR157" i="42"/>
  <c r="AH157" i="42"/>
  <c r="AH162" i="42" s="1"/>
  <c r="AB157" i="42"/>
  <c r="AB162" i="42" s="1"/>
  <c r="X157" i="42"/>
  <c r="R157" i="42"/>
  <c r="R162" i="42" s="1"/>
  <c r="AQ156" i="42"/>
  <c r="AP156" i="42"/>
  <c r="AO156" i="42"/>
  <c r="AN156" i="42"/>
  <c r="AM156" i="42"/>
  <c r="AL156" i="42"/>
  <c r="AK156" i="42"/>
  <c r="AJ156" i="42"/>
  <c r="AG156" i="42"/>
  <c r="AF156" i="42"/>
  <c r="AA156" i="42"/>
  <c r="Z156" i="42"/>
  <c r="Y156" i="42"/>
  <c r="W156" i="42"/>
  <c r="V156" i="42"/>
  <c r="U156" i="42"/>
  <c r="T156" i="42"/>
  <c r="S156" i="42"/>
  <c r="BC155" i="42"/>
  <c r="AZ155" i="42"/>
  <c r="AS155" i="42"/>
  <c r="AR155" i="42"/>
  <c r="AH155" i="42"/>
  <c r="AE155" i="42"/>
  <c r="AY155" i="42" s="1"/>
  <c r="AB155" i="42"/>
  <c r="X155" i="42"/>
  <c r="AV155" i="42" s="1"/>
  <c r="R155" i="42"/>
  <c r="BC154" i="42"/>
  <c r="BC156" i="42" s="1"/>
  <c r="BB154" i="42"/>
  <c r="BA154" i="42"/>
  <c r="AZ154" i="42"/>
  <c r="AZ156" i="42" s="1"/>
  <c r="AW154" i="42"/>
  <c r="AT154" i="42"/>
  <c r="AS154" i="42"/>
  <c r="AS156" i="42" s="1"/>
  <c r="AR154" i="42"/>
  <c r="AH154" i="42"/>
  <c r="AH156" i="42" s="1"/>
  <c r="AB154" i="42"/>
  <c r="R154" i="42"/>
  <c r="AS153" i="42"/>
  <c r="AQ153" i="42"/>
  <c r="AP153" i="42"/>
  <c r="AO153" i="42"/>
  <c r="AN153" i="42"/>
  <c r="AM153" i="42"/>
  <c r="AL153" i="42"/>
  <c r="AK153" i="42"/>
  <c r="AJ153" i="42"/>
  <c r="AG153" i="42"/>
  <c r="AF153" i="42"/>
  <c r="AA153" i="42"/>
  <c r="Z153" i="42"/>
  <c r="Y153" i="42"/>
  <c r="W153" i="42"/>
  <c r="V153" i="42"/>
  <c r="U153" i="42"/>
  <c r="T153" i="42"/>
  <c r="S153" i="42"/>
  <c r="BC152" i="42"/>
  <c r="AZ152" i="42"/>
  <c r="AS152" i="42"/>
  <c r="AR152" i="42"/>
  <c r="AH152" i="42"/>
  <c r="AB152" i="42"/>
  <c r="AW152" i="42" s="1"/>
  <c r="X152" i="42"/>
  <c r="R152" i="42"/>
  <c r="BB151" i="42"/>
  <c r="AZ151" i="42"/>
  <c r="AW151" i="42"/>
  <c r="AV151" i="42"/>
  <c r="AS151" i="42"/>
  <c r="AT151" i="42" s="1"/>
  <c r="BA151" i="42" s="1"/>
  <c r="AR151" i="42"/>
  <c r="AH151" i="42"/>
  <c r="AE151" i="42"/>
  <c r="AY151" i="42" s="1"/>
  <c r="AC151" i="42"/>
  <c r="AB151" i="42"/>
  <c r="R151" i="42"/>
  <c r="X151" i="42" s="1"/>
  <c r="AD151" i="42" s="1"/>
  <c r="AX151" i="42" s="1"/>
  <c r="AW150" i="42"/>
  <c r="AS150" i="42"/>
  <c r="BC150" i="42" s="1"/>
  <c r="AR150" i="42"/>
  <c r="AH150" i="42"/>
  <c r="AZ150" i="42" s="1"/>
  <c r="AE150" i="42"/>
  <c r="AY150" i="42" s="1"/>
  <c r="AB150" i="42"/>
  <c r="X150" i="42"/>
  <c r="R150" i="42"/>
  <c r="R153" i="42" s="1"/>
  <c r="BC149" i="42"/>
  <c r="AZ149" i="42"/>
  <c r="AS149" i="42"/>
  <c r="AR149" i="42"/>
  <c r="AH149" i="42"/>
  <c r="AB149" i="42"/>
  <c r="X149" i="42"/>
  <c r="R149" i="42"/>
  <c r="AQ148" i="42"/>
  <c r="AP148" i="42"/>
  <c r="AO148" i="42"/>
  <c r="AN148" i="42"/>
  <c r="AM148" i="42"/>
  <c r="AL148" i="42"/>
  <c r="AK148" i="42"/>
  <c r="AJ148" i="42"/>
  <c r="AH148" i="42"/>
  <c r="AG148" i="42"/>
  <c r="AF148" i="42"/>
  <c r="AB148" i="42"/>
  <c r="AA148" i="42"/>
  <c r="Z148" i="42"/>
  <c r="Y148" i="42"/>
  <c r="W148" i="42"/>
  <c r="V148" i="42"/>
  <c r="U148" i="42"/>
  <c r="T148" i="42"/>
  <c r="S148" i="42"/>
  <c r="BC147" i="42"/>
  <c r="BB147" i="42"/>
  <c r="AW147" i="42"/>
  <c r="AV147" i="42"/>
  <c r="AS147" i="42"/>
  <c r="AR147" i="42"/>
  <c r="AT147" i="42" s="1"/>
  <c r="BA147" i="42" s="1"/>
  <c r="AH147" i="42"/>
  <c r="AZ147" i="42" s="1"/>
  <c r="AE147" i="42"/>
  <c r="AY147" i="42" s="1"/>
  <c r="AB147" i="42"/>
  <c r="X147" i="42"/>
  <c r="AD147" i="42" s="1"/>
  <c r="AX147" i="42" s="1"/>
  <c r="R147" i="42"/>
  <c r="R148" i="42" s="1"/>
  <c r="BA146" i="42"/>
  <c r="BA148" i="42" s="1"/>
  <c r="AZ146" i="42"/>
  <c r="AZ148" i="42" s="1"/>
  <c r="AW146" i="42"/>
  <c r="AW148" i="42" s="1"/>
  <c r="AT146" i="42"/>
  <c r="AT148" i="42" s="1"/>
  <c r="AS146" i="42"/>
  <c r="BC146" i="42" s="1"/>
  <c r="BC148" i="42" s="1"/>
  <c r="AR146" i="42"/>
  <c r="AH146" i="42"/>
  <c r="AB146" i="42"/>
  <c r="X146" i="42"/>
  <c r="R146" i="42"/>
  <c r="AQ145" i="42"/>
  <c r="AP145" i="42"/>
  <c r="AO145" i="42"/>
  <c r="AN145" i="42"/>
  <c r="AM145" i="42"/>
  <c r="AL145" i="42"/>
  <c r="AK145" i="42"/>
  <c r="AJ145" i="42"/>
  <c r="AG145" i="42"/>
  <c r="AF145" i="42"/>
  <c r="AA145" i="42"/>
  <c r="Z145" i="42"/>
  <c r="Y145" i="42"/>
  <c r="W145" i="42"/>
  <c r="V145" i="42"/>
  <c r="U145" i="42"/>
  <c r="T145" i="42"/>
  <c r="S145" i="42"/>
  <c r="BB144" i="42"/>
  <c r="AS144" i="42"/>
  <c r="BC144" i="42" s="1"/>
  <c r="AR144" i="42"/>
  <c r="AH144" i="42"/>
  <c r="AZ144" i="42" s="1"/>
  <c r="AB144" i="42"/>
  <c r="AW144" i="42" s="1"/>
  <c r="R144" i="42"/>
  <c r="X144" i="42" s="1"/>
  <c r="AZ143" i="42"/>
  <c r="AS143" i="42"/>
  <c r="BC143" i="42" s="1"/>
  <c r="AR143" i="42"/>
  <c r="AH143" i="42"/>
  <c r="AE143" i="42"/>
  <c r="AY143" i="42" s="1"/>
  <c r="AD143" i="42"/>
  <c r="AX143" i="42" s="1"/>
  <c r="AB143" i="42"/>
  <c r="AW143" i="42" s="1"/>
  <c r="X143" i="42"/>
  <c r="AV143" i="42" s="1"/>
  <c r="R143" i="42"/>
  <c r="BC142" i="42"/>
  <c r="BB142" i="42"/>
  <c r="BA142" i="42"/>
  <c r="AZ142" i="42"/>
  <c r="AW142" i="42"/>
  <c r="AT142" i="42"/>
  <c r="AS142" i="42"/>
  <c r="AR142" i="42"/>
  <c r="AH142" i="42"/>
  <c r="AB142" i="42"/>
  <c r="R142" i="42"/>
  <c r="R145" i="42" s="1"/>
  <c r="BB141" i="42"/>
  <c r="AS141" i="42"/>
  <c r="BC141" i="42" s="1"/>
  <c r="AR141" i="42"/>
  <c r="AH141" i="42"/>
  <c r="AZ141" i="42" s="1"/>
  <c r="AB141" i="42"/>
  <c r="AW141" i="42" s="1"/>
  <c r="R141" i="42"/>
  <c r="X141" i="42" s="1"/>
  <c r="AZ140" i="42"/>
  <c r="AS140" i="42"/>
  <c r="BC140" i="42" s="1"/>
  <c r="AR140" i="42"/>
  <c r="AH140" i="42"/>
  <c r="AE140" i="42"/>
  <c r="AY140" i="42" s="1"/>
  <c r="AD140" i="42"/>
  <c r="AX140" i="42" s="1"/>
  <c r="AC140" i="42"/>
  <c r="AI140" i="42" s="1"/>
  <c r="AU140" i="42" s="1"/>
  <c r="AB140" i="42"/>
  <c r="X140" i="42"/>
  <c r="AV140" i="42" s="1"/>
  <c r="R140" i="42"/>
  <c r="BC139" i="42"/>
  <c r="BB139" i="42"/>
  <c r="BA139" i="42"/>
  <c r="AZ139" i="42"/>
  <c r="AW139" i="42"/>
  <c r="AT139" i="42"/>
  <c r="AS139" i="42"/>
  <c r="AR139" i="42"/>
  <c r="AH139" i="42"/>
  <c r="AB139" i="42"/>
  <c r="X139" i="42"/>
  <c r="R139" i="42"/>
  <c r="AS138" i="42"/>
  <c r="AQ138" i="42"/>
  <c r="AP138" i="42"/>
  <c r="AO138" i="42"/>
  <c r="AN138" i="42"/>
  <c r="AM138" i="42"/>
  <c r="AL138" i="42"/>
  <c r="AK138" i="42"/>
  <c r="AJ138" i="42"/>
  <c r="AG138" i="42"/>
  <c r="AF138" i="42"/>
  <c r="AA138" i="42"/>
  <c r="Z138" i="42"/>
  <c r="Y138" i="42"/>
  <c r="W138" i="42"/>
  <c r="V138" i="42"/>
  <c r="U138" i="42"/>
  <c r="T138" i="42"/>
  <c r="S138" i="42"/>
  <c r="BC137" i="42"/>
  <c r="AZ137" i="42"/>
  <c r="AS137" i="42"/>
  <c r="AR137" i="42"/>
  <c r="AH137" i="42"/>
  <c r="AB137" i="42"/>
  <c r="AW137" i="42" s="1"/>
  <c r="AW138" i="42" s="1"/>
  <c r="X137" i="42"/>
  <c r="R137" i="42"/>
  <c r="BB136" i="42"/>
  <c r="AZ136" i="42"/>
  <c r="AZ138" i="42" s="1"/>
  <c r="AW136" i="42"/>
  <c r="AS136" i="42"/>
  <c r="AT136" i="42" s="1"/>
  <c r="AR136" i="42"/>
  <c r="AH136" i="42"/>
  <c r="AH138" i="42" s="1"/>
  <c r="AB136" i="42"/>
  <c r="R136" i="42"/>
  <c r="AQ135" i="42"/>
  <c r="AP135" i="42"/>
  <c r="AO135" i="42"/>
  <c r="AN135" i="42"/>
  <c r="AM135" i="42"/>
  <c r="AL135" i="42"/>
  <c r="AK135" i="42"/>
  <c r="AJ135" i="42"/>
  <c r="AG135" i="42"/>
  <c r="AF135" i="42"/>
  <c r="AA135" i="42"/>
  <c r="Z135" i="42"/>
  <c r="Y135" i="42"/>
  <c r="W135" i="42"/>
  <c r="V135" i="42"/>
  <c r="U135" i="42"/>
  <c r="T135" i="42"/>
  <c r="S135" i="42"/>
  <c r="R135" i="42"/>
  <c r="AZ134" i="42"/>
  <c r="AS134" i="42"/>
  <c r="BC134" i="42" s="1"/>
  <c r="AR134" i="42"/>
  <c r="AH134" i="42"/>
  <c r="AB134" i="42"/>
  <c r="AW134" i="42" s="1"/>
  <c r="X134" i="42"/>
  <c r="R134" i="42"/>
  <c r="BB133" i="42"/>
  <c r="AZ133" i="42"/>
  <c r="AW133" i="42"/>
  <c r="AW135" i="42" s="1"/>
  <c r="AT133" i="42"/>
  <c r="BA133" i="42" s="1"/>
  <c r="AS133" i="42"/>
  <c r="BC133" i="42" s="1"/>
  <c r="AR133" i="42"/>
  <c r="AH133" i="42"/>
  <c r="AH135" i="42" s="1"/>
  <c r="AB133" i="42"/>
  <c r="X133" i="42"/>
  <c r="R133" i="42"/>
  <c r="AQ132" i="42"/>
  <c r="AP132" i="42"/>
  <c r="AO132" i="42"/>
  <c r="AN132" i="42"/>
  <c r="AM132" i="42"/>
  <c r="AL132" i="42"/>
  <c r="AK132" i="42"/>
  <c r="AJ132" i="42"/>
  <c r="AG132" i="42"/>
  <c r="AF132" i="42"/>
  <c r="AA132" i="42"/>
  <c r="Z132" i="42"/>
  <c r="Y132" i="42"/>
  <c r="W132" i="42"/>
  <c r="V132" i="42"/>
  <c r="U132" i="42"/>
  <c r="T132" i="42"/>
  <c r="S132" i="42"/>
  <c r="AZ131" i="42"/>
  <c r="AS131" i="42"/>
  <c r="BC131" i="42" s="1"/>
  <c r="AR131" i="42"/>
  <c r="AH131" i="42"/>
  <c r="AC131" i="42"/>
  <c r="AB131" i="42"/>
  <c r="AW131" i="42" s="1"/>
  <c r="X131" i="42"/>
  <c r="R131" i="42"/>
  <c r="BC130" i="42"/>
  <c r="BB130" i="42"/>
  <c r="AW130" i="42"/>
  <c r="AS130" i="42"/>
  <c r="AT130" i="42" s="1"/>
  <c r="BA130" i="42" s="1"/>
  <c r="AR130" i="42"/>
  <c r="AH130" i="42"/>
  <c r="AZ130" i="42" s="1"/>
  <c r="AE130" i="42"/>
  <c r="AY130" i="42" s="1"/>
  <c r="AB130" i="42"/>
  <c r="R130" i="42"/>
  <c r="X130" i="42" s="1"/>
  <c r="BC129" i="42"/>
  <c r="AW129" i="42"/>
  <c r="AV129" i="42"/>
  <c r="AS129" i="42"/>
  <c r="AR129" i="42"/>
  <c r="AH129" i="42"/>
  <c r="AZ129" i="42" s="1"/>
  <c r="AE129" i="42"/>
  <c r="AY129" i="42" s="1"/>
  <c r="AB129" i="42"/>
  <c r="X129" i="42"/>
  <c r="AD129" i="42" s="1"/>
  <c r="AX129" i="42" s="1"/>
  <c r="R129" i="42"/>
  <c r="BC128" i="42"/>
  <c r="AZ128" i="42"/>
  <c r="AT128" i="42"/>
  <c r="BA128" i="42" s="1"/>
  <c r="AS128" i="42"/>
  <c r="AR128" i="42"/>
  <c r="BB128" i="42" s="1"/>
  <c r="AH128" i="42"/>
  <c r="AE128" i="42"/>
  <c r="AY128" i="42" s="1"/>
  <c r="AD128" i="42"/>
  <c r="AX128" i="42" s="1"/>
  <c r="AB128" i="42"/>
  <c r="AW128" i="42" s="1"/>
  <c r="X128" i="42"/>
  <c r="AV128" i="42" s="1"/>
  <c r="R128" i="42"/>
  <c r="BC127" i="42"/>
  <c r="BB127" i="42"/>
  <c r="AW127" i="42"/>
  <c r="AS127" i="42"/>
  <c r="AT127" i="42" s="1"/>
  <c r="AR127" i="42"/>
  <c r="AH127" i="42"/>
  <c r="AB127" i="42"/>
  <c r="AB132" i="42" s="1"/>
  <c r="R127" i="42"/>
  <c r="AQ126" i="42"/>
  <c r="AP126" i="42"/>
  <c r="AO126" i="42"/>
  <c r="AN126" i="42"/>
  <c r="AM126" i="42"/>
  <c r="AL126" i="42"/>
  <c r="AK126" i="42"/>
  <c r="AJ126" i="42"/>
  <c r="AG126" i="42"/>
  <c r="AF126" i="42"/>
  <c r="AA126" i="42"/>
  <c r="Z126" i="42"/>
  <c r="Y126" i="42"/>
  <c r="W126" i="42"/>
  <c r="V126" i="42"/>
  <c r="U126" i="42"/>
  <c r="T126" i="42"/>
  <c r="S126" i="42"/>
  <c r="BB125" i="42"/>
  <c r="AV125" i="42"/>
  <c r="AS125" i="42"/>
  <c r="BC125" i="42" s="1"/>
  <c r="AR125" i="42"/>
  <c r="AH125" i="42"/>
  <c r="AZ125" i="42" s="1"/>
  <c r="AC125" i="42"/>
  <c r="AB125" i="42"/>
  <c r="AW125" i="42" s="1"/>
  <c r="R125" i="42"/>
  <c r="X125" i="42" s="1"/>
  <c r="AD125" i="42" s="1"/>
  <c r="AX125" i="42" s="1"/>
  <c r="BC124" i="42"/>
  <c r="AZ124" i="42"/>
  <c r="AX124" i="42"/>
  <c r="AT124" i="42"/>
  <c r="BA124" i="42" s="1"/>
  <c r="AS124" i="42"/>
  <c r="AR124" i="42"/>
  <c r="AH124" i="42"/>
  <c r="AE124" i="42"/>
  <c r="AY124" i="42" s="1"/>
  <c r="AD124" i="42"/>
  <c r="AB124" i="42"/>
  <c r="AW124" i="42" s="1"/>
  <c r="X124" i="42"/>
  <c r="R124" i="42"/>
  <c r="BB123" i="42"/>
  <c r="AZ123" i="42"/>
  <c r="AZ126" i="42" s="1"/>
  <c r="AW123" i="42"/>
  <c r="AW126" i="42" s="1"/>
  <c r="AV123" i="42"/>
  <c r="AS123" i="42"/>
  <c r="AS126" i="42" s="1"/>
  <c r="AR123" i="42"/>
  <c r="AH123" i="42"/>
  <c r="AH126" i="42" s="1"/>
  <c r="AD123" i="42"/>
  <c r="AB123" i="42"/>
  <c r="X123" i="42"/>
  <c r="AE123" i="42" s="1"/>
  <c r="AY123" i="42" s="1"/>
  <c r="R123" i="42"/>
  <c r="R126" i="42" s="1"/>
  <c r="AR122" i="42"/>
  <c r="AQ122" i="42"/>
  <c r="AP122" i="42"/>
  <c r="AO122" i="42"/>
  <c r="AN122" i="42"/>
  <c r="AM122" i="42"/>
  <c r="AL122" i="42"/>
  <c r="AK122" i="42"/>
  <c r="AJ122" i="42"/>
  <c r="AG122" i="42"/>
  <c r="AF122" i="42"/>
  <c r="AA122" i="42"/>
  <c r="Z122" i="42"/>
  <c r="Y122" i="42"/>
  <c r="W122" i="42"/>
  <c r="V122" i="42"/>
  <c r="U122" i="42"/>
  <c r="T122" i="42"/>
  <c r="S122" i="42"/>
  <c r="BC121" i="42"/>
  <c r="AZ121" i="42"/>
  <c r="AW121" i="42"/>
  <c r="AT121" i="42"/>
  <c r="BA121" i="42" s="1"/>
  <c r="AS121" i="42"/>
  <c r="AR121" i="42"/>
  <c r="BB121" i="42" s="1"/>
  <c r="AH121" i="42"/>
  <c r="AD121" i="42"/>
  <c r="AX121" i="42" s="1"/>
  <c r="AB121" i="42"/>
  <c r="X121" i="42"/>
  <c r="R121" i="42"/>
  <c r="BB120" i="42"/>
  <c r="AZ120" i="42"/>
  <c r="AW120" i="42"/>
  <c r="AS120" i="42"/>
  <c r="BC120" i="42" s="1"/>
  <c r="AR120" i="42"/>
  <c r="AH120" i="42"/>
  <c r="AB120" i="42"/>
  <c r="X120" i="42"/>
  <c r="AE120" i="42" s="1"/>
  <c r="AY120" i="42" s="1"/>
  <c r="R120" i="42"/>
  <c r="BB119" i="42"/>
  <c r="AV119" i="42"/>
  <c r="AS119" i="42"/>
  <c r="BC119" i="42" s="1"/>
  <c r="AR119" i="42"/>
  <c r="AH119" i="42"/>
  <c r="AZ119" i="42" s="1"/>
  <c r="AC119" i="42"/>
  <c r="AB119" i="42"/>
  <c r="AW119" i="42" s="1"/>
  <c r="R119" i="42"/>
  <c r="X119" i="42" s="1"/>
  <c r="AD119" i="42" s="1"/>
  <c r="AX119" i="42" s="1"/>
  <c r="BC118" i="42"/>
  <c r="AZ118" i="42"/>
  <c r="AX118" i="42"/>
  <c r="AT118" i="42"/>
  <c r="BA118" i="42" s="1"/>
  <c r="AS118" i="42"/>
  <c r="AR118" i="42"/>
  <c r="BB118" i="42" s="1"/>
  <c r="AH118" i="42"/>
  <c r="AE118" i="42"/>
  <c r="AY118" i="42" s="1"/>
  <c r="AD118" i="42"/>
  <c r="AB118" i="42"/>
  <c r="AW118" i="42" s="1"/>
  <c r="X118" i="42"/>
  <c r="R118" i="42"/>
  <c r="BB117" i="42"/>
  <c r="BB122" i="42" s="1"/>
  <c r="AZ117" i="42"/>
  <c r="AW117" i="42"/>
  <c r="AV117" i="42"/>
  <c r="AS117" i="42"/>
  <c r="AS122" i="42" s="1"/>
  <c r="AR117" i="42"/>
  <c r="AH117" i="42"/>
  <c r="AD117" i="42"/>
  <c r="AX117" i="42" s="1"/>
  <c r="AB117" i="42"/>
  <c r="AB122" i="42" s="1"/>
  <c r="X117" i="42"/>
  <c r="AE117" i="42" s="1"/>
  <c r="AY117" i="42" s="1"/>
  <c r="R117" i="42"/>
  <c r="AR116" i="42"/>
  <c r="AQ116" i="42"/>
  <c r="AP116" i="42"/>
  <c r="AO116" i="42"/>
  <c r="AN116" i="42"/>
  <c r="AM116" i="42"/>
  <c r="AL116" i="42"/>
  <c r="AK116" i="42"/>
  <c r="AJ116" i="42"/>
  <c r="AG116" i="42"/>
  <c r="AF116" i="42"/>
  <c r="AA116" i="42"/>
  <c r="Z116" i="42"/>
  <c r="Y116" i="42"/>
  <c r="W116" i="42"/>
  <c r="V116" i="42"/>
  <c r="U116" i="42"/>
  <c r="T116" i="42"/>
  <c r="S116" i="42"/>
  <c r="R116" i="42"/>
  <c r="BC115" i="42"/>
  <c r="AZ115" i="42"/>
  <c r="AW115" i="42"/>
  <c r="AT115" i="42"/>
  <c r="BA115" i="42" s="1"/>
  <c r="AS115" i="42"/>
  <c r="AR115" i="42"/>
  <c r="BB115" i="42" s="1"/>
  <c r="AH115" i="42"/>
  <c r="AD115" i="42"/>
  <c r="AX115" i="42" s="1"/>
  <c r="AB115" i="42"/>
  <c r="X115" i="42"/>
  <c r="R115" i="42"/>
  <c r="BB114" i="42"/>
  <c r="BB116" i="42" s="1"/>
  <c r="AZ114" i="42"/>
  <c r="AZ116" i="42" s="1"/>
  <c r="AW114" i="42"/>
  <c r="AW116" i="42" s="1"/>
  <c r="AS114" i="42"/>
  <c r="AS116" i="42" s="1"/>
  <c r="AR114" i="42"/>
  <c r="AH114" i="42"/>
  <c r="AH116" i="42" s="1"/>
  <c r="AB114" i="42"/>
  <c r="AB116" i="42" s="1"/>
  <c r="X114" i="42"/>
  <c r="AE114" i="42" s="1"/>
  <c r="AY114" i="42" s="1"/>
  <c r="R114" i="42"/>
  <c r="AQ113" i="42"/>
  <c r="AP113" i="42"/>
  <c r="AO113" i="42"/>
  <c r="AN113" i="42"/>
  <c r="AM113" i="42"/>
  <c r="AL113" i="42"/>
  <c r="AK113" i="42"/>
  <c r="AJ113" i="42"/>
  <c r="AG113" i="42"/>
  <c r="AF113" i="42"/>
  <c r="AA113" i="42"/>
  <c r="Z113" i="42"/>
  <c r="Y113" i="42"/>
  <c r="W113" i="42"/>
  <c r="V113" i="42"/>
  <c r="U113" i="42"/>
  <c r="T113" i="42"/>
  <c r="S113" i="42"/>
  <c r="BC112" i="42"/>
  <c r="AZ112" i="42"/>
  <c r="AX112" i="42"/>
  <c r="AT112" i="42"/>
  <c r="BA112" i="42" s="1"/>
  <c r="AS112" i="42"/>
  <c r="AR112" i="42"/>
  <c r="BB112" i="42" s="1"/>
  <c r="AH112" i="42"/>
  <c r="AE112" i="42"/>
  <c r="AY112" i="42" s="1"/>
  <c r="AD112" i="42"/>
  <c r="AB112" i="42"/>
  <c r="AW112" i="42" s="1"/>
  <c r="X112" i="42"/>
  <c r="R112" i="42"/>
  <c r="BB111" i="42"/>
  <c r="AZ111" i="42"/>
  <c r="AW111" i="42"/>
  <c r="AV111" i="42"/>
  <c r="AS111" i="42"/>
  <c r="BC111" i="42" s="1"/>
  <c r="AR111" i="42"/>
  <c r="AH111" i="42"/>
  <c r="AD111" i="42"/>
  <c r="AX111" i="42" s="1"/>
  <c r="AB111" i="42"/>
  <c r="X111" i="42"/>
  <c r="AE111" i="42" s="1"/>
  <c r="AY111" i="42" s="1"/>
  <c r="R111" i="42"/>
  <c r="AS110" i="42"/>
  <c r="BC110" i="42" s="1"/>
  <c r="AR110" i="42"/>
  <c r="AH110" i="42"/>
  <c r="AZ110" i="42" s="1"/>
  <c r="AB110" i="42"/>
  <c r="AW110" i="42" s="1"/>
  <c r="T110" i="42"/>
  <c r="R110" i="42"/>
  <c r="AY109" i="42"/>
  <c r="AV109" i="42"/>
  <c r="AS109" i="42"/>
  <c r="BC109" i="42" s="1"/>
  <c r="AR109" i="42"/>
  <c r="AT109" i="42" s="1"/>
  <c r="BA109" i="42" s="1"/>
  <c r="AH109" i="42"/>
  <c r="AZ109" i="42" s="1"/>
  <c r="AE109" i="42"/>
  <c r="AB109" i="42"/>
  <c r="R109" i="42"/>
  <c r="X109" i="42" s="1"/>
  <c r="AD109" i="42" s="1"/>
  <c r="AX109" i="42" s="1"/>
  <c r="BC108" i="42"/>
  <c r="AZ108" i="42"/>
  <c r="AW108" i="42"/>
  <c r="AT108" i="42"/>
  <c r="BA108" i="42" s="1"/>
  <c r="AS108" i="42"/>
  <c r="AR108" i="42"/>
  <c r="BB108" i="42" s="1"/>
  <c r="AH108" i="42"/>
  <c r="AD108" i="42"/>
  <c r="AX108" i="42" s="1"/>
  <c r="AB108" i="42"/>
  <c r="X108" i="42"/>
  <c r="R108" i="42"/>
  <c r="BC107" i="42"/>
  <c r="BC113" i="42" s="1"/>
  <c r="BB107" i="42"/>
  <c r="AZ107" i="42"/>
  <c r="AZ113" i="42" s="1"/>
  <c r="AW107" i="42"/>
  <c r="AT107" i="42"/>
  <c r="AS107" i="42"/>
  <c r="AR107" i="42"/>
  <c r="AH107" i="42"/>
  <c r="AC107" i="42"/>
  <c r="AB107" i="42"/>
  <c r="X107" i="42"/>
  <c r="AE107" i="42" s="1"/>
  <c r="AY107" i="42" s="1"/>
  <c r="R107" i="42"/>
  <c r="AQ106" i="42"/>
  <c r="AP106" i="42"/>
  <c r="AO106" i="42"/>
  <c r="AN106" i="42"/>
  <c r="AM106" i="42"/>
  <c r="AL106" i="42"/>
  <c r="AK106" i="42"/>
  <c r="AJ106" i="42"/>
  <c r="AG106" i="42"/>
  <c r="AF106" i="42"/>
  <c r="AA106" i="42"/>
  <c r="Z106" i="42"/>
  <c r="Y106" i="42"/>
  <c r="W106" i="42"/>
  <c r="V106" i="42"/>
  <c r="U106" i="42"/>
  <c r="T106" i="42"/>
  <c r="S106" i="42"/>
  <c r="BC105" i="42"/>
  <c r="BA105" i="42"/>
  <c r="AZ105" i="42"/>
  <c r="AX105" i="42"/>
  <c r="AT105" i="42"/>
  <c r="AS105" i="42"/>
  <c r="AR105" i="42"/>
  <c r="BB105" i="42" s="1"/>
  <c r="AH105" i="42"/>
  <c r="AD105" i="42"/>
  <c r="AB105" i="42"/>
  <c r="AW105" i="42" s="1"/>
  <c r="X105" i="42"/>
  <c r="AE105" i="42" s="1"/>
  <c r="AY105" i="42" s="1"/>
  <c r="R105" i="42"/>
  <c r="BC104" i="42"/>
  <c r="BB104" i="42"/>
  <c r="AZ104" i="42"/>
  <c r="AW104" i="42"/>
  <c r="AT104" i="42"/>
  <c r="BA104" i="42" s="1"/>
  <c r="AS104" i="42"/>
  <c r="AR104" i="42"/>
  <c r="AH104" i="42"/>
  <c r="AB104" i="42"/>
  <c r="R104" i="42"/>
  <c r="X104" i="42" s="1"/>
  <c r="AV103" i="42"/>
  <c r="AS103" i="42"/>
  <c r="BC103" i="42" s="1"/>
  <c r="AR103" i="42"/>
  <c r="AT103" i="42" s="1"/>
  <c r="BA103" i="42" s="1"/>
  <c r="AH103" i="42"/>
  <c r="AZ103" i="42" s="1"/>
  <c r="AB103" i="42"/>
  <c r="R103" i="42"/>
  <c r="X103" i="42" s="1"/>
  <c r="AD103" i="42" s="1"/>
  <c r="AX103" i="42" s="1"/>
  <c r="BC102" i="42"/>
  <c r="AZ102" i="42"/>
  <c r="AW102" i="42"/>
  <c r="AT102" i="42"/>
  <c r="BA102" i="42" s="1"/>
  <c r="AS102" i="42"/>
  <c r="AR102" i="42"/>
  <c r="BB102" i="42" s="1"/>
  <c r="AH102" i="42"/>
  <c r="AE102" i="42"/>
  <c r="AY102" i="42" s="1"/>
  <c r="AD102" i="42"/>
  <c r="AX102" i="42" s="1"/>
  <c r="AB102" i="42"/>
  <c r="X102" i="42"/>
  <c r="R102" i="42"/>
  <c r="BC101" i="42"/>
  <c r="BC106" i="42" s="1"/>
  <c r="BB101" i="42"/>
  <c r="AZ101" i="42"/>
  <c r="AZ106" i="42" s="1"/>
  <c r="AW101" i="42"/>
  <c r="AT101" i="42"/>
  <c r="AS101" i="42"/>
  <c r="AS106" i="42" s="1"/>
  <c r="AR101" i="42"/>
  <c r="AH101" i="42"/>
  <c r="AC101" i="42"/>
  <c r="AB101" i="42"/>
  <c r="X101" i="42"/>
  <c r="AE101" i="42" s="1"/>
  <c r="AY101" i="42" s="1"/>
  <c r="R101" i="42"/>
  <c r="AQ100" i="42"/>
  <c r="AP100" i="42"/>
  <c r="AO100" i="42"/>
  <c r="AN100" i="42"/>
  <c r="AM100" i="42"/>
  <c r="AL100" i="42"/>
  <c r="AK100" i="42"/>
  <c r="AJ100" i="42"/>
  <c r="AG100" i="42"/>
  <c r="AF100" i="42"/>
  <c r="AA100" i="42"/>
  <c r="Z100" i="42"/>
  <c r="Y100" i="42"/>
  <c r="W100" i="42"/>
  <c r="V100" i="42"/>
  <c r="U100" i="42"/>
  <c r="T100" i="42"/>
  <c r="S100" i="42"/>
  <c r="BC99" i="42"/>
  <c r="BA99" i="42"/>
  <c r="AZ99" i="42"/>
  <c r="AX99" i="42"/>
  <c r="AT99" i="42"/>
  <c r="AS99" i="42"/>
  <c r="AR99" i="42"/>
  <c r="BB99" i="42" s="1"/>
  <c r="AH99" i="42"/>
  <c r="AD99" i="42"/>
  <c r="AB99" i="42"/>
  <c r="AW99" i="42" s="1"/>
  <c r="X99" i="42"/>
  <c r="AE99" i="42" s="1"/>
  <c r="AY99" i="42" s="1"/>
  <c r="R99" i="42"/>
  <c r="BC98" i="42"/>
  <c r="BB98" i="42"/>
  <c r="AZ98" i="42"/>
  <c r="AW98" i="42"/>
  <c r="AT98" i="42"/>
  <c r="BA98" i="42" s="1"/>
  <c r="AS98" i="42"/>
  <c r="AR98" i="42"/>
  <c r="AH98" i="42"/>
  <c r="AB98" i="42"/>
  <c r="R98" i="42"/>
  <c r="X98" i="42" s="1"/>
  <c r="AV97" i="42"/>
  <c r="AS97" i="42"/>
  <c r="BC97" i="42" s="1"/>
  <c r="AR97" i="42"/>
  <c r="AT97" i="42" s="1"/>
  <c r="AT100" i="42" s="1"/>
  <c r="AH97" i="42"/>
  <c r="AB97" i="42"/>
  <c r="R97" i="42"/>
  <c r="X97" i="42" s="1"/>
  <c r="AD97" i="42" s="1"/>
  <c r="AX97" i="42" s="1"/>
  <c r="AQ96" i="42"/>
  <c r="AP96" i="42"/>
  <c r="AO96" i="42"/>
  <c r="AN96" i="42"/>
  <c r="AM96" i="42"/>
  <c r="AL96" i="42"/>
  <c r="AK96" i="42"/>
  <c r="AJ96" i="42"/>
  <c r="AG96" i="42"/>
  <c r="AF96" i="42"/>
  <c r="AB96" i="42"/>
  <c r="AA96" i="42"/>
  <c r="Z96" i="42"/>
  <c r="Y96" i="42"/>
  <c r="W96" i="42"/>
  <c r="V96" i="42"/>
  <c r="U96" i="42"/>
  <c r="T96" i="42"/>
  <c r="S96" i="42"/>
  <c r="BC95" i="42"/>
  <c r="BB95" i="42"/>
  <c r="AZ95" i="42"/>
  <c r="AW95" i="42"/>
  <c r="AT95" i="42"/>
  <c r="BA95" i="42" s="1"/>
  <c r="AS95" i="42"/>
  <c r="AR95" i="42"/>
  <c r="AH95" i="42"/>
  <c r="AB95" i="42"/>
  <c r="R95" i="42"/>
  <c r="X95" i="42" s="1"/>
  <c r="AV94" i="42"/>
  <c r="AS94" i="42"/>
  <c r="BC94" i="42" s="1"/>
  <c r="AR94" i="42"/>
  <c r="AT94" i="42" s="1"/>
  <c r="BA94" i="42" s="1"/>
  <c r="AH94" i="42"/>
  <c r="AZ94" i="42" s="1"/>
  <c r="AB94" i="42"/>
  <c r="R94" i="42"/>
  <c r="X94" i="42" s="1"/>
  <c r="AD94" i="42" s="1"/>
  <c r="AX94" i="42" s="1"/>
  <c r="BC93" i="42"/>
  <c r="AZ93" i="42"/>
  <c r="AW93" i="42"/>
  <c r="AT93" i="42"/>
  <c r="BA93" i="42" s="1"/>
  <c r="AS93" i="42"/>
  <c r="AR93" i="42"/>
  <c r="BB93" i="42" s="1"/>
  <c r="AH93" i="42"/>
  <c r="AE93" i="42"/>
  <c r="AY93" i="42" s="1"/>
  <c r="AD93" i="42"/>
  <c r="AX93" i="42" s="1"/>
  <c r="AB93" i="42"/>
  <c r="X93" i="42"/>
  <c r="R93" i="42"/>
  <c r="BC92" i="42"/>
  <c r="BB92" i="42"/>
  <c r="AZ92" i="42"/>
  <c r="AW92" i="42"/>
  <c r="AT92" i="42"/>
  <c r="AS92" i="42"/>
  <c r="AR92" i="42"/>
  <c r="AH92" i="42"/>
  <c r="AC92" i="42"/>
  <c r="AB92" i="42"/>
  <c r="X92" i="42"/>
  <c r="AE92" i="42" s="1"/>
  <c r="AY92" i="42" s="1"/>
  <c r="R92" i="42"/>
  <c r="AS91" i="42"/>
  <c r="AR91" i="42"/>
  <c r="AT91" i="42" s="1"/>
  <c r="BA91" i="42" s="1"/>
  <c r="AH91" i="42"/>
  <c r="AB91" i="42"/>
  <c r="AW91" i="42" s="1"/>
  <c r="R91" i="42"/>
  <c r="AR90" i="42"/>
  <c r="AQ90" i="42"/>
  <c r="AP90" i="42"/>
  <c r="AO90" i="42"/>
  <c r="AN90" i="42"/>
  <c r="AM90" i="42"/>
  <c r="AL90" i="42"/>
  <c r="AK90" i="42"/>
  <c r="AJ90" i="42"/>
  <c r="AG90" i="42"/>
  <c r="AF90" i="42"/>
  <c r="AA90" i="42"/>
  <c r="Z90" i="42"/>
  <c r="Y90" i="42"/>
  <c r="W90" i="42"/>
  <c r="V90" i="42"/>
  <c r="U90" i="42"/>
  <c r="T90" i="42"/>
  <c r="S90" i="42"/>
  <c r="BC89" i="42"/>
  <c r="BB89" i="42"/>
  <c r="AZ89" i="42"/>
  <c r="AW89" i="42"/>
  <c r="AT89" i="42"/>
  <c r="BA89" i="42" s="1"/>
  <c r="AS89" i="42"/>
  <c r="AR89" i="42"/>
  <c r="AH89" i="42"/>
  <c r="AC89" i="42"/>
  <c r="AB89" i="42"/>
  <c r="X89" i="42"/>
  <c r="AE89" i="42" s="1"/>
  <c r="AY89" i="42" s="1"/>
  <c r="R89" i="42"/>
  <c r="AY88" i="42"/>
  <c r="AV88" i="42"/>
  <c r="AS88" i="42"/>
  <c r="BC88" i="42" s="1"/>
  <c r="AR88" i="42"/>
  <c r="AT88" i="42" s="1"/>
  <c r="BA88" i="42" s="1"/>
  <c r="AH88" i="42"/>
  <c r="AZ88" i="42" s="1"/>
  <c r="AD88" i="42"/>
  <c r="AX88" i="42" s="1"/>
  <c r="AC88" i="42"/>
  <c r="AB88" i="42"/>
  <c r="AW88" i="42" s="1"/>
  <c r="R88" i="42"/>
  <c r="X88" i="42" s="1"/>
  <c r="AE88" i="42" s="1"/>
  <c r="BC87" i="42"/>
  <c r="BB87" i="42"/>
  <c r="AV87" i="42"/>
  <c r="AT87" i="42"/>
  <c r="AT90" i="42" s="1"/>
  <c r="AS87" i="42"/>
  <c r="AS90" i="42" s="1"/>
  <c r="AR87" i="42"/>
  <c r="AH87" i="42"/>
  <c r="AB87" i="42"/>
  <c r="AW87" i="42" s="1"/>
  <c r="AW90" i="42" s="1"/>
  <c r="R87" i="42"/>
  <c r="X87" i="42" s="1"/>
  <c r="AQ86" i="42"/>
  <c r="AP86" i="42"/>
  <c r="AO86" i="42"/>
  <c r="AN86" i="42"/>
  <c r="AM86" i="42"/>
  <c r="AL86" i="42"/>
  <c r="AK86" i="42"/>
  <c r="AJ86" i="42"/>
  <c r="AG86" i="42"/>
  <c r="AF86" i="42"/>
  <c r="AB86" i="42"/>
  <c r="AA86" i="42"/>
  <c r="Z86" i="42"/>
  <c r="Y86" i="42"/>
  <c r="W86" i="42"/>
  <c r="V86" i="42"/>
  <c r="U86" i="42"/>
  <c r="T86" i="42"/>
  <c r="S86" i="42"/>
  <c r="AS85" i="42"/>
  <c r="BC85" i="42" s="1"/>
  <c r="AR85" i="42"/>
  <c r="AT85" i="42" s="1"/>
  <c r="BA85" i="42" s="1"/>
  <c r="AH85" i="42"/>
  <c r="AZ85" i="42" s="1"/>
  <c r="AB85" i="42"/>
  <c r="AW85" i="42" s="1"/>
  <c r="R85" i="42"/>
  <c r="X85" i="42" s="1"/>
  <c r="AV85" i="42" s="1"/>
  <c r="BC84" i="42"/>
  <c r="AZ84" i="42"/>
  <c r="AX84" i="42"/>
  <c r="AS84" i="42"/>
  <c r="AR84" i="42"/>
  <c r="BB84" i="42" s="1"/>
  <c r="AH84" i="42"/>
  <c r="AD84" i="42"/>
  <c r="AB84" i="42"/>
  <c r="AW84" i="42" s="1"/>
  <c r="X84" i="42"/>
  <c r="AE84" i="42" s="1"/>
  <c r="AY84" i="42" s="1"/>
  <c r="R84" i="42"/>
  <c r="BB83" i="42"/>
  <c r="AW83" i="42"/>
  <c r="AT83" i="42"/>
  <c r="BA83" i="42" s="1"/>
  <c r="AS83" i="42"/>
  <c r="BC83" i="42" s="1"/>
  <c r="AR83" i="42"/>
  <c r="AH83" i="42"/>
  <c r="AZ83" i="42" s="1"/>
  <c r="AB83" i="42"/>
  <c r="R83" i="42"/>
  <c r="X83" i="42" s="1"/>
  <c r="AD83" i="42" s="1"/>
  <c r="AX83" i="42" s="1"/>
  <c r="AS82" i="42"/>
  <c r="BC82" i="42" s="1"/>
  <c r="AR82" i="42"/>
  <c r="AT82" i="42" s="1"/>
  <c r="BA82" i="42" s="1"/>
  <c r="AH82" i="42"/>
  <c r="AZ82" i="42" s="1"/>
  <c r="AB82" i="42"/>
  <c r="AW82" i="42" s="1"/>
  <c r="R82" i="42"/>
  <c r="X82" i="42" s="1"/>
  <c r="AV82" i="42" s="1"/>
  <c r="BC81" i="42"/>
  <c r="AZ81" i="42"/>
  <c r="AX81" i="42"/>
  <c r="AS81" i="42"/>
  <c r="AR81" i="42"/>
  <c r="BB81" i="42" s="1"/>
  <c r="AH81" i="42"/>
  <c r="AD81" i="42"/>
  <c r="AB81" i="42"/>
  <c r="AW81" i="42" s="1"/>
  <c r="X81" i="42"/>
  <c r="AE81" i="42" s="1"/>
  <c r="AY81" i="42" s="1"/>
  <c r="R81" i="42"/>
  <c r="BB80" i="42"/>
  <c r="AW80" i="42"/>
  <c r="AT80" i="42"/>
  <c r="BA80" i="42" s="1"/>
  <c r="AS80" i="42"/>
  <c r="BC80" i="42" s="1"/>
  <c r="BC86" i="42" s="1"/>
  <c r="AR80" i="42"/>
  <c r="AR86" i="42" s="1"/>
  <c r="AH80" i="42"/>
  <c r="AZ80" i="42" s="1"/>
  <c r="AZ86" i="42" s="1"/>
  <c r="AB80" i="42"/>
  <c r="R80" i="42"/>
  <c r="X80" i="42" s="1"/>
  <c r="AD80" i="42" s="1"/>
  <c r="AS79" i="42"/>
  <c r="AR79" i="42"/>
  <c r="AQ79" i="42"/>
  <c r="AP79" i="42"/>
  <c r="AO79" i="42"/>
  <c r="AN79" i="42"/>
  <c r="AM79" i="42"/>
  <c r="AL79" i="42"/>
  <c r="AK79" i="42"/>
  <c r="AJ79" i="42"/>
  <c r="AG79" i="42"/>
  <c r="AF79" i="42"/>
  <c r="AA79" i="42"/>
  <c r="Z79" i="42"/>
  <c r="Y79" i="42"/>
  <c r="W79" i="42"/>
  <c r="V79" i="42"/>
  <c r="U79" i="42"/>
  <c r="T79" i="42"/>
  <c r="S79" i="42"/>
  <c r="R79" i="42"/>
  <c r="BC78" i="42"/>
  <c r="AZ78" i="42"/>
  <c r="AT78" i="42"/>
  <c r="AS78" i="42"/>
  <c r="AS211" i="42" s="1"/>
  <c r="AR78" i="42"/>
  <c r="AH78" i="42"/>
  <c r="AH211" i="42" s="1"/>
  <c r="AB78" i="42"/>
  <c r="X78" i="42"/>
  <c r="R78" i="42"/>
  <c r="R211" i="42" s="1"/>
  <c r="AQ77" i="42"/>
  <c r="AP77" i="42"/>
  <c r="AO77" i="42"/>
  <c r="AN77" i="42"/>
  <c r="AM77" i="42"/>
  <c r="AL77" i="42"/>
  <c r="AK77" i="42"/>
  <c r="AJ77" i="42"/>
  <c r="AG77" i="42"/>
  <c r="AF77" i="42"/>
  <c r="AA77" i="42"/>
  <c r="Z77" i="42"/>
  <c r="Y77" i="42"/>
  <c r="W77" i="42"/>
  <c r="V77" i="42"/>
  <c r="U77" i="42"/>
  <c r="T77" i="42"/>
  <c r="S77" i="42"/>
  <c r="BA76" i="42"/>
  <c r="AS76" i="42"/>
  <c r="BC76" i="42" s="1"/>
  <c r="AR76" i="42"/>
  <c r="AT76" i="42" s="1"/>
  <c r="AH76" i="42"/>
  <c r="AZ76" i="42" s="1"/>
  <c r="AB76" i="42"/>
  <c r="AW76" i="42" s="1"/>
  <c r="R76" i="42"/>
  <c r="X76" i="42" s="1"/>
  <c r="BC75" i="42"/>
  <c r="AZ75" i="42"/>
  <c r="AW75" i="42"/>
  <c r="AS75" i="42"/>
  <c r="AR75" i="42"/>
  <c r="BB75" i="42" s="1"/>
  <c r="AH75" i="42"/>
  <c r="AB75" i="42"/>
  <c r="X75" i="42"/>
  <c r="R75" i="42"/>
  <c r="BB74" i="42"/>
  <c r="AY74" i="42"/>
  <c r="AW74" i="42"/>
  <c r="AV74" i="42"/>
  <c r="AT74" i="42"/>
  <c r="BA74" i="42" s="1"/>
  <c r="AS74" i="42"/>
  <c r="BC74" i="42" s="1"/>
  <c r="AR74" i="42"/>
  <c r="AH74" i="42"/>
  <c r="AZ74" i="42" s="1"/>
  <c r="AD74" i="42"/>
  <c r="AX74" i="42" s="1"/>
  <c r="AC74" i="42"/>
  <c r="AI74" i="42" s="1"/>
  <c r="AU74" i="42" s="1"/>
  <c r="AB74" i="42"/>
  <c r="R74" i="42"/>
  <c r="X74" i="42" s="1"/>
  <c r="AE74" i="42" s="1"/>
  <c r="BA73" i="42"/>
  <c r="AV73" i="42"/>
  <c r="AS73" i="42"/>
  <c r="BC73" i="42" s="1"/>
  <c r="AR73" i="42"/>
  <c r="AT73" i="42" s="1"/>
  <c r="AH73" i="42"/>
  <c r="AZ73" i="42" s="1"/>
  <c r="AB73" i="42"/>
  <c r="AW73" i="42" s="1"/>
  <c r="R73" i="42"/>
  <c r="X73" i="42" s="1"/>
  <c r="BC72" i="42"/>
  <c r="AZ72" i="42"/>
  <c r="AT72" i="42"/>
  <c r="BA72" i="42" s="1"/>
  <c r="AS72" i="42"/>
  <c r="AR72" i="42"/>
  <c r="BB72" i="42" s="1"/>
  <c r="AH72" i="42"/>
  <c r="AB72" i="42"/>
  <c r="AB77" i="42" s="1"/>
  <c r="X72" i="42"/>
  <c r="R72" i="42"/>
  <c r="BB71" i="42"/>
  <c r="AZ71" i="42"/>
  <c r="AW71" i="42"/>
  <c r="AV71" i="42"/>
  <c r="AS71" i="42"/>
  <c r="BC71" i="42" s="1"/>
  <c r="AR71" i="42"/>
  <c r="AR77" i="42" s="1"/>
  <c r="AH71" i="42"/>
  <c r="AH77" i="42" s="1"/>
  <c r="AD71" i="42"/>
  <c r="AX71" i="42" s="1"/>
  <c r="AC71" i="42"/>
  <c r="AB71" i="42"/>
  <c r="R71" i="42"/>
  <c r="X71" i="42" s="1"/>
  <c r="AE71" i="42" s="1"/>
  <c r="AY71" i="42" s="1"/>
  <c r="AQ70" i="42"/>
  <c r="AP70" i="42"/>
  <c r="AO70" i="42"/>
  <c r="AN70" i="42"/>
  <c r="AM70" i="42"/>
  <c r="AL70" i="42"/>
  <c r="AK70" i="42"/>
  <c r="AJ70" i="42"/>
  <c r="AG70" i="42"/>
  <c r="AF70" i="42"/>
  <c r="AA70" i="42"/>
  <c r="Z70" i="42"/>
  <c r="Y70" i="42"/>
  <c r="W70" i="42"/>
  <c r="V70" i="42"/>
  <c r="U70" i="42"/>
  <c r="T70" i="42"/>
  <c r="S70" i="42"/>
  <c r="BC69" i="42"/>
  <c r="AZ69" i="42"/>
  <c r="AW69" i="42"/>
  <c r="AT69" i="42"/>
  <c r="BA69" i="42" s="1"/>
  <c r="AS69" i="42"/>
  <c r="AR69" i="42"/>
  <c r="BB69" i="42" s="1"/>
  <c r="AH69" i="42"/>
  <c r="AD69" i="42"/>
  <c r="AX69" i="42" s="1"/>
  <c r="AB69" i="42"/>
  <c r="X69" i="42"/>
  <c r="R69" i="42"/>
  <c r="BB68" i="42"/>
  <c r="AY68" i="42"/>
  <c r="AW68" i="42"/>
  <c r="AS68" i="42"/>
  <c r="BC68" i="42" s="1"/>
  <c r="AR68" i="42"/>
  <c r="AH68" i="42"/>
  <c r="AZ68" i="42" s="1"/>
  <c r="AB68" i="42"/>
  <c r="R68" i="42"/>
  <c r="X68" i="42" s="1"/>
  <c r="AE68" i="42" s="1"/>
  <c r="BA67" i="42"/>
  <c r="AS67" i="42"/>
  <c r="AS70" i="42" s="1"/>
  <c r="AR67" i="42"/>
  <c r="AT67" i="42" s="1"/>
  <c r="AH67" i="42"/>
  <c r="AZ67" i="42" s="1"/>
  <c r="AE67" i="42"/>
  <c r="AY67" i="42" s="1"/>
  <c r="AB67" i="42"/>
  <c r="AW67" i="42" s="1"/>
  <c r="R67" i="42"/>
  <c r="X67" i="42" s="1"/>
  <c r="AV67" i="42" s="1"/>
  <c r="BC66" i="42"/>
  <c r="AZ66" i="42"/>
  <c r="AX66" i="42"/>
  <c r="AW66" i="42"/>
  <c r="AS66" i="42"/>
  <c r="AR66" i="42"/>
  <c r="BB66" i="42" s="1"/>
  <c r="AH66" i="42"/>
  <c r="AH70" i="42" s="1"/>
  <c r="AD66" i="42"/>
  <c r="AB66" i="42"/>
  <c r="X66" i="42"/>
  <c r="X70" i="42" s="1"/>
  <c r="R66" i="42"/>
  <c r="AQ65" i="42"/>
  <c r="AP65" i="42"/>
  <c r="AO65" i="42"/>
  <c r="AN65" i="42"/>
  <c r="AM65" i="42"/>
  <c r="AL65" i="42"/>
  <c r="AK65" i="42"/>
  <c r="AJ65" i="42"/>
  <c r="AG65" i="42"/>
  <c r="AF65" i="42"/>
  <c r="AB65" i="42"/>
  <c r="AA65" i="42"/>
  <c r="Z65" i="42"/>
  <c r="Y65" i="42"/>
  <c r="W65" i="42"/>
  <c r="V65" i="42"/>
  <c r="U65" i="42"/>
  <c r="T65" i="42"/>
  <c r="S65" i="42"/>
  <c r="BB64" i="42"/>
  <c r="AS64" i="42"/>
  <c r="BC64" i="42" s="1"/>
  <c r="AR64" i="42"/>
  <c r="AH64" i="42"/>
  <c r="AZ64" i="42" s="1"/>
  <c r="AB64" i="42"/>
  <c r="AW64" i="42" s="1"/>
  <c r="R64" i="42"/>
  <c r="X64" i="42" s="1"/>
  <c r="AD64" i="42" s="1"/>
  <c r="AX64" i="42" s="1"/>
  <c r="BC63" i="42"/>
  <c r="AZ63" i="42"/>
  <c r="AX63" i="42"/>
  <c r="AW63" i="42"/>
  <c r="AT63" i="42"/>
  <c r="BA63" i="42" s="1"/>
  <c r="AS63" i="42"/>
  <c r="AR63" i="42"/>
  <c r="BB63" i="42" s="1"/>
  <c r="AH63" i="42"/>
  <c r="AE63" i="42"/>
  <c r="AY63" i="42" s="1"/>
  <c r="AD63" i="42"/>
  <c r="AB63" i="42"/>
  <c r="X63" i="42"/>
  <c r="R63" i="42"/>
  <c r="BB62" i="42"/>
  <c r="AZ62" i="42"/>
  <c r="AW62" i="42"/>
  <c r="AV62" i="42"/>
  <c r="AS62" i="42"/>
  <c r="BC62" i="42" s="1"/>
  <c r="AR62" i="42"/>
  <c r="AH62" i="42"/>
  <c r="AD62" i="42"/>
  <c r="AX62" i="42" s="1"/>
  <c r="AB62" i="42"/>
  <c r="X62" i="42"/>
  <c r="AE62" i="42" s="1"/>
  <c r="AY62" i="42" s="1"/>
  <c r="R62" i="42"/>
  <c r="AX61" i="42"/>
  <c r="AV61" i="42"/>
  <c r="AS61" i="42"/>
  <c r="BC61" i="42" s="1"/>
  <c r="AR61" i="42"/>
  <c r="AT61" i="42" s="1"/>
  <c r="BA61" i="42" s="1"/>
  <c r="AH61" i="42"/>
  <c r="AZ61" i="42" s="1"/>
  <c r="AE61" i="42"/>
  <c r="AY61" i="42" s="1"/>
  <c r="AC61" i="42"/>
  <c r="AB61" i="42"/>
  <c r="AW61" i="42" s="1"/>
  <c r="R61" i="42"/>
  <c r="X61" i="42" s="1"/>
  <c r="AD61" i="42" s="1"/>
  <c r="BC60" i="42"/>
  <c r="AZ60" i="42"/>
  <c r="AS60" i="42"/>
  <c r="AR60" i="42"/>
  <c r="AH60" i="42"/>
  <c r="AB60" i="42"/>
  <c r="AW60" i="42" s="1"/>
  <c r="X60" i="42"/>
  <c r="R60" i="42"/>
  <c r="AQ59" i="42"/>
  <c r="AP59" i="42"/>
  <c r="AO59" i="42"/>
  <c r="AM59" i="42"/>
  <c r="AL59" i="42"/>
  <c r="AK59" i="42"/>
  <c r="AJ59" i="42"/>
  <c r="AG59" i="42"/>
  <c r="AF59" i="42"/>
  <c r="AA59" i="42"/>
  <c r="Z59" i="42"/>
  <c r="Y59" i="42"/>
  <c r="W59" i="42"/>
  <c r="V59" i="42"/>
  <c r="U59" i="42"/>
  <c r="T59" i="42"/>
  <c r="S59" i="42"/>
  <c r="BB58" i="42"/>
  <c r="AS58" i="42"/>
  <c r="BC58" i="42" s="1"/>
  <c r="AR58" i="42"/>
  <c r="AH58" i="42"/>
  <c r="AZ58" i="42" s="1"/>
  <c r="AB58" i="42"/>
  <c r="AW58" i="42" s="1"/>
  <c r="R58" i="42"/>
  <c r="X58" i="42" s="1"/>
  <c r="AD58" i="42" s="1"/>
  <c r="AX58" i="42" s="1"/>
  <c r="BC57" i="42"/>
  <c r="AZ57" i="42"/>
  <c r="AS57" i="42"/>
  <c r="AR57" i="42"/>
  <c r="BB57" i="42" s="1"/>
  <c r="AH57" i="42"/>
  <c r="AE57" i="42"/>
  <c r="AY57" i="42" s="1"/>
  <c r="AB57" i="42"/>
  <c r="AW57" i="42" s="1"/>
  <c r="X57" i="42"/>
  <c r="R57" i="42"/>
  <c r="BB56" i="42"/>
  <c r="AZ56" i="42"/>
  <c r="AW56" i="42"/>
  <c r="AR56" i="42"/>
  <c r="AN56" i="42"/>
  <c r="AN209" i="42" s="1"/>
  <c r="AN202" i="42" s="1"/>
  <c r="AH56" i="42"/>
  <c r="AB56" i="42"/>
  <c r="X56" i="42"/>
  <c r="AC56" i="42" s="1"/>
  <c r="T56" i="42"/>
  <c r="T209" i="42" s="1"/>
  <c r="R56" i="42"/>
  <c r="BC55" i="42"/>
  <c r="AZ55" i="42"/>
  <c r="AS55" i="42"/>
  <c r="AR55" i="42"/>
  <c r="BB55" i="42" s="1"/>
  <c r="AH55" i="42"/>
  <c r="AD55" i="42"/>
  <c r="AX55" i="42" s="1"/>
  <c r="AB55" i="42"/>
  <c r="AB59" i="42" s="1"/>
  <c r="X55" i="42"/>
  <c r="AV55" i="42" s="1"/>
  <c r="R55" i="42"/>
  <c r="BB54" i="42"/>
  <c r="BB59" i="42" s="1"/>
  <c r="AZ54" i="42"/>
  <c r="AZ59" i="42" s="1"/>
  <c r="AW54" i="42"/>
  <c r="AS54" i="42"/>
  <c r="AR54" i="42"/>
  <c r="AH54" i="42"/>
  <c r="AB54" i="42"/>
  <c r="R54" i="42"/>
  <c r="R59" i="42" s="1"/>
  <c r="AQ53" i="42"/>
  <c r="AP53" i="42"/>
  <c r="AO53" i="42"/>
  <c r="AN53" i="42"/>
  <c r="AM53" i="42"/>
  <c r="AL53" i="42"/>
  <c r="AK53" i="42"/>
  <c r="AJ53" i="42"/>
  <c r="AG53" i="42"/>
  <c r="AF53" i="42"/>
  <c r="AA53" i="42"/>
  <c r="Z53" i="42"/>
  <c r="Y53" i="42"/>
  <c r="W53" i="42"/>
  <c r="V53" i="42"/>
  <c r="U53" i="42"/>
  <c r="T53" i="42"/>
  <c r="S53" i="42"/>
  <c r="BB52" i="42"/>
  <c r="AS52" i="42"/>
  <c r="BC52" i="42" s="1"/>
  <c r="AR52" i="42"/>
  <c r="AT52" i="42" s="1"/>
  <c r="BA52" i="42" s="1"/>
  <c r="AH52" i="42"/>
  <c r="AZ52" i="42" s="1"/>
  <c r="AB52" i="42"/>
  <c r="AW52" i="42" s="1"/>
  <c r="R52" i="42"/>
  <c r="X52" i="42" s="1"/>
  <c r="BC51" i="42"/>
  <c r="AZ51" i="42"/>
  <c r="AX51" i="42"/>
  <c r="AS51" i="42"/>
  <c r="AR51" i="42"/>
  <c r="AR210" i="42" s="1"/>
  <c r="AH51" i="42"/>
  <c r="AD51" i="42"/>
  <c r="AB51" i="42"/>
  <c r="AB210" i="42" s="1"/>
  <c r="X51" i="42"/>
  <c r="AV51" i="42" s="1"/>
  <c r="R51" i="42"/>
  <c r="BB50" i="42"/>
  <c r="AZ50" i="42"/>
  <c r="AW50" i="42"/>
  <c r="AT50" i="42"/>
  <c r="BA50" i="42" s="1"/>
  <c r="AS50" i="42"/>
  <c r="BC50" i="42" s="1"/>
  <c r="AR50" i="42"/>
  <c r="AH50" i="42"/>
  <c r="AB50" i="42"/>
  <c r="R50" i="42"/>
  <c r="X50" i="42" s="1"/>
  <c r="BB49" i="42"/>
  <c r="AS49" i="42"/>
  <c r="BC49" i="42" s="1"/>
  <c r="AR49" i="42"/>
  <c r="AT49" i="42" s="1"/>
  <c r="BA49" i="42" s="1"/>
  <c r="AH49" i="42"/>
  <c r="AH53" i="42" s="1"/>
  <c r="AB49" i="42"/>
  <c r="AW49" i="42" s="1"/>
  <c r="R49" i="42"/>
  <c r="R53" i="42" s="1"/>
  <c r="BC48" i="42"/>
  <c r="AZ48" i="42"/>
  <c r="AX48" i="42"/>
  <c r="AS48" i="42"/>
  <c r="AR48" i="42"/>
  <c r="AR204" i="42" s="1"/>
  <c r="AH48" i="42"/>
  <c r="AD48" i="42"/>
  <c r="AB48" i="42"/>
  <c r="X48" i="42"/>
  <c r="AV48" i="42" s="1"/>
  <c r="R48" i="42"/>
  <c r="AS47" i="42"/>
  <c r="AQ47" i="42"/>
  <c r="AP47" i="42"/>
  <c r="AO47" i="42"/>
  <c r="AN47" i="42"/>
  <c r="AM47" i="42"/>
  <c r="AL47" i="42"/>
  <c r="AK47" i="42"/>
  <c r="AJ47" i="42"/>
  <c r="AH47" i="42"/>
  <c r="AG47" i="42"/>
  <c r="AF47" i="42"/>
  <c r="AB47" i="42"/>
  <c r="AA47" i="42"/>
  <c r="Z47" i="42"/>
  <c r="Y47" i="42"/>
  <c r="W47" i="42"/>
  <c r="V47" i="42"/>
  <c r="U47" i="42"/>
  <c r="T47" i="42"/>
  <c r="S47" i="42"/>
  <c r="BB46" i="42"/>
  <c r="AS46" i="42"/>
  <c r="AS212" i="42" s="1"/>
  <c r="AR46" i="42"/>
  <c r="AR212" i="42" s="1"/>
  <c r="AH46" i="42"/>
  <c r="AB46" i="42"/>
  <c r="AB212" i="42" s="1"/>
  <c r="R46" i="42"/>
  <c r="AQ45" i="42"/>
  <c r="AP45" i="42"/>
  <c r="AO45" i="42"/>
  <c r="AN45" i="42"/>
  <c r="AM45" i="42"/>
  <c r="AL45" i="42"/>
  <c r="AK45" i="42"/>
  <c r="AJ45" i="42"/>
  <c r="AG45" i="42"/>
  <c r="AF45" i="42"/>
  <c r="AA45" i="42"/>
  <c r="Z45" i="42"/>
  <c r="Y45" i="42"/>
  <c r="W45" i="42"/>
  <c r="V45" i="42"/>
  <c r="U45" i="42"/>
  <c r="T45" i="42"/>
  <c r="S45" i="42"/>
  <c r="BB44" i="42"/>
  <c r="AZ44" i="42"/>
  <c r="AW44" i="42"/>
  <c r="AT44" i="42"/>
  <c r="BA44" i="42" s="1"/>
  <c r="AS44" i="42"/>
  <c r="BC44" i="42" s="1"/>
  <c r="AR44" i="42"/>
  <c r="AH44" i="42"/>
  <c r="AB44" i="42"/>
  <c r="R44" i="42"/>
  <c r="X44" i="42" s="1"/>
  <c r="BB43" i="42"/>
  <c r="AV43" i="42"/>
  <c r="AS43" i="42"/>
  <c r="BC43" i="42" s="1"/>
  <c r="AR43" i="42"/>
  <c r="AT43" i="42" s="1"/>
  <c r="BA43" i="42" s="1"/>
  <c r="AH43" i="42"/>
  <c r="AB43" i="42"/>
  <c r="AW43" i="42" s="1"/>
  <c r="R43" i="42"/>
  <c r="X43" i="42" s="1"/>
  <c r="BC42" i="42"/>
  <c r="AZ42" i="42"/>
  <c r="AX42" i="42"/>
  <c r="AS42" i="42"/>
  <c r="AS45" i="42" s="1"/>
  <c r="AR42" i="42"/>
  <c r="AH42" i="42"/>
  <c r="AD42" i="42"/>
  <c r="AB42" i="42"/>
  <c r="X42" i="42"/>
  <c r="AE42" i="42" s="1"/>
  <c r="R42" i="42"/>
  <c r="R45" i="42" s="1"/>
  <c r="AS41" i="42"/>
  <c r="AQ41" i="42"/>
  <c r="AP41" i="42"/>
  <c r="AO41" i="42"/>
  <c r="AN41" i="42"/>
  <c r="AM41" i="42"/>
  <c r="AL41" i="42"/>
  <c r="AK41" i="42"/>
  <c r="AJ41" i="42"/>
  <c r="AG41" i="42"/>
  <c r="AF41" i="42"/>
  <c r="AB41" i="42"/>
  <c r="AA41" i="42"/>
  <c r="Z41" i="42"/>
  <c r="Y41" i="42"/>
  <c r="W41" i="42"/>
  <c r="V41" i="42"/>
  <c r="U41" i="42"/>
  <c r="T41" i="42"/>
  <c r="S41" i="42"/>
  <c r="BB40" i="42"/>
  <c r="AS40" i="42"/>
  <c r="BC40" i="42" s="1"/>
  <c r="AR40" i="42"/>
  <c r="AT40" i="42" s="1"/>
  <c r="BA40" i="42" s="1"/>
  <c r="AH40" i="42"/>
  <c r="AZ40" i="42" s="1"/>
  <c r="AZ41" i="42" s="1"/>
  <c r="AB40" i="42"/>
  <c r="AW40" i="42" s="1"/>
  <c r="R40" i="42"/>
  <c r="BC39" i="42"/>
  <c r="BC41" i="42" s="1"/>
  <c r="AZ39" i="42"/>
  <c r="AX39" i="42"/>
  <c r="AS39" i="42"/>
  <c r="AR39" i="42"/>
  <c r="AH39" i="42"/>
  <c r="AD39" i="42"/>
  <c r="AB39" i="42"/>
  <c r="AW39" i="42" s="1"/>
  <c r="AW41" i="42" s="1"/>
  <c r="X39" i="42"/>
  <c r="AE39" i="42" s="1"/>
  <c r="R39" i="42"/>
  <c r="AQ38" i="42"/>
  <c r="AP38" i="42"/>
  <c r="AO38" i="42"/>
  <c r="AN38" i="42"/>
  <c r="AM38" i="42"/>
  <c r="AL38" i="42"/>
  <c r="AK38" i="42"/>
  <c r="AJ38" i="42"/>
  <c r="AG38" i="42"/>
  <c r="AF38" i="42"/>
  <c r="AB38" i="42"/>
  <c r="AA38" i="42"/>
  <c r="Z38" i="42"/>
  <c r="Y38" i="42"/>
  <c r="W38" i="42"/>
  <c r="V38" i="42"/>
  <c r="U38" i="42"/>
  <c r="T38" i="42"/>
  <c r="S38" i="42"/>
  <c r="BB37" i="42"/>
  <c r="AV37" i="42"/>
  <c r="AS37" i="42"/>
  <c r="BC37" i="42" s="1"/>
  <c r="AR37" i="42"/>
  <c r="AT37" i="42" s="1"/>
  <c r="BA37" i="42" s="1"/>
  <c r="AH37" i="42"/>
  <c r="AZ37" i="42" s="1"/>
  <c r="AB37" i="42"/>
  <c r="AW37" i="42" s="1"/>
  <c r="R37" i="42"/>
  <c r="X37" i="42" s="1"/>
  <c r="BC36" i="42"/>
  <c r="AZ36" i="42"/>
  <c r="AX36" i="42"/>
  <c r="AS36" i="42"/>
  <c r="AR36" i="42"/>
  <c r="AH36" i="42"/>
  <c r="AD36" i="42"/>
  <c r="AB36" i="42"/>
  <c r="AW36" i="42" s="1"/>
  <c r="X36" i="42"/>
  <c r="AE36" i="42" s="1"/>
  <c r="AY36" i="42" s="1"/>
  <c r="R36" i="42"/>
  <c r="BB35" i="42"/>
  <c r="AZ35" i="42"/>
  <c r="AZ38" i="42" s="1"/>
  <c r="AW35" i="42"/>
  <c r="AW38" i="42" s="1"/>
  <c r="AT35" i="42"/>
  <c r="BA35" i="42" s="1"/>
  <c r="AS35" i="42"/>
  <c r="BC35" i="42" s="1"/>
  <c r="BC38" i="42" s="1"/>
  <c r="AR35" i="42"/>
  <c r="AR38" i="42" s="1"/>
  <c r="AH35" i="42"/>
  <c r="AD35" i="42"/>
  <c r="AB35" i="42"/>
  <c r="R35" i="42"/>
  <c r="X35" i="42" s="1"/>
  <c r="AQ34" i="42"/>
  <c r="AP34" i="42"/>
  <c r="AO34" i="42"/>
  <c r="AN34" i="42"/>
  <c r="AM34" i="42"/>
  <c r="AL34" i="42"/>
  <c r="AK34" i="42"/>
  <c r="AJ34" i="42"/>
  <c r="AG34" i="42"/>
  <c r="AF34" i="42"/>
  <c r="AA34" i="42"/>
  <c r="Z34" i="42"/>
  <c r="Y34" i="42"/>
  <c r="W34" i="42"/>
  <c r="V34" i="42"/>
  <c r="U34" i="42"/>
  <c r="T34" i="42"/>
  <c r="S34" i="42"/>
  <c r="BC33" i="42"/>
  <c r="AZ33" i="42"/>
  <c r="AX33" i="42"/>
  <c r="AS33" i="42"/>
  <c r="AR33" i="42"/>
  <c r="AH33" i="42"/>
  <c r="AD33" i="42"/>
  <c r="AB33" i="42"/>
  <c r="AW33" i="42" s="1"/>
  <c r="X33" i="42"/>
  <c r="AE33" i="42" s="1"/>
  <c r="AY33" i="42" s="1"/>
  <c r="R33" i="42"/>
  <c r="BB32" i="42"/>
  <c r="AW32" i="42"/>
  <c r="AV32" i="42"/>
  <c r="AT32" i="42"/>
  <c r="BA32" i="42" s="1"/>
  <c r="AS32" i="42"/>
  <c r="BC32" i="42" s="1"/>
  <c r="AR32" i="42"/>
  <c r="AH32" i="42"/>
  <c r="AZ32" i="42" s="1"/>
  <c r="AB32" i="42"/>
  <c r="R32" i="42"/>
  <c r="X32" i="42" s="1"/>
  <c r="AV31" i="42"/>
  <c r="AS31" i="42"/>
  <c r="AS34" i="42" s="1"/>
  <c r="AR31" i="42"/>
  <c r="BB31" i="42" s="1"/>
  <c r="AH31" i="42"/>
  <c r="AB31" i="42"/>
  <c r="R31" i="42"/>
  <c r="X31" i="42" s="1"/>
  <c r="AQ30" i="42"/>
  <c r="AP30" i="42"/>
  <c r="AO30" i="42"/>
  <c r="AN30" i="42"/>
  <c r="AM30" i="42"/>
  <c r="AL30" i="42"/>
  <c r="AK30" i="42"/>
  <c r="AJ30" i="42"/>
  <c r="AH30" i="42"/>
  <c r="AG30" i="42"/>
  <c r="AF30" i="42"/>
  <c r="AA30" i="42"/>
  <c r="Z30" i="42"/>
  <c r="Y30" i="42"/>
  <c r="W30" i="42"/>
  <c r="V30" i="42"/>
  <c r="U30" i="42"/>
  <c r="T30" i="42"/>
  <c r="S30" i="42"/>
  <c r="BB29" i="42"/>
  <c r="AW29" i="42"/>
  <c r="AV29" i="42"/>
  <c r="AT29" i="42"/>
  <c r="BA29" i="42" s="1"/>
  <c r="AS29" i="42"/>
  <c r="BC29" i="42" s="1"/>
  <c r="AR29" i="42"/>
  <c r="AH29" i="42"/>
  <c r="AZ29" i="42" s="1"/>
  <c r="AD29" i="42"/>
  <c r="AX29" i="42" s="1"/>
  <c r="AB29" i="42"/>
  <c r="R29" i="42"/>
  <c r="X29" i="42" s="1"/>
  <c r="AS28" i="42"/>
  <c r="BC28" i="42" s="1"/>
  <c r="AR28" i="42"/>
  <c r="AT28" i="42" s="1"/>
  <c r="BA28" i="42" s="1"/>
  <c r="AH28" i="42"/>
  <c r="AZ28" i="42" s="1"/>
  <c r="AB28" i="42"/>
  <c r="AW28" i="42" s="1"/>
  <c r="R28" i="42"/>
  <c r="X28" i="42" s="1"/>
  <c r="AV28" i="42" s="1"/>
  <c r="BC27" i="42"/>
  <c r="AZ27" i="42"/>
  <c r="AS27" i="42"/>
  <c r="AS30" i="42" s="1"/>
  <c r="AR27" i="42"/>
  <c r="BB27" i="42" s="1"/>
  <c r="AH27" i="42"/>
  <c r="AD27" i="42"/>
  <c r="AX27" i="42" s="1"/>
  <c r="AB27" i="42"/>
  <c r="AW27" i="42" s="1"/>
  <c r="AW30" i="42" s="1"/>
  <c r="X27" i="42"/>
  <c r="AE27" i="42" s="1"/>
  <c r="R27" i="42"/>
  <c r="AQ26" i="42"/>
  <c r="AP26" i="42"/>
  <c r="AO26" i="42"/>
  <c r="AN26" i="42"/>
  <c r="AM26" i="42"/>
  <c r="AL26" i="42"/>
  <c r="AK26" i="42"/>
  <c r="AJ26" i="42"/>
  <c r="AG26" i="42"/>
  <c r="AF26" i="42"/>
  <c r="AA26" i="42"/>
  <c r="Z26" i="42"/>
  <c r="Y26" i="42"/>
  <c r="W26" i="42"/>
  <c r="V26" i="42"/>
  <c r="U26" i="42"/>
  <c r="T26" i="42"/>
  <c r="S26" i="42"/>
  <c r="BB25" i="42"/>
  <c r="BB26" i="42" s="1"/>
  <c r="AV25" i="42"/>
  <c r="AS25" i="42"/>
  <c r="BC25" i="42" s="1"/>
  <c r="AR25" i="42"/>
  <c r="AT25" i="42" s="1"/>
  <c r="BA25" i="42" s="1"/>
  <c r="AH25" i="42"/>
  <c r="AZ25" i="42" s="1"/>
  <c r="AB25" i="42"/>
  <c r="AW25" i="42" s="1"/>
  <c r="R25" i="42"/>
  <c r="X25" i="42" s="1"/>
  <c r="BC24" i="42"/>
  <c r="AZ24" i="42"/>
  <c r="AT24" i="42"/>
  <c r="BA24" i="42" s="1"/>
  <c r="AS24" i="42"/>
  <c r="AR24" i="42"/>
  <c r="BB24" i="42" s="1"/>
  <c r="AH24" i="42"/>
  <c r="AD24" i="42"/>
  <c r="AX24" i="42" s="1"/>
  <c r="AB24" i="42"/>
  <c r="AW24" i="42" s="1"/>
  <c r="X24" i="42"/>
  <c r="AE24" i="42" s="1"/>
  <c r="AY24" i="42" s="1"/>
  <c r="R24" i="42"/>
  <c r="BB23" i="42"/>
  <c r="AW23" i="42"/>
  <c r="AW26" i="42" s="1"/>
  <c r="AT23" i="42"/>
  <c r="BA23" i="42" s="1"/>
  <c r="BA26" i="42" s="1"/>
  <c r="AS23" i="42"/>
  <c r="BC23" i="42" s="1"/>
  <c r="BC26" i="42" s="1"/>
  <c r="AR23" i="42"/>
  <c r="AR26" i="42" s="1"/>
  <c r="AH23" i="42"/>
  <c r="AZ23" i="42" s="1"/>
  <c r="AZ26" i="42" s="1"/>
  <c r="AB23" i="42"/>
  <c r="R23" i="42"/>
  <c r="X23" i="42" s="1"/>
  <c r="AQ22" i="42"/>
  <c r="AP22" i="42"/>
  <c r="AO22" i="42"/>
  <c r="AN22" i="42"/>
  <c r="AM22" i="42"/>
  <c r="AL22" i="42"/>
  <c r="AK22" i="42"/>
  <c r="AJ22" i="42"/>
  <c r="AG22" i="42"/>
  <c r="AF22" i="42"/>
  <c r="AA22" i="42"/>
  <c r="Z22" i="42"/>
  <c r="Y22" i="42"/>
  <c r="W22" i="42"/>
  <c r="V22" i="42"/>
  <c r="U22" i="42"/>
  <c r="T22" i="42"/>
  <c r="S22" i="42"/>
  <c r="BC21" i="42"/>
  <c r="AZ21" i="42"/>
  <c r="AX21" i="42"/>
  <c r="AS21" i="42"/>
  <c r="AR21" i="42"/>
  <c r="BB21" i="42" s="1"/>
  <c r="AH21" i="42"/>
  <c r="AD21" i="42"/>
  <c r="AB21" i="42"/>
  <c r="AW21" i="42" s="1"/>
  <c r="X21" i="42"/>
  <c r="AE21" i="42" s="1"/>
  <c r="AY21" i="42" s="1"/>
  <c r="R21" i="42"/>
  <c r="BB20" i="42"/>
  <c r="AW20" i="42"/>
  <c r="AV20" i="42"/>
  <c r="AT20" i="42"/>
  <c r="BA20" i="42" s="1"/>
  <c r="AS20" i="42"/>
  <c r="BC20" i="42" s="1"/>
  <c r="AR20" i="42"/>
  <c r="AH20" i="42"/>
  <c r="AZ20" i="42" s="1"/>
  <c r="AD20" i="42"/>
  <c r="AX20" i="42" s="1"/>
  <c r="AB20" i="42"/>
  <c r="R20" i="42"/>
  <c r="X20" i="42" s="1"/>
  <c r="BB19" i="42"/>
  <c r="BB22" i="42" s="1"/>
  <c r="AS19" i="42"/>
  <c r="AS22" i="42" s="1"/>
  <c r="AR19" i="42"/>
  <c r="AT19" i="42" s="1"/>
  <c r="AH19" i="42"/>
  <c r="AB19" i="42"/>
  <c r="R19" i="42"/>
  <c r="X19" i="42" s="1"/>
  <c r="AV19" i="42" s="1"/>
  <c r="AQ18" i="42"/>
  <c r="AP18" i="42"/>
  <c r="AO18" i="42"/>
  <c r="AN18" i="42"/>
  <c r="AM18" i="42"/>
  <c r="AL18" i="42"/>
  <c r="AK18" i="42"/>
  <c r="AJ18" i="42"/>
  <c r="AG18" i="42"/>
  <c r="AF18" i="42"/>
  <c r="AA18" i="42"/>
  <c r="Z18" i="42"/>
  <c r="Y18" i="42"/>
  <c r="W18" i="42"/>
  <c r="V18" i="42"/>
  <c r="U18" i="42"/>
  <c r="T18" i="42"/>
  <c r="S18" i="42"/>
  <c r="BB17" i="42"/>
  <c r="AW17" i="42"/>
  <c r="AT17" i="42"/>
  <c r="AS17" i="42"/>
  <c r="AR17" i="42"/>
  <c r="AH17" i="42"/>
  <c r="AB17" i="42"/>
  <c r="R17" i="42"/>
  <c r="BB16" i="42"/>
  <c r="AV16" i="42"/>
  <c r="AS16" i="42"/>
  <c r="BC16" i="42" s="1"/>
  <c r="AR16" i="42"/>
  <c r="AT16" i="42" s="1"/>
  <c r="BA16" i="42" s="1"/>
  <c r="AH16" i="42"/>
  <c r="AZ16" i="42" s="1"/>
  <c r="AB16" i="42"/>
  <c r="AW16" i="42" s="1"/>
  <c r="R16" i="42"/>
  <c r="X16" i="42" s="1"/>
  <c r="BC15" i="42"/>
  <c r="AZ15" i="42"/>
  <c r="AT15" i="42"/>
  <c r="BA15" i="42" s="1"/>
  <c r="AS15" i="42"/>
  <c r="AR15" i="42"/>
  <c r="BB15" i="42" s="1"/>
  <c r="AH15" i="42"/>
  <c r="AD15" i="42"/>
  <c r="AX15" i="42" s="1"/>
  <c r="AB15" i="42"/>
  <c r="AW15" i="42" s="1"/>
  <c r="X15" i="42"/>
  <c r="AE15" i="42" s="1"/>
  <c r="AY15" i="42" s="1"/>
  <c r="R15" i="42"/>
  <c r="BB14" i="42"/>
  <c r="AW14" i="42"/>
  <c r="AT14" i="42"/>
  <c r="AS14" i="42"/>
  <c r="AS205" i="42" s="1"/>
  <c r="AR14" i="42"/>
  <c r="AH14" i="42"/>
  <c r="AB14" i="42"/>
  <c r="R14" i="42"/>
  <c r="BA13" i="42"/>
  <c r="AS13" i="42"/>
  <c r="BC13" i="42" s="1"/>
  <c r="AR13" i="42"/>
  <c r="AT13" i="42" s="1"/>
  <c r="AH13" i="42"/>
  <c r="AZ13" i="42" s="1"/>
  <c r="AB13" i="42"/>
  <c r="AW13" i="42" s="1"/>
  <c r="R13" i="42"/>
  <c r="X13" i="42" s="1"/>
  <c r="BC12" i="42"/>
  <c r="AZ12" i="42"/>
  <c r="AW12" i="42"/>
  <c r="AS12" i="42"/>
  <c r="AR12" i="42"/>
  <c r="AH12" i="42"/>
  <c r="AB12" i="42"/>
  <c r="X12" i="42"/>
  <c r="R12" i="42"/>
  <c r="AQ159" i="41"/>
  <c r="AP159" i="41"/>
  <c r="AO159" i="41"/>
  <c r="AN159" i="41"/>
  <c r="AM159" i="41"/>
  <c r="AL159" i="41"/>
  <c r="AK159" i="41"/>
  <c r="AJ159" i="41"/>
  <c r="AG159" i="41"/>
  <c r="AF159" i="41"/>
  <c r="AA159" i="41"/>
  <c r="Z159" i="41"/>
  <c r="Y159" i="41"/>
  <c r="W159" i="41"/>
  <c r="V159" i="41"/>
  <c r="U159" i="41"/>
  <c r="T159" i="41"/>
  <c r="S159" i="41"/>
  <c r="Q159" i="41"/>
  <c r="P159" i="41"/>
  <c r="O159" i="41"/>
  <c r="N159" i="41"/>
  <c r="M159" i="41"/>
  <c r="L159" i="41"/>
  <c r="K159" i="41"/>
  <c r="J159" i="41"/>
  <c r="I159" i="41"/>
  <c r="AQ158" i="41"/>
  <c r="AP158" i="41"/>
  <c r="AO158" i="41"/>
  <c r="AN158" i="41"/>
  <c r="AM158" i="41"/>
  <c r="AL158" i="41"/>
  <c r="AK158" i="41"/>
  <c r="AJ158" i="41"/>
  <c r="AG158" i="41"/>
  <c r="AF158" i="41"/>
  <c r="AA158" i="41"/>
  <c r="Z158" i="41"/>
  <c r="Y158" i="41"/>
  <c r="W158" i="41"/>
  <c r="V158" i="41"/>
  <c r="U158" i="41"/>
  <c r="T158" i="41"/>
  <c r="S158" i="41"/>
  <c r="Q158" i="41"/>
  <c r="P158" i="41"/>
  <c r="O158" i="41"/>
  <c r="N158" i="41"/>
  <c r="M158" i="41"/>
  <c r="L158" i="41"/>
  <c r="K158" i="41"/>
  <c r="J158" i="41"/>
  <c r="I158" i="41"/>
  <c r="AQ157" i="41"/>
  <c r="AP157" i="41"/>
  <c r="AO157" i="41"/>
  <c r="AN157" i="41"/>
  <c r="AM157" i="41"/>
  <c r="AL157" i="41"/>
  <c r="AK157" i="41"/>
  <c r="AJ157" i="41"/>
  <c r="AG157" i="41"/>
  <c r="AF157" i="41"/>
  <c r="AA157" i="41"/>
  <c r="Z157" i="41"/>
  <c r="Y157" i="41"/>
  <c r="W157" i="41"/>
  <c r="V157" i="41"/>
  <c r="U157" i="41"/>
  <c r="T157" i="41"/>
  <c r="S157" i="41"/>
  <c r="Q157" i="41"/>
  <c r="P157" i="41"/>
  <c r="O157" i="41"/>
  <c r="N157" i="41"/>
  <c r="M157" i="41"/>
  <c r="L157" i="41"/>
  <c r="K157" i="41"/>
  <c r="J157" i="41"/>
  <c r="I157" i="41"/>
  <c r="AQ156" i="41"/>
  <c r="AP156" i="41"/>
  <c r="AO156" i="41"/>
  <c r="AM156" i="41"/>
  <c r="AL156" i="41"/>
  <c r="AK156" i="41"/>
  <c r="AJ156" i="41"/>
  <c r="AG156" i="41"/>
  <c r="AF156" i="41"/>
  <c r="AA156" i="41"/>
  <c r="Z156" i="41"/>
  <c r="Y156" i="41"/>
  <c r="W156" i="41"/>
  <c r="V156" i="41"/>
  <c r="U156" i="41"/>
  <c r="S156" i="41"/>
  <c r="Q156" i="41"/>
  <c r="P156" i="41"/>
  <c r="O156" i="41"/>
  <c r="N156" i="41"/>
  <c r="M156" i="41"/>
  <c r="L156" i="41"/>
  <c r="K156" i="41"/>
  <c r="J156" i="41"/>
  <c r="I156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M155" i="41"/>
  <c r="AL155" i="41"/>
  <c r="AK155" i="41"/>
  <c r="AJ155" i="41"/>
  <c r="AI155" i="41"/>
  <c r="AH155" i="41"/>
  <c r="AG155" i="41"/>
  <c r="AF155" i="41"/>
  <c r="AE155" i="41"/>
  <c r="AD155" i="41"/>
  <c r="AC155" i="41"/>
  <c r="AB155" i="41"/>
  <c r="AA155" i="41"/>
  <c r="Z155" i="41"/>
  <c r="Y155" i="41"/>
  <c r="X155" i="41"/>
  <c r="W155" i="41"/>
  <c r="V155" i="41"/>
  <c r="V149" i="41" s="1"/>
  <c r="U155" i="41"/>
  <c r="T155" i="41"/>
  <c r="S155" i="41"/>
  <c r="R155" i="41"/>
  <c r="Q155" i="41"/>
  <c r="P155" i="41"/>
  <c r="P149" i="41" s="1"/>
  <c r="O148" i="41" s="1"/>
  <c r="O155" i="41"/>
  <c r="N155" i="41"/>
  <c r="M155" i="41"/>
  <c r="L155" i="41"/>
  <c r="K155" i="41"/>
  <c r="J155" i="41"/>
  <c r="J149" i="41" s="1"/>
  <c r="I155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M154" i="41"/>
  <c r="AM149" i="41" s="1"/>
  <c r="AL154" i="41"/>
  <c r="AK154" i="41"/>
  <c r="AJ154" i="41"/>
  <c r="AI154" i="41"/>
  <c r="AH154" i="41"/>
  <c r="AG154" i="41"/>
  <c r="AG149" i="41" s="1"/>
  <c r="AF154" i="41"/>
  <c r="AE154" i="41"/>
  <c r="AD154" i="41"/>
  <c r="AC154" i="41"/>
  <c r="AB154" i="41"/>
  <c r="AA154" i="41"/>
  <c r="AA149" i="41" s="1"/>
  <c r="Z154" i="41"/>
  <c r="Y154" i="41"/>
  <c r="X154" i="41"/>
  <c r="W154" i="41"/>
  <c r="V154" i="41"/>
  <c r="U154" i="41"/>
  <c r="U149" i="41" s="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AQ153" i="41"/>
  <c r="AP153" i="41"/>
  <c r="AO153" i="41"/>
  <c r="AN153" i="41"/>
  <c r="AM153" i="41"/>
  <c r="AL153" i="41"/>
  <c r="AK153" i="41"/>
  <c r="AJ153" i="41"/>
  <c r="AG153" i="41"/>
  <c r="AF153" i="41"/>
  <c r="AF149" i="41" s="1"/>
  <c r="AA153" i="41"/>
  <c r="Z153" i="41"/>
  <c r="Y153" i="41"/>
  <c r="W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Q149" i="41" s="1"/>
  <c r="AP152" i="41"/>
  <c r="AO152" i="41"/>
  <c r="AN152" i="41"/>
  <c r="AM152" i="41"/>
  <c r="AL152" i="41"/>
  <c r="AK152" i="41"/>
  <c r="AK149" i="41" s="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Y149" i="41" s="1"/>
  <c r="X152" i="41"/>
  <c r="W152" i="41"/>
  <c r="V152" i="41"/>
  <c r="U152" i="41"/>
  <c r="T152" i="41"/>
  <c r="S152" i="41"/>
  <c r="S149" i="41" s="1"/>
  <c r="R152" i="41"/>
  <c r="Q152" i="41"/>
  <c r="P152" i="41"/>
  <c r="O152" i="41"/>
  <c r="N152" i="41"/>
  <c r="M152" i="41"/>
  <c r="M149" i="41" s="1"/>
  <c r="L152" i="41"/>
  <c r="K152" i="41"/>
  <c r="J152" i="41"/>
  <c r="I152" i="41"/>
  <c r="AQ151" i="41"/>
  <c r="AP151" i="41"/>
  <c r="AO151" i="41"/>
  <c r="AN151" i="41"/>
  <c r="AM151" i="41"/>
  <c r="AL151" i="41"/>
  <c r="AK151" i="41"/>
  <c r="AJ151" i="41"/>
  <c r="AG151" i="41"/>
  <c r="AF151" i="41"/>
  <c r="AA151" i="41"/>
  <c r="Z151" i="41"/>
  <c r="Y151" i="41"/>
  <c r="W151" i="41"/>
  <c r="V151" i="41"/>
  <c r="U151" i="41"/>
  <c r="T151" i="41"/>
  <c r="S151" i="41"/>
  <c r="Q151" i="41"/>
  <c r="P151" i="41"/>
  <c r="O151" i="41"/>
  <c r="N151" i="41"/>
  <c r="M151" i="41"/>
  <c r="L151" i="41"/>
  <c r="K151" i="41"/>
  <c r="J151" i="41"/>
  <c r="I151" i="41"/>
  <c r="AQ150" i="41"/>
  <c r="AP150" i="41"/>
  <c r="AO150" i="41"/>
  <c r="AO149" i="41" s="1"/>
  <c r="AN150" i="41"/>
  <c r="AM150" i="41"/>
  <c r="AL150" i="41"/>
  <c r="AK150" i="41"/>
  <c r="AJ150" i="41"/>
  <c r="AG150" i="41"/>
  <c r="AF150" i="41"/>
  <c r="AA150" i="41"/>
  <c r="Z150" i="41"/>
  <c r="Z149" i="41" s="1"/>
  <c r="Y150" i="41"/>
  <c r="W150" i="41"/>
  <c r="W149" i="41" s="1"/>
  <c r="V150" i="41"/>
  <c r="U150" i="41"/>
  <c r="T150" i="41"/>
  <c r="S150" i="41"/>
  <c r="Q150" i="41"/>
  <c r="Q149" i="41" s="1"/>
  <c r="P150" i="41"/>
  <c r="O150" i="41"/>
  <c r="N150" i="41"/>
  <c r="M150" i="41"/>
  <c r="L150" i="41"/>
  <c r="K150" i="41"/>
  <c r="K149" i="41" s="1"/>
  <c r="J150" i="41"/>
  <c r="I150" i="41"/>
  <c r="AP149" i="41"/>
  <c r="AJ149" i="41"/>
  <c r="L149" i="41"/>
  <c r="Q146" i="41"/>
  <c r="O147" i="41" s="1"/>
  <c r="P146" i="41"/>
  <c r="O146" i="41"/>
  <c r="N146" i="41"/>
  <c r="M146" i="41"/>
  <c r="L146" i="41"/>
  <c r="K146" i="41"/>
  <c r="I147" i="41" s="1"/>
  <c r="J146" i="41"/>
  <c r="I146" i="41"/>
  <c r="AQ145" i="41"/>
  <c r="AP145" i="41"/>
  <c r="AO145" i="41"/>
  <c r="AN145" i="41"/>
  <c r="AM145" i="41"/>
  <c r="AL145" i="41"/>
  <c r="AK145" i="41"/>
  <c r="AJ145" i="41"/>
  <c r="AG145" i="41"/>
  <c r="AF145" i="41"/>
  <c r="AA145" i="41"/>
  <c r="Z145" i="41"/>
  <c r="Y145" i="41"/>
  <c r="W145" i="41"/>
  <c r="V145" i="41"/>
  <c r="U145" i="41"/>
  <c r="T145" i="41"/>
  <c r="S145" i="41"/>
  <c r="AZ144" i="41"/>
  <c r="AY144" i="41"/>
  <c r="AV144" i="41"/>
  <c r="AT144" i="41"/>
  <c r="BA144" i="41" s="1"/>
  <c r="AS144" i="41"/>
  <c r="BC144" i="41" s="1"/>
  <c r="AR144" i="41"/>
  <c r="BB144" i="41" s="1"/>
  <c r="AH144" i="41"/>
  <c r="AD144" i="41"/>
  <c r="AX144" i="41" s="1"/>
  <c r="AB144" i="41"/>
  <c r="R144" i="41"/>
  <c r="X144" i="41" s="1"/>
  <c r="AE144" i="41" s="1"/>
  <c r="AV143" i="41"/>
  <c r="AS143" i="41"/>
  <c r="BC143" i="41" s="1"/>
  <c r="AR143" i="41"/>
  <c r="BB143" i="41" s="1"/>
  <c r="AH143" i="41"/>
  <c r="AZ143" i="41" s="1"/>
  <c r="AE143" i="41"/>
  <c r="AY143" i="41" s="1"/>
  <c r="AB143" i="41"/>
  <c r="AW143" i="41" s="1"/>
  <c r="R143" i="41"/>
  <c r="X143" i="41" s="1"/>
  <c r="AD143" i="41" s="1"/>
  <c r="AX143" i="41" s="1"/>
  <c r="BC142" i="41"/>
  <c r="AZ142" i="41"/>
  <c r="AS142" i="41"/>
  <c r="AR142" i="41"/>
  <c r="AH142" i="41"/>
  <c r="AB142" i="41"/>
  <c r="AW142" i="41" s="1"/>
  <c r="R142" i="41"/>
  <c r="X142" i="41" s="1"/>
  <c r="AW141" i="41"/>
  <c r="AS141" i="41"/>
  <c r="BC141" i="41" s="1"/>
  <c r="AR141" i="41"/>
  <c r="BB141" i="41" s="1"/>
  <c r="AH141" i="41"/>
  <c r="AZ141" i="41" s="1"/>
  <c r="AB141" i="41"/>
  <c r="R141" i="41"/>
  <c r="X141" i="41" s="1"/>
  <c r="BB140" i="41"/>
  <c r="AV140" i="41"/>
  <c r="AS140" i="41"/>
  <c r="BC140" i="41" s="1"/>
  <c r="AR140" i="41"/>
  <c r="AT140" i="41" s="1"/>
  <c r="BA140" i="41" s="1"/>
  <c r="AH140" i="41"/>
  <c r="AZ140" i="41" s="1"/>
  <c r="AE140" i="41"/>
  <c r="AY140" i="41" s="1"/>
  <c r="AD140" i="41"/>
  <c r="AX140" i="41" s="1"/>
  <c r="AB140" i="41"/>
  <c r="AW140" i="41" s="1"/>
  <c r="R140" i="41"/>
  <c r="X140" i="41" s="1"/>
  <c r="AC140" i="41" s="1"/>
  <c r="AI140" i="41" s="1"/>
  <c r="AU140" i="41" s="1"/>
  <c r="BC139" i="41"/>
  <c r="BB139" i="41"/>
  <c r="BA139" i="41"/>
  <c r="AW139" i="41"/>
  <c r="AV139" i="41"/>
  <c r="AT139" i="41"/>
  <c r="AS139" i="41"/>
  <c r="AR139" i="41"/>
  <c r="AH139" i="41"/>
  <c r="AH145" i="41" s="1"/>
  <c r="AE139" i="41"/>
  <c r="AY139" i="41" s="1"/>
  <c r="AD139" i="41"/>
  <c r="AB139" i="41"/>
  <c r="X139" i="41"/>
  <c r="AC139" i="41" s="1"/>
  <c r="R139" i="41"/>
  <c r="AS138" i="41"/>
  <c r="AQ138" i="41"/>
  <c r="AP138" i="41"/>
  <c r="AO138" i="41"/>
  <c r="AN138" i="41"/>
  <c r="AM138" i="41"/>
  <c r="AL138" i="41"/>
  <c r="AK138" i="41"/>
  <c r="AJ138" i="41"/>
  <c r="AG138" i="41"/>
  <c r="AF138" i="41"/>
  <c r="AA138" i="41"/>
  <c r="Z138" i="41"/>
  <c r="Y138" i="41"/>
  <c r="W138" i="41"/>
  <c r="V138" i="41"/>
  <c r="U138" i="41"/>
  <c r="T138" i="41"/>
  <c r="S138" i="41"/>
  <c r="AZ137" i="41"/>
  <c r="AS137" i="41"/>
  <c r="BC137" i="41" s="1"/>
  <c r="AR137" i="41"/>
  <c r="AH137" i="41"/>
  <c r="AB137" i="41"/>
  <c r="AW137" i="41" s="1"/>
  <c r="R137" i="41"/>
  <c r="X137" i="41" s="1"/>
  <c r="BC136" i="41"/>
  <c r="AW136" i="41"/>
  <c r="AS136" i="41"/>
  <c r="AR136" i="41"/>
  <c r="AH136" i="41"/>
  <c r="AZ136" i="41" s="1"/>
  <c r="AB136" i="41"/>
  <c r="R136" i="41"/>
  <c r="X136" i="41" s="1"/>
  <c r="BC135" i="41"/>
  <c r="AW135" i="41"/>
  <c r="AV135" i="41"/>
  <c r="AS135" i="41"/>
  <c r="AR135" i="41"/>
  <c r="BB135" i="41" s="1"/>
  <c r="AH135" i="41"/>
  <c r="AB135" i="41"/>
  <c r="R135" i="41"/>
  <c r="X135" i="41" s="1"/>
  <c r="BB134" i="41"/>
  <c r="AV134" i="41"/>
  <c r="AT134" i="41"/>
  <c r="BA134" i="41" s="1"/>
  <c r="AS134" i="41"/>
  <c r="BC134" i="41" s="1"/>
  <c r="AR134" i="41"/>
  <c r="AR138" i="41" s="1"/>
  <c r="AH134" i="41"/>
  <c r="AZ134" i="41" s="1"/>
  <c r="AE134" i="41"/>
  <c r="AD134" i="41"/>
  <c r="AC134" i="41"/>
  <c r="AB134" i="41"/>
  <c r="AW134" i="41" s="1"/>
  <c r="R134" i="41"/>
  <c r="X134" i="41" s="1"/>
  <c r="AR133" i="41"/>
  <c r="AQ133" i="41"/>
  <c r="AP133" i="41"/>
  <c r="AO133" i="41"/>
  <c r="AN133" i="41"/>
  <c r="AM133" i="41"/>
  <c r="AL133" i="41"/>
  <c r="AK133" i="41"/>
  <c r="AJ133" i="41"/>
  <c r="AG133" i="41"/>
  <c r="AF133" i="41"/>
  <c r="AB133" i="41"/>
  <c r="AA133" i="41"/>
  <c r="Z133" i="41"/>
  <c r="Y133" i="41"/>
  <c r="W133" i="41"/>
  <c r="V133" i="41"/>
  <c r="U133" i="41"/>
  <c r="T133" i="41"/>
  <c r="S133" i="41"/>
  <c r="BC132" i="41"/>
  <c r="BB132" i="41"/>
  <c r="BA132" i="41"/>
  <c r="AZ132" i="41"/>
  <c r="AT132" i="41"/>
  <c r="AS132" i="41"/>
  <c r="AR132" i="41"/>
  <c r="AH132" i="41"/>
  <c r="AH133" i="41" s="1"/>
  <c r="AD132" i="41"/>
  <c r="AX132" i="41" s="1"/>
  <c r="AB132" i="41"/>
  <c r="AW132" i="41" s="1"/>
  <c r="R132" i="41"/>
  <c r="X132" i="41" s="1"/>
  <c r="AC132" i="41" s="1"/>
  <c r="BC131" i="41"/>
  <c r="BB131" i="41"/>
  <c r="AW131" i="41"/>
  <c r="AS131" i="41"/>
  <c r="AR131" i="41"/>
  <c r="AT131" i="41" s="1"/>
  <c r="BA131" i="41" s="1"/>
  <c r="AH131" i="41"/>
  <c r="AZ131" i="41" s="1"/>
  <c r="AB131" i="41"/>
  <c r="R131" i="41"/>
  <c r="X131" i="41" s="1"/>
  <c r="AZ130" i="41"/>
  <c r="AT130" i="41"/>
  <c r="AS130" i="41"/>
  <c r="AR130" i="41"/>
  <c r="BB130" i="41" s="1"/>
  <c r="BB133" i="41" s="1"/>
  <c r="AH130" i="41"/>
  <c r="AD130" i="41"/>
  <c r="AB130" i="41"/>
  <c r="AW130" i="41" s="1"/>
  <c r="R130" i="41"/>
  <c r="X130" i="41" s="1"/>
  <c r="AQ129" i="41"/>
  <c r="AP129" i="41"/>
  <c r="AO129" i="41"/>
  <c r="AM129" i="41"/>
  <c r="AL129" i="41"/>
  <c r="AK129" i="41"/>
  <c r="AJ129" i="41"/>
  <c r="AG129" i="41"/>
  <c r="AF129" i="41"/>
  <c r="AA129" i="41"/>
  <c r="Z129" i="41"/>
  <c r="Y129" i="41"/>
  <c r="W129" i="41"/>
  <c r="V129" i="41"/>
  <c r="U129" i="41"/>
  <c r="T129" i="41"/>
  <c r="S129" i="41"/>
  <c r="BC128" i="41"/>
  <c r="BB128" i="41"/>
  <c r="AW128" i="41"/>
  <c r="AS128" i="41"/>
  <c r="AR128" i="41"/>
  <c r="AT128" i="41" s="1"/>
  <c r="BA128" i="41" s="1"/>
  <c r="AH128" i="41"/>
  <c r="AZ128" i="41" s="1"/>
  <c r="AB128" i="41"/>
  <c r="R128" i="41"/>
  <c r="X128" i="41" s="1"/>
  <c r="AT127" i="41"/>
  <c r="BA127" i="41" s="1"/>
  <c r="AS127" i="41"/>
  <c r="BC127" i="41" s="1"/>
  <c r="AR127" i="41"/>
  <c r="BB127" i="41" s="1"/>
  <c r="AH127" i="41"/>
  <c r="AZ127" i="41" s="1"/>
  <c r="AD127" i="41"/>
  <c r="AX127" i="41" s="1"/>
  <c r="AB127" i="41"/>
  <c r="AW127" i="41" s="1"/>
  <c r="R127" i="41"/>
  <c r="X127" i="41" s="1"/>
  <c r="BC126" i="41"/>
  <c r="BB126" i="41"/>
  <c r="BA126" i="41"/>
  <c r="AT126" i="41"/>
  <c r="AS126" i="41"/>
  <c r="AR126" i="41"/>
  <c r="AH126" i="41"/>
  <c r="AZ126" i="41" s="1"/>
  <c r="AB126" i="41"/>
  <c r="AW126" i="41" s="1"/>
  <c r="R126" i="41"/>
  <c r="X126" i="41" s="1"/>
  <c r="AZ125" i="41"/>
  <c r="AV125" i="41"/>
  <c r="AR125" i="41"/>
  <c r="AT125" i="41" s="1"/>
  <c r="BA125" i="41" s="1"/>
  <c r="AN125" i="41"/>
  <c r="AS125" i="41" s="1"/>
  <c r="BC125" i="41" s="1"/>
  <c r="AH125" i="41"/>
  <c r="AB125" i="41"/>
  <c r="AW125" i="41" s="1"/>
  <c r="T125" i="41"/>
  <c r="R125" i="41"/>
  <c r="X125" i="41" s="1"/>
  <c r="AE125" i="41" s="1"/>
  <c r="AY125" i="41" s="1"/>
  <c r="BC124" i="41"/>
  <c r="AS124" i="41"/>
  <c r="AR124" i="41"/>
  <c r="BB124" i="41" s="1"/>
  <c r="AH124" i="41"/>
  <c r="AZ124" i="41" s="1"/>
  <c r="AB124" i="41"/>
  <c r="AW124" i="41" s="1"/>
  <c r="R124" i="41"/>
  <c r="X124" i="41" s="1"/>
  <c r="BC123" i="41"/>
  <c r="BB123" i="41"/>
  <c r="AZ123" i="41"/>
  <c r="AV123" i="41"/>
  <c r="AS123" i="41"/>
  <c r="AR123" i="41"/>
  <c r="AT123" i="41" s="1"/>
  <c r="BA123" i="41" s="1"/>
  <c r="AH123" i="41"/>
  <c r="AD123" i="41"/>
  <c r="AX123" i="41" s="1"/>
  <c r="AB123" i="41"/>
  <c r="AW123" i="41" s="1"/>
  <c r="X123" i="41"/>
  <c r="R123" i="41"/>
  <c r="BB122" i="41"/>
  <c r="AS122" i="41"/>
  <c r="AR122" i="41"/>
  <c r="AH122" i="41"/>
  <c r="AB122" i="41"/>
  <c r="AW122" i="41" s="1"/>
  <c r="R122" i="41"/>
  <c r="AQ121" i="41"/>
  <c r="AP121" i="41"/>
  <c r="AO121" i="41"/>
  <c r="AN121" i="41"/>
  <c r="AM121" i="41"/>
  <c r="AL121" i="41"/>
  <c r="AK121" i="41"/>
  <c r="AJ121" i="41"/>
  <c r="AG121" i="41"/>
  <c r="AF121" i="41"/>
  <c r="AA121" i="41"/>
  <c r="Z121" i="41"/>
  <c r="Y121" i="41"/>
  <c r="W121" i="41"/>
  <c r="V121" i="41"/>
  <c r="U121" i="41"/>
  <c r="T121" i="41"/>
  <c r="S121" i="41"/>
  <c r="BB120" i="41"/>
  <c r="AZ120" i="41"/>
  <c r="AS120" i="41"/>
  <c r="AR120" i="41"/>
  <c r="AH120" i="41"/>
  <c r="AB120" i="41"/>
  <c r="AW120" i="41" s="1"/>
  <c r="R120" i="41"/>
  <c r="X120" i="41" s="1"/>
  <c r="AZ119" i="41"/>
  <c r="AS119" i="41"/>
  <c r="BC119" i="41" s="1"/>
  <c r="AR119" i="41"/>
  <c r="AH119" i="41"/>
  <c r="AB119" i="41"/>
  <c r="AW119" i="41" s="1"/>
  <c r="R119" i="41"/>
  <c r="X119" i="41" s="1"/>
  <c r="AV119" i="41" s="1"/>
  <c r="AV118" i="41"/>
  <c r="AS118" i="41"/>
  <c r="BC118" i="41" s="1"/>
  <c r="AR118" i="41"/>
  <c r="AT118" i="41" s="1"/>
  <c r="BA118" i="41" s="1"/>
  <c r="AH118" i="41"/>
  <c r="AZ118" i="41" s="1"/>
  <c r="AB118" i="41"/>
  <c r="AW118" i="41" s="1"/>
  <c r="R118" i="41"/>
  <c r="X118" i="41" s="1"/>
  <c r="BC117" i="41"/>
  <c r="AZ117" i="41"/>
  <c r="AT117" i="41"/>
  <c r="BA117" i="41" s="1"/>
  <c r="AS117" i="41"/>
  <c r="AR117" i="41"/>
  <c r="AH117" i="41"/>
  <c r="AB117" i="41"/>
  <c r="AW117" i="41" s="1"/>
  <c r="R117" i="41"/>
  <c r="X117" i="41" s="1"/>
  <c r="BC116" i="41"/>
  <c r="BB116" i="41"/>
  <c r="AT116" i="41"/>
  <c r="BA116" i="41" s="1"/>
  <c r="AS116" i="41"/>
  <c r="AR116" i="41"/>
  <c r="AH116" i="41"/>
  <c r="AH121" i="41" s="1"/>
  <c r="AD116" i="41"/>
  <c r="AX116" i="41" s="1"/>
  <c r="AB116" i="41"/>
  <c r="AW116" i="41" s="1"/>
  <c r="R116" i="41"/>
  <c r="X116" i="41" s="1"/>
  <c r="BB115" i="41"/>
  <c r="AS115" i="41"/>
  <c r="AR115" i="41"/>
  <c r="AT115" i="41" s="1"/>
  <c r="AH115" i="41"/>
  <c r="AZ115" i="41" s="1"/>
  <c r="AB115" i="41"/>
  <c r="R115" i="41"/>
  <c r="AQ114" i="41"/>
  <c r="AP114" i="41"/>
  <c r="AO114" i="41"/>
  <c r="AN114" i="41"/>
  <c r="AM114" i="41"/>
  <c r="AL114" i="41"/>
  <c r="AK114" i="41"/>
  <c r="AJ114" i="41"/>
  <c r="AH114" i="41"/>
  <c r="AG114" i="41"/>
  <c r="AF114" i="41"/>
  <c r="AA114" i="41"/>
  <c r="Z114" i="41"/>
  <c r="Y114" i="41"/>
  <c r="W114" i="41"/>
  <c r="V114" i="41"/>
  <c r="U114" i="41"/>
  <c r="T114" i="41"/>
  <c r="S114" i="41"/>
  <c r="BC113" i="41"/>
  <c r="BB113" i="41"/>
  <c r="AT113" i="41"/>
  <c r="BA113" i="41" s="1"/>
  <c r="AS113" i="41"/>
  <c r="AR113" i="41"/>
  <c r="AH113" i="41"/>
  <c r="AZ113" i="41" s="1"/>
  <c r="AB113" i="41"/>
  <c r="AW113" i="41" s="1"/>
  <c r="R113" i="41"/>
  <c r="X113" i="41" s="1"/>
  <c r="BB112" i="41"/>
  <c r="AT112" i="41"/>
  <c r="BA112" i="41" s="1"/>
  <c r="AS112" i="41"/>
  <c r="BC112" i="41" s="1"/>
  <c r="AR112" i="41"/>
  <c r="AH112" i="41"/>
  <c r="AZ112" i="41" s="1"/>
  <c r="AB112" i="41"/>
  <c r="AW112" i="41" s="1"/>
  <c r="R112" i="41"/>
  <c r="X112" i="41" s="1"/>
  <c r="BC111" i="41"/>
  <c r="AZ111" i="41"/>
  <c r="AS111" i="41"/>
  <c r="AR111" i="41"/>
  <c r="AT111" i="41" s="1"/>
  <c r="BA111" i="41" s="1"/>
  <c r="AH111" i="41"/>
  <c r="AD111" i="41"/>
  <c r="AX111" i="41" s="1"/>
  <c r="AB111" i="41"/>
  <c r="AW111" i="41" s="1"/>
  <c r="R111" i="41"/>
  <c r="X111" i="41" s="1"/>
  <c r="BC110" i="41"/>
  <c r="AX110" i="41"/>
  <c r="AS110" i="41"/>
  <c r="AR110" i="41"/>
  <c r="AH110" i="41"/>
  <c r="AZ110" i="41" s="1"/>
  <c r="AD110" i="41"/>
  <c r="AB110" i="41"/>
  <c r="AW110" i="41" s="1"/>
  <c r="R110" i="41"/>
  <c r="X110" i="41" s="1"/>
  <c r="BB109" i="41"/>
  <c r="AZ109" i="41"/>
  <c r="AZ114" i="41" s="1"/>
  <c r="AV109" i="41"/>
  <c r="AS109" i="41"/>
  <c r="BC109" i="41" s="1"/>
  <c r="AR109" i="41"/>
  <c r="AT109" i="41" s="1"/>
  <c r="BA109" i="41" s="1"/>
  <c r="AH109" i="41"/>
  <c r="AD109" i="41"/>
  <c r="AX109" i="41" s="1"/>
  <c r="AB109" i="41"/>
  <c r="AW109" i="41" s="1"/>
  <c r="R109" i="41"/>
  <c r="X109" i="41" s="1"/>
  <c r="BC108" i="41"/>
  <c r="BC114" i="41" s="1"/>
  <c r="AZ108" i="41"/>
  <c r="AS108" i="41"/>
  <c r="AS114" i="41" s="1"/>
  <c r="AR108" i="41"/>
  <c r="AT108" i="41" s="1"/>
  <c r="AH108" i="41"/>
  <c r="AB108" i="41"/>
  <c r="R108" i="41"/>
  <c r="AQ107" i="41"/>
  <c r="AP107" i="41"/>
  <c r="AO107" i="41"/>
  <c r="AN107" i="41"/>
  <c r="AM107" i="41"/>
  <c r="AL107" i="41"/>
  <c r="AK107" i="41"/>
  <c r="AJ107" i="41"/>
  <c r="AG107" i="41"/>
  <c r="AF107" i="41"/>
  <c r="AB107" i="41"/>
  <c r="AA107" i="41"/>
  <c r="Z107" i="41"/>
  <c r="Y107" i="41"/>
  <c r="W107" i="41"/>
  <c r="V107" i="41"/>
  <c r="U107" i="41"/>
  <c r="T107" i="41"/>
  <c r="S107" i="41"/>
  <c r="AY106" i="41"/>
  <c r="AV106" i="41"/>
  <c r="AT106" i="41"/>
  <c r="BA106" i="41" s="1"/>
  <c r="AS106" i="41"/>
  <c r="BC106" i="41" s="1"/>
  <c r="AR106" i="41"/>
  <c r="BB106" i="41" s="1"/>
  <c r="AH106" i="41"/>
  <c r="AZ106" i="41" s="1"/>
  <c r="AD106" i="41"/>
  <c r="AX106" i="41" s="1"/>
  <c r="AB106" i="41"/>
  <c r="AW106" i="41" s="1"/>
  <c r="R106" i="41"/>
  <c r="X106" i="41" s="1"/>
  <c r="AE106" i="41" s="1"/>
  <c r="BC105" i="41"/>
  <c r="BB105" i="41"/>
  <c r="AS105" i="41"/>
  <c r="AR105" i="41"/>
  <c r="AT105" i="41" s="1"/>
  <c r="BA105" i="41" s="1"/>
  <c r="AH105" i="41"/>
  <c r="AZ105" i="41" s="1"/>
  <c r="AD105" i="41"/>
  <c r="AX105" i="41" s="1"/>
  <c r="AB105" i="41"/>
  <c r="AW105" i="41" s="1"/>
  <c r="R105" i="41"/>
  <c r="X105" i="41" s="1"/>
  <c r="BC104" i="41"/>
  <c r="BC107" i="41" s="1"/>
  <c r="BB104" i="41"/>
  <c r="BB107" i="41" s="1"/>
  <c r="AW104" i="41"/>
  <c r="AW107" i="41" s="1"/>
  <c r="AT104" i="41"/>
  <c r="BA104" i="41" s="1"/>
  <c r="AS104" i="41"/>
  <c r="AS107" i="41" s="1"/>
  <c r="AR104" i="41"/>
  <c r="AR107" i="41" s="1"/>
  <c r="AH104" i="41"/>
  <c r="AZ104" i="41" s="1"/>
  <c r="AZ107" i="41" s="1"/>
  <c r="AB104" i="41"/>
  <c r="X104" i="41"/>
  <c r="R104" i="41"/>
  <c r="AS103" i="41"/>
  <c r="AR103" i="41"/>
  <c r="AQ103" i="41"/>
  <c r="AP103" i="41"/>
  <c r="AO103" i="41"/>
  <c r="AN103" i="41"/>
  <c r="AM103" i="41"/>
  <c r="AL103" i="41"/>
  <c r="AK103" i="41"/>
  <c r="AJ103" i="41"/>
  <c r="AG103" i="41"/>
  <c r="AF103" i="41"/>
  <c r="AA103" i="41"/>
  <c r="Z103" i="41"/>
  <c r="Y103" i="41"/>
  <c r="W103" i="41"/>
  <c r="V103" i="41"/>
  <c r="U103" i="41"/>
  <c r="T103" i="41"/>
  <c r="S103" i="41"/>
  <c r="BC102" i="41"/>
  <c r="BB102" i="41"/>
  <c r="AZ102" i="41"/>
  <c r="AV102" i="41"/>
  <c r="AT102" i="41"/>
  <c r="BA102" i="41" s="1"/>
  <c r="AS102" i="41"/>
  <c r="AR102" i="41"/>
  <c r="AH102" i="41"/>
  <c r="AE102" i="41"/>
  <c r="AY102" i="41" s="1"/>
  <c r="AB102" i="41"/>
  <c r="AW102" i="41" s="1"/>
  <c r="R102" i="41"/>
  <c r="X102" i="41" s="1"/>
  <c r="AC102" i="41" s="1"/>
  <c r="BC101" i="41"/>
  <c r="AX101" i="41"/>
  <c r="AV101" i="41"/>
  <c r="AT101" i="41"/>
  <c r="BA101" i="41" s="1"/>
  <c r="AS101" i="41"/>
  <c r="AR101" i="41"/>
  <c r="BB101" i="41" s="1"/>
  <c r="AH101" i="41"/>
  <c r="AZ101" i="41" s="1"/>
  <c r="AD101" i="41"/>
  <c r="AB101" i="41"/>
  <c r="AW101" i="41" s="1"/>
  <c r="R101" i="41"/>
  <c r="X101" i="41" s="1"/>
  <c r="AZ100" i="41"/>
  <c r="AT100" i="41"/>
  <c r="AS100" i="41"/>
  <c r="BC100" i="41" s="1"/>
  <c r="BC103" i="41" s="1"/>
  <c r="AR100" i="41"/>
  <c r="BB100" i="41" s="1"/>
  <c r="BB103" i="41" s="1"/>
  <c r="AH100" i="41"/>
  <c r="AH103" i="41" s="1"/>
  <c r="AE100" i="41"/>
  <c r="AB100" i="41"/>
  <c r="AW100" i="41" s="1"/>
  <c r="R100" i="41"/>
  <c r="X100" i="41" s="1"/>
  <c r="AW99" i="41"/>
  <c r="AR99" i="41"/>
  <c r="AQ99" i="41"/>
  <c r="AP99" i="41"/>
  <c r="AO99" i="41"/>
  <c r="AN99" i="41"/>
  <c r="AM99" i="41"/>
  <c r="AL99" i="41"/>
  <c r="AK99" i="41"/>
  <c r="AJ99" i="41"/>
  <c r="AG99" i="41"/>
  <c r="AF99" i="41"/>
  <c r="AB99" i="41"/>
  <c r="AA99" i="41"/>
  <c r="Z99" i="41"/>
  <c r="Y99" i="41"/>
  <c r="W99" i="41"/>
  <c r="V99" i="41"/>
  <c r="U99" i="41"/>
  <c r="T99" i="41"/>
  <c r="S99" i="41"/>
  <c r="BC98" i="41"/>
  <c r="BC159" i="41" s="1"/>
  <c r="AW98" i="41"/>
  <c r="AW159" i="41" s="1"/>
  <c r="AT98" i="41"/>
  <c r="AS98" i="41"/>
  <c r="AR98" i="41"/>
  <c r="AR159" i="41" s="1"/>
  <c r="AH98" i="41"/>
  <c r="AH99" i="41" s="1"/>
  <c r="AB98" i="41"/>
  <c r="AB159" i="41" s="1"/>
  <c r="R98" i="41"/>
  <c r="AQ97" i="41"/>
  <c r="AP97" i="41"/>
  <c r="AO97" i="41"/>
  <c r="AN97" i="41"/>
  <c r="AM97" i="41"/>
  <c r="AL97" i="41"/>
  <c r="AK97" i="41"/>
  <c r="AJ97" i="41"/>
  <c r="AG97" i="41"/>
  <c r="AF97" i="41"/>
  <c r="AA97" i="41"/>
  <c r="Z97" i="41"/>
  <c r="Y97" i="41"/>
  <c r="W97" i="41"/>
  <c r="V97" i="41"/>
  <c r="U97" i="41"/>
  <c r="T97" i="41"/>
  <c r="S97" i="41"/>
  <c r="BC96" i="41"/>
  <c r="BB96" i="41"/>
  <c r="BA96" i="41"/>
  <c r="AV96" i="41"/>
  <c r="AT96" i="41"/>
  <c r="AS96" i="41"/>
  <c r="AR96" i="41"/>
  <c r="AH96" i="41"/>
  <c r="AZ96" i="41" s="1"/>
  <c r="AB96" i="41"/>
  <c r="AW96" i="41" s="1"/>
  <c r="R96" i="41"/>
  <c r="X96" i="41" s="1"/>
  <c r="AE96" i="41" s="1"/>
  <c r="AY96" i="41" s="1"/>
  <c r="BB95" i="41"/>
  <c r="AW95" i="41"/>
  <c r="AS95" i="41"/>
  <c r="BC95" i="41" s="1"/>
  <c r="AR95" i="41"/>
  <c r="AH95" i="41"/>
  <c r="AZ95" i="41" s="1"/>
  <c r="AD95" i="41"/>
  <c r="AX95" i="41" s="1"/>
  <c r="AB95" i="41"/>
  <c r="X95" i="41"/>
  <c r="AE95" i="41" s="1"/>
  <c r="AY95" i="41" s="1"/>
  <c r="R95" i="41"/>
  <c r="AZ94" i="41"/>
  <c r="AS94" i="41"/>
  <c r="BC94" i="41" s="1"/>
  <c r="AR94" i="41"/>
  <c r="BB94" i="41" s="1"/>
  <c r="AH94" i="41"/>
  <c r="AB94" i="41"/>
  <c r="AW94" i="41" s="1"/>
  <c r="R94" i="41"/>
  <c r="BC93" i="41"/>
  <c r="AZ93" i="41"/>
  <c r="AS93" i="41"/>
  <c r="AR93" i="41"/>
  <c r="AH93" i="41"/>
  <c r="AB93" i="41"/>
  <c r="AW93" i="41" s="1"/>
  <c r="X93" i="41"/>
  <c r="R93" i="41"/>
  <c r="BA92" i="41"/>
  <c r="AT92" i="41"/>
  <c r="AS92" i="41"/>
  <c r="BC92" i="41" s="1"/>
  <c r="AR92" i="41"/>
  <c r="AH92" i="41"/>
  <c r="AZ92" i="41" s="1"/>
  <c r="AC92" i="41"/>
  <c r="AB92" i="41"/>
  <c r="R92" i="41"/>
  <c r="X92" i="41" s="1"/>
  <c r="AD92" i="41" s="1"/>
  <c r="AX92" i="41" s="1"/>
  <c r="AQ91" i="41"/>
  <c r="AP91" i="41"/>
  <c r="AO91" i="41"/>
  <c r="AN91" i="41"/>
  <c r="AM91" i="41"/>
  <c r="AL91" i="41"/>
  <c r="AK91" i="41"/>
  <c r="AJ91" i="41"/>
  <c r="AG91" i="41"/>
  <c r="AF91" i="41"/>
  <c r="AA91" i="41"/>
  <c r="Z91" i="41"/>
  <c r="Y91" i="41"/>
  <c r="W91" i="41"/>
  <c r="V91" i="41"/>
  <c r="U91" i="41"/>
  <c r="T91" i="41"/>
  <c r="S91" i="41"/>
  <c r="BC90" i="41"/>
  <c r="BC91" i="41" s="1"/>
  <c r="AW90" i="41"/>
  <c r="AS90" i="41"/>
  <c r="AR90" i="41"/>
  <c r="AR91" i="41" s="1"/>
  <c r="AH90" i="41"/>
  <c r="AZ90" i="41" s="1"/>
  <c r="AB90" i="41"/>
  <c r="R90" i="41"/>
  <c r="X90" i="41" s="1"/>
  <c r="BB89" i="41"/>
  <c r="AX89" i="41"/>
  <c r="AV89" i="41"/>
  <c r="AT89" i="41"/>
  <c r="BA89" i="41" s="1"/>
  <c r="AS89" i="41"/>
  <c r="BC89" i="41" s="1"/>
  <c r="AR89" i="41"/>
  <c r="AH89" i="41"/>
  <c r="AZ89" i="41" s="1"/>
  <c r="AE89" i="41"/>
  <c r="AY89" i="41" s="1"/>
  <c r="AD89" i="41"/>
  <c r="AC89" i="41"/>
  <c r="AI89" i="41" s="1"/>
  <c r="AU89" i="41" s="1"/>
  <c r="AB89" i="41"/>
  <c r="AW89" i="41" s="1"/>
  <c r="R89" i="41"/>
  <c r="X89" i="41" s="1"/>
  <c r="BC88" i="41"/>
  <c r="BB88" i="41"/>
  <c r="AT88" i="41"/>
  <c r="AS88" i="41"/>
  <c r="AS91" i="41" s="1"/>
  <c r="AR88" i="41"/>
  <c r="AH88" i="41"/>
  <c r="AH91" i="41" s="1"/>
  <c r="AB88" i="41"/>
  <c r="R88" i="41"/>
  <c r="R91" i="41" s="1"/>
  <c r="AR87" i="41"/>
  <c r="AQ87" i="41"/>
  <c r="AP87" i="41"/>
  <c r="AO87" i="41"/>
  <c r="AN87" i="41"/>
  <c r="AM87" i="41"/>
  <c r="AL87" i="41"/>
  <c r="AK87" i="41"/>
  <c r="AJ87" i="41"/>
  <c r="AG87" i="41"/>
  <c r="AF87" i="41"/>
  <c r="AA87" i="41"/>
  <c r="Z87" i="41"/>
  <c r="Y87" i="41"/>
  <c r="W87" i="41"/>
  <c r="V87" i="41"/>
  <c r="U87" i="41"/>
  <c r="T87" i="41"/>
  <c r="S87" i="41"/>
  <c r="R87" i="41"/>
  <c r="AZ86" i="41"/>
  <c r="AY86" i="41"/>
  <c r="AS86" i="41"/>
  <c r="AR86" i="41"/>
  <c r="AH86" i="41"/>
  <c r="AE86" i="41"/>
  <c r="AB86" i="41"/>
  <c r="AW86" i="41" s="1"/>
  <c r="R86" i="41"/>
  <c r="X86" i="41" s="1"/>
  <c r="BC85" i="41"/>
  <c r="AW85" i="41"/>
  <c r="AS85" i="41"/>
  <c r="AR85" i="41"/>
  <c r="AT85" i="41" s="1"/>
  <c r="BA85" i="41" s="1"/>
  <c r="AH85" i="41"/>
  <c r="AZ85" i="41" s="1"/>
  <c r="AB85" i="41"/>
  <c r="AB87" i="41" s="1"/>
  <c r="R85" i="41"/>
  <c r="X85" i="41" s="1"/>
  <c r="BC84" i="41"/>
  <c r="BB84" i="41"/>
  <c r="AW84" i="41"/>
  <c r="AW87" i="41" s="1"/>
  <c r="AT84" i="41"/>
  <c r="BA84" i="41" s="1"/>
  <c r="AS84" i="41"/>
  <c r="AR84" i="41"/>
  <c r="AH84" i="41"/>
  <c r="AZ84" i="41" s="1"/>
  <c r="AZ87" i="41" s="1"/>
  <c r="AC84" i="41"/>
  <c r="AB84" i="41"/>
  <c r="R84" i="41"/>
  <c r="X84" i="41" s="1"/>
  <c r="X87" i="41" s="1"/>
  <c r="AQ83" i="41"/>
  <c r="AP83" i="41"/>
  <c r="AO83" i="41"/>
  <c r="AN83" i="41"/>
  <c r="AM83" i="41"/>
  <c r="AL83" i="41"/>
  <c r="AK83" i="41"/>
  <c r="AJ83" i="41"/>
  <c r="AG83" i="41"/>
  <c r="AF83" i="41"/>
  <c r="AA83" i="41"/>
  <c r="Z83" i="41"/>
  <c r="Y83" i="41"/>
  <c r="W83" i="41"/>
  <c r="V83" i="41"/>
  <c r="U83" i="41"/>
  <c r="T83" i="41"/>
  <c r="S83" i="41"/>
  <c r="BC82" i="41"/>
  <c r="BB82" i="41"/>
  <c r="AT82" i="41"/>
  <c r="BA82" i="41" s="1"/>
  <c r="AS82" i="41"/>
  <c r="AR82" i="41"/>
  <c r="AH82" i="41"/>
  <c r="AZ82" i="41" s="1"/>
  <c r="AB82" i="41"/>
  <c r="AW82" i="41" s="1"/>
  <c r="R82" i="41"/>
  <c r="X82" i="41" s="1"/>
  <c r="BB81" i="41"/>
  <c r="AW81" i="41"/>
  <c r="AS81" i="41"/>
  <c r="AT81" i="41" s="1"/>
  <c r="BA81" i="41" s="1"/>
  <c r="AR81" i="41"/>
  <c r="AH81" i="41"/>
  <c r="AZ81" i="41" s="1"/>
  <c r="AB81" i="41"/>
  <c r="R81" i="41"/>
  <c r="X81" i="41" s="1"/>
  <c r="AD81" i="41" s="1"/>
  <c r="AX81" i="41" s="1"/>
  <c r="BC80" i="41"/>
  <c r="AS80" i="41"/>
  <c r="AR80" i="41"/>
  <c r="AH80" i="41"/>
  <c r="AZ80" i="41" s="1"/>
  <c r="AB80" i="41"/>
  <c r="AW80" i="41" s="1"/>
  <c r="X80" i="41"/>
  <c r="R80" i="41"/>
  <c r="AZ79" i="41"/>
  <c r="AW79" i="41"/>
  <c r="AS79" i="41"/>
  <c r="AT79" i="41" s="1"/>
  <c r="BA79" i="41" s="1"/>
  <c r="AR79" i="41"/>
  <c r="BB79" i="41" s="1"/>
  <c r="AH79" i="41"/>
  <c r="AD79" i="41"/>
  <c r="AX79" i="41" s="1"/>
  <c r="AC79" i="41"/>
  <c r="AB79" i="41"/>
  <c r="X79" i="41"/>
  <c r="R79" i="41"/>
  <c r="BB78" i="41"/>
  <c r="AW78" i="41"/>
  <c r="AS78" i="41"/>
  <c r="AS83" i="41" s="1"/>
  <c r="AR78" i="41"/>
  <c r="AH78" i="41"/>
  <c r="AZ78" i="41" s="1"/>
  <c r="AE78" i="41"/>
  <c r="AY78" i="41" s="1"/>
  <c r="AB78" i="41"/>
  <c r="R78" i="41"/>
  <c r="X78" i="41" s="1"/>
  <c r="AD78" i="41" s="1"/>
  <c r="AX78" i="41" s="1"/>
  <c r="BC77" i="41"/>
  <c r="AS77" i="41"/>
  <c r="AR77" i="41"/>
  <c r="AH77" i="41"/>
  <c r="AH83" i="41" s="1"/>
  <c r="AB77" i="41"/>
  <c r="AB83" i="41" s="1"/>
  <c r="X77" i="41"/>
  <c r="AE77" i="41" s="1"/>
  <c r="R77" i="41"/>
  <c r="R83" i="41" s="1"/>
  <c r="AQ76" i="41"/>
  <c r="AP76" i="41"/>
  <c r="AO76" i="41"/>
  <c r="AN76" i="41"/>
  <c r="AM76" i="41"/>
  <c r="AL76" i="41"/>
  <c r="AK76" i="41"/>
  <c r="AJ76" i="41"/>
  <c r="AG76" i="41"/>
  <c r="AF76" i="41"/>
  <c r="AA76" i="41"/>
  <c r="Z76" i="41"/>
  <c r="Y76" i="41"/>
  <c r="W76" i="41"/>
  <c r="V76" i="41"/>
  <c r="U76" i="41"/>
  <c r="T76" i="41"/>
  <c r="S76" i="41"/>
  <c r="BB75" i="41"/>
  <c r="AW75" i="41"/>
  <c r="AS75" i="41"/>
  <c r="BC75" i="41" s="1"/>
  <c r="AR75" i="41"/>
  <c r="AH75" i="41"/>
  <c r="AZ75" i="41" s="1"/>
  <c r="AB75" i="41"/>
  <c r="R75" i="41"/>
  <c r="X75" i="41" s="1"/>
  <c r="AD75" i="41" s="1"/>
  <c r="AX75" i="41" s="1"/>
  <c r="BC74" i="41"/>
  <c r="AS74" i="41"/>
  <c r="AR74" i="41"/>
  <c r="AT74" i="41" s="1"/>
  <c r="BA74" i="41" s="1"/>
  <c r="AH74" i="41"/>
  <c r="AZ74" i="41" s="1"/>
  <c r="AB74" i="41"/>
  <c r="AW74" i="41" s="1"/>
  <c r="R74" i="41"/>
  <c r="X74" i="41" s="1"/>
  <c r="AZ73" i="41"/>
  <c r="AS73" i="41"/>
  <c r="BC73" i="41" s="1"/>
  <c r="AR73" i="41"/>
  <c r="BB73" i="41" s="1"/>
  <c r="AH73" i="41"/>
  <c r="AB73" i="41"/>
  <c r="AW73" i="41" s="1"/>
  <c r="X73" i="41"/>
  <c r="AD73" i="41" s="1"/>
  <c r="AX73" i="41" s="1"/>
  <c r="R73" i="41"/>
  <c r="BB72" i="41"/>
  <c r="AW72" i="41"/>
  <c r="AS72" i="41"/>
  <c r="BC72" i="41" s="1"/>
  <c r="AR72" i="41"/>
  <c r="AH72" i="41"/>
  <c r="AZ72" i="41" s="1"/>
  <c r="AB72" i="41"/>
  <c r="R72" i="41"/>
  <c r="X72" i="41" s="1"/>
  <c r="BC71" i="41"/>
  <c r="AW71" i="41"/>
  <c r="AS71" i="41"/>
  <c r="AR71" i="41"/>
  <c r="BB71" i="41" s="1"/>
  <c r="AH71" i="41"/>
  <c r="AZ71" i="41" s="1"/>
  <c r="AB71" i="41"/>
  <c r="R71" i="41"/>
  <c r="X71" i="41" s="1"/>
  <c r="BC70" i="41"/>
  <c r="AZ70" i="41"/>
  <c r="AW70" i="41"/>
  <c r="AT70" i="41"/>
  <c r="AS70" i="41"/>
  <c r="AR70" i="41"/>
  <c r="AH70" i="41"/>
  <c r="AE70" i="41"/>
  <c r="AY70" i="41" s="1"/>
  <c r="AD70" i="41"/>
  <c r="AB70" i="41"/>
  <c r="X70" i="41"/>
  <c r="AC70" i="41" s="1"/>
  <c r="R70" i="41"/>
  <c r="R76" i="41" s="1"/>
  <c r="AQ69" i="41"/>
  <c r="AP69" i="41"/>
  <c r="AO69" i="41"/>
  <c r="AN69" i="41"/>
  <c r="AM69" i="41"/>
  <c r="AL69" i="41"/>
  <c r="AK69" i="41"/>
  <c r="AJ69" i="41"/>
  <c r="AG69" i="41"/>
  <c r="AF69" i="41"/>
  <c r="AB69" i="41"/>
  <c r="AA69" i="41"/>
  <c r="Z69" i="41"/>
  <c r="Y69" i="41"/>
  <c r="W69" i="41"/>
  <c r="V69" i="41"/>
  <c r="U69" i="41"/>
  <c r="T69" i="41"/>
  <c r="S69" i="41"/>
  <c r="BC68" i="41"/>
  <c r="BB68" i="41"/>
  <c r="AW68" i="41"/>
  <c r="AW69" i="41" s="1"/>
  <c r="AV68" i="41"/>
  <c r="AS68" i="41"/>
  <c r="AR68" i="41"/>
  <c r="AT68" i="41" s="1"/>
  <c r="BA68" i="41" s="1"/>
  <c r="AH68" i="41"/>
  <c r="AZ68" i="41" s="1"/>
  <c r="AE68" i="41"/>
  <c r="AY68" i="41" s="1"/>
  <c r="AC68" i="41"/>
  <c r="AI68" i="41" s="1"/>
  <c r="AU68" i="41" s="1"/>
  <c r="AB68" i="41"/>
  <c r="X68" i="41"/>
  <c r="AD68" i="41" s="1"/>
  <c r="AX68" i="41" s="1"/>
  <c r="R68" i="41"/>
  <c r="AZ67" i="41"/>
  <c r="AW67" i="41"/>
  <c r="AT67" i="41"/>
  <c r="BA67" i="41" s="1"/>
  <c r="AS67" i="41"/>
  <c r="AS69" i="41" s="1"/>
  <c r="AR67" i="41"/>
  <c r="BB67" i="41" s="1"/>
  <c r="AH67" i="41"/>
  <c r="AE67" i="41"/>
  <c r="AY67" i="41" s="1"/>
  <c r="AD67" i="41"/>
  <c r="AX67" i="41" s="1"/>
  <c r="AC67" i="41"/>
  <c r="AI67" i="41" s="1"/>
  <c r="AU67" i="41" s="1"/>
  <c r="AB67" i="41"/>
  <c r="X67" i="41"/>
  <c r="AV67" i="41" s="1"/>
  <c r="R67" i="41"/>
  <c r="BC66" i="41"/>
  <c r="BB66" i="41"/>
  <c r="BB69" i="41" s="1"/>
  <c r="AW66" i="41"/>
  <c r="AT66" i="41"/>
  <c r="BA66" i="41" s="1"/>
  <c r="AS66" i="41"/>
  <c r="AR66" i="41"/>
  <c r="AR69" i="41" s="1"/>
  <c r="AH66" i="41"/>
  <c r="AH69" i="41" s="1"/>
  <c r="AB66" i="41"/>
  <c r="R66" i="41"/>
  <c r="X66" i="41" s="1"/>
  <c r="AQ65" i="41"/>
  <c r="AP65" i="41"/>
  <c r="AO65" i="41"/>
  <c r="AN65" i="41"/>
  <c r="AM65" i="41"/>
  <c r="AL65" i="41"/>
  <c r="AK65" i="41"/>
  <c r="AJ65" i="41"/>
  <c r="AG65" i="41"/>
  <c r="AF65" i="41"/>
  <c r="AA65" i="41"/>
  <c r="Z65" i="41"/>
  <c r="Y65" i="41"/>
  <c r="W65" i="41"/>
  <c r="V65" i="41"/>
  <c r="U65" i="41"/>
  <c r="T65" i="41"/>
  <c r="S65" i="41"/>
  <c r="R65" i="41"/>
  <c r="AZ64" i="41"/>
  <c r="AY64" i="41"/>
  <c r="AS64" i="41"/>
  <c r="BC64" i="41" s="1"/>
  <c r="AR64" i="41"/>
  <c r="BB64" i="41" s="1"/>
  <c r="AH64" i="41"/>
  <c r="AE64" i="41"/>
  <c r="AD64" i="41"/>
  <c r="AX64" i="41" s="1"/>
  <c r="AC64" i="41"/>
  <c r="AI64" i="41" s="1"/>
  <c r="AU64" i="41" s="1"/>
  <c r="AB64" i="41"/>
  <c r="AW64" i="41" s="1"/>
  <c r="AW65" i="41" s="1"/>
  <c r="X64" i="41"/>
  <c r="AV64" i="41" s="1"/>
  <c r="R64" i="41"/>
  <c r="BB63" i="41"/>
  <c r="BB65" i="41" s="1"/>
  <c r="AZ63" i="41"/>
  <c r="AZ65" i="41" s="1"/>
  <c r="AW63" i="41"/>
  <c r="AS63" i="41"/>
  <c r="BC63" i="41" s="1"/>
  <c r="BC65" i="41" s="1"/>
  <c r="AR63" i="41"/>
  <c r="AH63" i="41"/>
  <c r="AH65" i="41" s="1"/>
  <c r="AE63" i="41"/>
  <c r="AE65" i="41" s="1"/>
  <c r="AD63" i="41"/>
  <c r="AX63" i="41" s="1"/>
  <c r="AX65" i="41" s="1"/>
  <c r="AC63" i="41"/>
  <c r="AI63" i="41" s="1"/>
  <c r="AB63" i="41"/>
  <c r="X63" i="41"/>
  <c r="X65" i="41" s="1"/>
  <c r="R63" i="41"/>
  <c r="AQ62" i="41"/>
  <c r="AP62" i="41"/>
  <c r="AO62" i="41"/>
  <c r="AM62" i="41"/>
  <c r="AL62" i="41"/>
  <c r="AK62" i="41"/>
  <c r="AJ62" i="41"/>
  <c r="AG62" i="41"/>
  <c r="AF62" i="41"/>
  <c r="AA62" i="41"/>
  <c r="Z62" i="41"/>
  <c r="Y62" i="41"/>
  <c r="W62" i="41"/>
  <c r="V62" i="41"/>
  <c r="U62" i="41"/>
  <c r="S62" i="41"/>
  <c r="AZ61" i="41"/>
  <c r="AW61" i="41"/>
  <c r="AS61" i="41"/>
  <c r="BC61" i="41" s="1"/>
  <c r="AR61" i="41"/>
  <c r="BB61" i="41" s="1"/>
  <c r="AH61" i="41"/>
  <c r="AB61" i="41"/>
  <c r="X61" i="41"/>
  <c r="AV61" i="41" s="1"/>
  <c r="R61" i="41"/>
  <c r="BB60" i="41"/>
  <c r="AZ60" i="41"/>
  <c r="AW60" i="41"/>
  <c r="AS60" i="41"/>
  <c r="AT60" i="41" s="1"/>
  <c r="BA60" i="41" s="1"/>
  <c r="AR60" i="41"/>
  <c r="AH60" i="41"/>
  <c r="AB60" i="41"/>
  <c r="X60" i="41"/>
  <c r="AE60" i="41" s="1"/>
  <c r="AY60" i="41" s="1"/>
  <c r="R60" i="41"/>
  <c r="AS59" i="41"/>
  <c r="BC59" i="41" s="1"/>
  <c r="AR59" i="41"/>
  <c r="AT59" i="41" s="1"/>
  <c r="BA59" i="41" s="1"/>
  <c r="AH59" i="41"/>
  <c r="AZ59" i="41" s="1"/>
  <c r="AB59" i="41"/>
  <c r="AW59" i="41" s="1"/>
  <c r="X59" i="41"/>
  <c r="AD59" i="41" s="1"/>
  <c r="AX59" i="41" s="1"/>
  <c r="R59" i="41"/>
  <c r="AW58" i="41"/>
  <c r="AR58" i="41"/>
  <c r="BB58" i="41" s="1"/>
  <c r="AN58" i="41"/>
  <c r="AN62" i="41" s="1"/>
  <c r="AH58" i="41"/>
  <c r="AZ58" i="41" s="1"/>
  <c r="AB58" i="41"/>
  <c r="T58" i="41"/>
  <c r="T62" i="41" s="1"/>
  <c r="R58" i="41"/>
  <c r="AW57" i="41"/>
  <c r="AS57" i="41"/>
  <c r="BC57" i="41" s="1"/>
  <c r="AR57" i="41"/>
  <c r="AT57" i="41" s="1"/>
  <c r="BA57" i="41" s="1"/>
  <c r="AH57" i="41"/>
  <c r="AZ57" i="41" s="1"/>
  <c r="AB57" i="41"/>
  <c r="R57" i="41"/>
  <c r="X57" i="41" s="1"/>
  <c r="BC56" i="41"/>
  <c r="AZ56" i="41"/>
  <c r="AW56" i="41"/>
  <c r="AS56" i="41"/>
  <c r="AR56" i="41"/>
  <c r="BB56" i="41" s="1"/>
  <c r="AH56" i="41"/>
  <c r="AE56" i="41"/>
  <c r="AY56" i="41" s="1"/>
  <c r="AB56" i="41"/>
  <c r="X56" i="41"/>
  <c r="AV56" i="41" s="1"/>
  <c r="R56" i="41"/>
  <c r="BC55" i="41"/>
  <c r="BB55" i="41"/>
  <c r="AW55" i="41"/>
  <c r="AW62" i="41" s="1"/>
  <c r="AT55" i="41"/>
  <c r="AS55" i="41"/>
  <c r="AR55" i="41"/>
  <c r="AH55" i="41"/>
  <c r="AH62" i="41" s="1"/>
  <c r="AB55" i="41"/>
  <c r="AB62" i="41" s="1"/>
  <c r="R55" i="41"/>
  <c r="R62" i="41" s="1"/>
  <c r="AQ54" i="41"/>
  <c r="AP54" i="41"/>
  <c r="AO54" i="41"/>
  <c r="AM54" i="41"/>
  <c r="AL54" i="41"/>
  <c r="AK54" i="41"/>
  <c r="AJ54" i="41"/>
  <c r="AG54" i="41"/>
  <c r="AF54" i="41"/>
  <c r="AA54" i="41"/>
  <c r="Z54" i="41"/>
  <c r="Y54" i="41"/>
  <c r="W54" i="41"/>
  <c r="V54" i="41"/>
  <c r="U54" i="41"/>
  <c r="S54" i="41"/>
  <c r="AZ53" i="41"/>
  <c r="AW53" i="41"/>
  <c r="AS53" i="41"/>
  <c r="BC53" i="41" s="1"/>
  <c r="AR53" i="41"/>
  <c r="BB53" i="41" s="1"/>
  <c r="AH53" i="41"/>
  <c r="AE53" i="41"/>
  <c r="AY53" i="41" s="1"/>
  <c r="AD53" i="41"/>
  <c r="AX53" i="41" s="1"/>
  <c r="AC53" i="41"/>
  <c r="AB53" i="41"/>
  <c r="X53" i="41"/>
  <c r="AV53" i="41" s="1"/>
  <c r="R53" i="41"/>
  <c r="BC52" i="41"/>
  <c r="BB52" i="41"/>
  <c r="AW52" i="41"/>
  <c r="AT52" i="41"/>
  <c r="BA52" i="41" s="1"/>
  <c r="AS52" i="41"/>
  <c r="AR52" i="41"/>
  <c r="AH52" i="41"/>
  <c r="AZ52" i="41" s="1"/>
  <c r="AB52" i="41"/>
  <c r="R52" i="41"/>
  <c r="X52" i="41" s="1"/>
  <c r="AC52" i="41" s="1"/>
  <c r="BB51" i="41"/>
  <c r="AW51" i="41"/>
  <c r="AR51" i="41"/>
  <c r="AN51" i="41"/>
  <c r="AS51" i="41" s="1"/>
  <c r="BC51" i="41" s="1"/>
  <c r="AH51" i="41"/>
  <c r="AZ51" i="41" s="1"/>
  <c r="AB51" i="41"/>
  <c r="T51" i="41"/>
  <c r="R51" i="41"/>
  <c r="BC50" i="41"/>
  <c r="BB50" i="41"/>
  <c r="AW50" i="41"/>
  <c r="AT50" i="41"/>
  <c r="BA50" i="41" s="1"/>
  <c r="AS50" i="41"/>
  <c r="AR50" i="41"/>
  <c r="AH50" i="41"/>
  <c r="AZ50" i="41" s="1"/>
  <c r="AB50" i="41"/>
  <c r="R50" i="41"/>
  <c r="X50" i="41" s="1"/>
  <c r="AW49" i="41"/>
  <c r="AS49" i="41"/>
  <c r="BC49" i="41" s="1"/>
  <c r="AR49" i="41"/>
  <c r="AH49" i="41"/>
  <c r="AZ49" i="41" s="1"/>
  <c r="AB49" i="41"/>
  <c r="R49" i="41"/>
  <c r="BC48" i="41"/>
  <c r="AZ48" i="41"/>
  <c r="AW48" i="41"/>
  <c r="AW54" i="41" s="1"/>
  <c r="AS48" i="41"/>
  <c r="AR48" i="41"/>
  <c r="BB48" i="41" s="1"/>
  <c r="AH48" i="41"/>
  <c r="AB48" i="41"/>
  <c r="AB54" i="41" s="1"/>
  <c r="X48" i="41"/>
  <c r="R48" i="41"/>
  <c r="AQ47" i="41"/>
  <c r="AP47" i="41"/>
  <c r="AO47" i="41"/>
  <c r="AN47" i="41"/>
  <c r="AM47" i="41"/>
  <c r="AL47" i="41"/>
  <c r="AK47" i="41"/>
  <c r="AJ47" i="41"/>
  <c r="AG47" i="41"/>
  <c r="AF47" i="41"/>
  <c r="AA47" i="41"/>
  <c r="Z47" i="41"/>
  <c r="Y47" i="41"/>
  <c r="W47" i="41"/>
  <c r="V47" i="41"/>
  <c r="U47" i="41"/>
  <c r="T47" i="41"/>
  <c r="S47" i="41"/>
  <c r="BC46" i="41"/>
  <c r="AW46" i="41"/>
  <c r="AV46" i="41"/>
  <c r="AS46" i="41"/>
  <c r="AR46" i="41"/>
  <c r="BB46" i="41" s="1"/>
  <c r="AH46" i="41"/>
  <c r="AZ46" i="41" s="1"/>
  <c r="AE46" i="41"/>
  <c r="AY46" i="41" s="1"/>
  <c r="AB46" i="41"/>
  <c r="R46" i="41"/>
  <c r="X46" i="41" s="1"/>
  <c r="BC45" i="41"/>
  <c r="BA45" i="41"/>
  <c r="AZ45" i="41"/>
  <c r="AW45" i="41"/>
  <c r="AT45" i="41"/>
  <c r="AS45" i="41"/>
  <c r="AR45" i="41"/>
  <c r="BB45" i="41" s="1"/>
  <c r="AH45" i="41"/>
  <c r="AE45" i="41"/>
  <c r="AY45" i="41" s="1"/>
  <c r="AD45" i="41"/>
  <c r="AX45" i="41" s="1"/>
  <c r="AB45" i="41"/>
  <c r="X45" i="41"/>
  <c r="AV45" i="41" s="1"/>
  <c r="R45" i="41"/>
  <c r="BB44" i="41"/>
  <c r="AZ44" i="41"/>
  <c r="AW44" i="41"/>
  <c r="AS44" i="41"/>
  <c r="AT44" i="41" s="1"/>
  <c r="BA44" i="41" s="1"/>
  <c r="AR44" i="41"/>
  <c r="AH44" i="41"/>
  <c r="AB44" i="41"/>
  <c r="X44" i="41"/>
  <c r="AD44" i="41" s="1"/>
  <c r="AX44" i="41" s="1"/>
  <c r="R44" i="41"/>
  <c r="AV43" i="41"/>
  <c r="AS43" i="41"/>
  <c r="BC43" i="41" s="1"/>
  <c r="AR43" i="41"/>
  <c r="BB43" i="41" s="1"/>
  <c r="AH43" i="41"/>
  <c r="AZ43" i="41" s="1"/>
  <c r="AB43" i="41"/>
  <c r="AW43" i="41" s="1"/>
  <c r="R43" i="41"/>
  <c r="X43" i="41" s="1"/>
  <c r="AE43" i="41" s="1"/>
  <c r="AY43" i="41" s="1"/>
  <c r="BC42" i="41"/>
  <c r="AZ42" i="41"/>
  <c r="AW42" i="41"/>
  <c r="AS42" i="41"/>
  <c r="AR42" i="41"/>
  <c r="BB42" i="41" s="1"/>
  <c r="AH42" i="41"/>
  <c r="AE42" i="41"/>
  <c r="AY42" i="41" s="1"/>
  <c r="AD42" i="41"/>
  <c r="AX42" i="41" s="1"/>
  <c r="AB42" i="41"/>
  <c r="X42" i="41"/>
  <c r="R42" i="41"/>
  <c r="BB41" i="41"/>
  <c r="BB47" i="41" s="1"/>
  <c r="AZ41" i="41"/>
  <c r="AW41" i="41"/>
  <c r="AW47" i="41" s="1"/>
  <c r="AV41" i="41"/>
  <c r="AS41" i="41"/>
  <c r="BC41" i="41" s="1"/>
  <c r="AR41" i="41"/>
  <c r="AH41" i="41"/>
  <c r="AE41" i="41"/>
  <c r="AY41" i="41" s="1"/>
  <c r="AB41" i="41"/>
  <c r="X41" i="41"/>
  <c r="AD41" i="41" s="1"/>
  <c r="AX41" i="41" s="1"/>
  <c r="R41" i="41"/>
  <c r="R47" i="41" s="1"/>
  <c r="AQ40" i="41"/>
  <c r="AP40" i="41"/>
  <c r="AO40" i="41"/>
  <c r="AN40" i="41"/>
  <c r="AM40" i="41"/>
  <c r="AL40" i="41"/>
  <c r="AK40" i="41"/>
  <c r="AJ40" i="41"/>
  <c r="AG40" i="41"/>
  <c r="AF40" i="41"/>
  <c r="AA40" i="41"/>
  <c r="Z40" i="41"/>
  <c r="Y40" i="41"/>
  <c r="W40" i="41"/>
  <c r="V40" i="41"/>
  <c r="U40" i="41"/>
  <c r="S40" i="41"/>
  <c r="BC39" i="41"/>
  <c r="AZ39" i="41"/>
  <c r="AW39" i="41"/>
  <c r="AT39" i="41"/>
  <c r="BA39" i="41" s="1"/>
  <c r="AS39" i="41"/>
  <c r="AR39" i="41"/>
  <c r="BB39" i="41" s="1"/>
  <c r="AH39" i="41"/>
  <c r="AD39" i="41"/>
  <c r="AX39" i="41" s="1"/>
  <c r="AB39" i="41"/>
  <c r="X39" i="41"/>
  <c r="AV39" i="41" s="1"/>
  <c r="R39" i="41"/>
  <c r="BC38" i="41"/>
  <c r="BB38" i="41"/>
  <c r="AW38" i="41"/>
  <c r="AT38" i="41"/>
  <c r="BA38" i="41" s="1"/>
  <c r="AS38" i="41"/>
  <c r="AR38" i="41"/>
  <c r="AH38" i="41"/>
  <c r="AZ38" i="41" s="1"/>
  <c r="AB38" i="41"/>
  <c r="X38" i="41"/>
  <c r="AC38" i="41" s="1"/>
  <c r="R38" i="41"/>
  <c r="BC37" i="41"/>
  <c r="AW37" i="41"/>
  <c r="AS37" i="41"/>
  <c r="AR37" i="41"/>
  <c r="AT37" i="41" s="1"/>
  <c r="BA37" i="41" s="1"/>
  <c r="AH37" i="41"/>
  <c r="AZ37" i="41" s="1"/>
  <c r="AB37" i="41"/>
  <c r="T37" i="41"/>
  <c r="R37" i="41"/>
  <c r="X37" i="41" s="1"/>
  <c r="BB36" i="41"/>
  <c r="AT36" i="41"/>
  <c r="BA36" i="41" s="1"/>
  <c r="AS36" i="41"/>
  <c r="BC36" i="41" s="1"/>
  <c r="AR36" i="41"/>
  <c r="AH36" i="41"/>
  <c r="AZ36" i="41" s="1"/>
  <c r="AD36" i="41"/>
  <c r="AX36" i="41" s="1"/>
  <c r="AC36" i="41"/>
  <c r="AB36" i="41"/>
  <c r="AW36" i="41" s="1"/>
  <c r="R36" i="41"/>
  <c r="X36" i="41" s="1"/>
  <c r="AV36" i="41" s="1"/>
  <c r="BB35" i="41"/>
  <c r="AZ35" i="41"/>
  <c r="AW35" i="41"/>
  <c r="AW153" i="41" s="1"/>
  <c r="AS35" i="41"/>
  <c r="AS153" i="41" s="1"/>
  <c r="AR35" i="41"/>
  <c r="AH35" i="41"/>
  <c r="AE35" i="41"/>
  <c r="AC35" i="41"/>
  <c r="AB35" i="41"/>
  <c r="X35" i="41"/>
  <c r="X153" i="41" s="1"/>
  <c r="R35" i="41"/>
  <c r="R153" i="41" s="1"/>
  <c r="AS34" i="41"/>
  <c r="AS40" i="41" s="1"/>
  <c r="AR34" i="41"/>
  <c r="BB34" i="41" s="1"/>
  <c r="AH34" i="41"/>
  <c r="AZ34" i="41" s="1"/>
  <c r="AB34" i="41"/>
  <c r="AW34" i="41" s="1"/>
  <c r="R34" i="41"/>
  <c r="X34" i="41" s="1"/>
  <c r="BC33" i="41"/>
  <c r="AZ33" i="41"/>
  <c r="AY33" i="41"/>
  <c r="AS33" i="41"/>
  <c r="AR33" i="41"/>
  <c r="BB33" i="41" s="1"/>
  <c r="AH33" i="41"/>
  <c r="AE33" i="41"/>
  <c r="AD33" i="41"/>
  <c r="AX33" i="41" s="1"/>
  <c r="AB33" i="41"/>
  <c r="AB40" i="41" s="1"/>
  <c r="X33" i="41"/>
  <c r="AV33" i="41" s="1"/>
  <c r="R33" i="41"/>
  <c r="AZ32" i="41"/>
  <c r="AS32" i="41"/>
  <c r="AQ32" i="41"/>
  <c r="AP32" i="41"/>
  <c r="AO32" i="41"/>
  <c r="AN32" i="41"/>
  <c r="AM32" i="41"/>
  <c r="AL32" i="41"/>
  <c r="AK32" i="41"/>
  <c r="AJ32" i="41"/>
  <c r="AG32" i="41"/>
  <c r="AF32" i="41"/>
  <c r="AB32" i="41"/>
  <c r="AA32" i="41"/>
  <c r="Z32" i="41"/>
  <c r="Y32" i="41"/>
  <c r="W32" i="41"/>
  <c r="V32" i="41"/>
  <c r="U32" i="41"/>
  <c r="T32" i="41"/>
  <c r="S32" i="41"/>
  <c r="R32" i="41"/>
  <c r="BC31" i="41"/>
  <c r="AW31" i="41"/>
  <c r="AW32" i="41" s="1"/>
  <c r="AS31" i="41"/>
  <c r="AR31" i="41"/>
  <c r="AT31" i="41" s="1"/>
  <c r="BA31" i="41" s="1"/>
  <c r="AH31" i="41"/>
  <c r="AZ31" i="41" s="1"/>
  <c r="AB31" i="41"/>
  <c r="X31" i="41"/>
  <c r="AD31" i="41" s="1"/>
  <c r="AX31" i="41" s="1"/>
  <c r="R31" i="41"/>
  <c r="BC30" i="41"/>
  <c r="BC32" i="41" s="1"/>
  <c r="AZ30" i="41"/>
  <c r="AW30" i="41"/>
  <c r="AS30" i="41"/>
  <c r="AT30" i="41" s="1"/>
  <c r="AR30" i="41"/>
  <c r="AH30" i="41"/>
  <c r="AB30" i="41"/>
  <c r="X30" i="41"/>
  <c r="AV30" i="41" s="1"/>
  <c r="R30" i="41"/>
  <c r="AQ29" i="41"/>
  <c r="AP29" i="41"/>
  <c r="AO29" i="41"/>
  <c r="AN29" i="41"/>
  <c r="AM29" i="41"/>
  <c r="AL29" i="41"/>
  <c r="AK29" i="41"/>
  <c r="AJ29" i="41"/>
  <c r="AH29" i="41"/>
  <c r="AG29" i="41"/>
  <c r="AF29" i="41"/>
  <c r="AA29" i="41"/>
  <c r="Z29" i="41"/>
  <c r="Y29" i="41"/>
  <c r="W29" i="41"/>
  <c r="V29" i="41"/>
  <c r="U29" i="41"/>
  <c r="T29" i="41"/>
  <c r="S29" i="41"/>
  <c r="BC28" i="41"/>
  <c r="BC158" i="41" s="1"/>
  <c r="BB28" i="41"/>
  <c r="BB158" i="41" s="1"/>
  <c r="AS28" i="41"/>
  <c r="AS158" i="41" s="1"/>
  <c r="AR28" i="41"/>
  <c r="AH28" i="41"/>
  <c r="AB28" i="41"/>
  <c r="AB158" i="41" s="1"/>
  <c r="R28" i="41"/>
  <c r="R158" i="41" s="1"/>
  <c r="AW27" i="41"/>
  <c r="AR27" i="41"/>
  <c r="AQ27" i="41"/>
  <c r="AP27" i="41"/>
  <c r="AO27" i="41"/>
  <c r="AN27" i="41"/>
  <c r="AM27" i="41"/>
  <c r="AL27" i="41"/>
  <c r="AK27" i="41"/>
  <c r="AJ27" i="41"/>
  <c r="AG27" i="41"/>
  <c r="AF27" i="41"/>
  <c r="AA27" i="41"/>
  <c r="Z27" i="41"/>
  <c r="Y27" i="41"/>
  <c r="W27" i="41"/>
  <c r="V27" i="41"/>
  <c r="U27" i="41"/>
  <c r="T27" i="41"/>
  <c r="S27" i="41"/>
  <c r="BC26" i="41"/>
  <c r="BB26" i="41"/>
  <c r="AW26" i="41"/>
  <c r="AT26" i="41"/>
  <c r="BA26" i="41" s="1"/>
  <c r="AS26" i="41"/>
  <c r="AR26" i="41"/>
  <c r="AH26" i="41"/>
  <c r="AZ26" i="41" s="1"/>
  <c r="AB26" i="41"/>
  <c r="R26" i="41"/>
  <c r="X26" i="41" s="1"/>
  <c r="BB25" i="41"/>
  <c r="AW25" i="41"/>
  <c r="AS25" i="41"/>
  <c r="BC25" i="41" s="1"/>
  <c r="AR25" i="41"/>
  <c r="AT25" i="41" s="1"/>
  <c r="BA25" i="41" s="1"/>
  <c r="AH25" i="41"/>
  <c r="AZ25" i="41" s="1"/>
  <c r="AC25" i="41"/>
  <c r="AB25" i="41"/>
  <c r="X25" i="41"/>
  <c r="AD25" i="41" s="1"/>
  <c r="AX25" i="41" s="1"/>
  <c r="R25" i="41"/>
  <c r="AZ24" i="41"/>
  <c r="AW24" i="41"/>
  <c r="AS24" i="41"/>
  <c r="AS27" i="41" s="1"/>
  <c r="AR24" i="41"/>
  <c r="BB24" i="41" s="1"/>
  <c r="AH24" i="41"/>
  <c r="AE24" i="41"/>
  <c r="AY24" i="41" s="1"/>
  <c r="AC24" i="41"/>
  <c r="AB24" i="41"/>
  <c r="X24" i="41"/>
  <c r="AV24" i="41" s="1"/>
  <c r="R24" i="41"/>
  <c r="BC23" i="41"/>
  <c r="BB23" i="41"/>
  <c r="AW23" i="41"/>
  <c r="AT23" i="41"/>
  <c r="BA23" i="41" s="1"/>
  <c r="AS23" i="41"/>
  <c r="AR23" i="41"/>
  <c r="AH23" i="41"/>
  <c r="AZ23" i="41" s="1"/>
  <c r="AB23" i="41"/>
  <c r="R23" i="41"/>
  <c r="X23" i="41" s="1"/>
  <c r="BB22" i="41"/>
  <c r="BB27" i="41" s="1"/>
  <c r="AW22" i="41"/>
  <c r="AS22" i="41"/>
  <c r="BC22" i="41" s="1"/>
  <c r="AR22" i="41"/>
  <c r="AT22" i="41" s="1"/>
  <c r="BA22" i="41" s="1"/>
  <c r="AH22" i="41"/>
  <c r="AZ22" i="41" s="1"/>
  <c r="AC22" i="41"/>
  <c r="AB22" i="41"/>
  <c r="AB27" i="41" s="1"/>
  <c r="X22" i="41"/>
  <c r="AV22" i="41" s="1"/>
  <c r="R22" i="41"/>
  <c r="AS21" i="41"/>
  <c r="AQ21" i="41"/>
  <c r="AP21" i="41"/>
  <c r="AO21" i="41"/>
  <c r="AN21" i="41"/>
  <c r="AM21" i="41"/>
  <c r="AL21" i="41"/>
  <c r="AK21" i="41"/>
  <c r="AJ21" i="41"/>
  <c r="AG21" i="41"/>
  <c r="AF21" i="41"/>
  <c r="AA21" i="41"/>
  <c r="Z21" i="41"/>
  <c r="Y21" i="41"/>
  <c r="W21" i="41"/>
  <c r="V21" i="41"/>
  <c r="U21" i="41"/>
  <c r="T21" i="41"/>
  <c r="S21" i="41"/>
  <c r="BB20" i="41"/>
  <c r="AZ20" i="41"/>
  <c r="AW20" i="41"/>
  <c r="AS20" i="41"/>
  <c r="BC20" i="41" s="1"/>
  <c r="AR20" i="41"/>
  <c r="AH20" i="41"/>
  <c r="AB20" i="41"/>
  <c r="X20" i="41"/>
  <c r="AV20" i="41" s="1"/>
  <c r="R20" i="41"/>
  <c r="BB19" i="41"/>
  <c r="AS19" i="41"/>
  <c r="AR19" i="41"/>
  <c r="AH19" i="41"/>
  <c r="AB19" i="41"/>
  <c r="AB157" i="41" s="1"/>
  <c r="R19" i="41"/>
  <c r="R157" i="41" s="1"/>
  <c r="AZ18" i="41"/>
  <c r="AY18" i="41"/>
  <c r="AW18" i="41"/>
  <c r="AS18" i="41"/>
  <c r="BC18" i="41" s="1"/>
  <c r="AR18" i="41"/>
  <c r="BB18" i="41" s="1"/>
  <c r="AH18" i="41"/>
  <c r="AE18" i="41"/>
  <c r="AD18" i="41"/>
  <c r="AX18" i="41" s="1"/>
  <c r="AB18" i="41"/>
  <c r="AC18" i="41" s="1"/>
  <c r="AI18" i="41" s="1"/>
  <c r="AU18" i="41" s="1"/>
  <c r="X18" i="41"/>
  <c r="AV18" i="41" s="1"/>
  <c r="R18" i="41"/>
  <c r="BB17" i="41"/>
  <c r="AZ17" i="41"/>
  <c r="AW17" i="41"/>
  <c r="AS17" i="41"/>
  <c r="AS151" i="41" s="1"/>
  <c r="AR17" i="41"/>
  <c r="AH17" i="41"/>
  <c r="AH21" i="41" s="1"/>
  <c r="AB17" i="41"/>
  <c r="X17" i="41"/>
  <c r="R17" i="41"/>
  <c r="AS16" i="41"/>
  <c r="AQ16" i="41"/>
  <c r="AP16" i="41"/>
  <c r="AO16" i="41"/>
  <c r="AN16" i="41"/>
  <c r="AM16" i="41"/>
  <c r="AL16" i="41"/>
  <c r="AK16" i="41"/>
  <c r="AJ16" i="41"/>
  <c r="AG16" i="41"/>
  <c r="AF16" i="41"/>
  <c r="AA16" i="41"/>
  <c r="Z16" i="41"/>
  <c r="Y16" i="41"/>
  <c r="W16" i="41"/>
  <c r="V16" i="41"/>
  <c r="U16" i="41"/>
  <c r="T16" i="41"/>
  <c r="S16" i="41"/>
  <c r="BC15" i="41"/>
  <c r="AZ15" i="41"/>
  <c r="AZ156" i="41" s="1"/>
  <c r="AS15" i="41"/>
  <c r="AR15" i="41"/>
  <c r="AH15" i="41"/>
  <c r="AE15" i="41"/>
  <c r="AY15" i="41" s="1"/>
  <c r="AB15" i="41"/>
  <c r="AW15" i="41" s="1"/>
  <c r="AW156" i="41" s="1"/>
  <c r="X15" i="41"/>
  <c r="R15" i="41"/>
  <c r="BC14" i="41"/>
  <c r="BB14" i="41"/>
  <c r="AW14" i="41"/>
  <c r="AT14" i="41"/>
  <c r="BA14" i="41" s="1"/>
  <c r="AS14" i="41"/>
  <c r="AR14" i="41"/>
  <c r="AH14" i="41"/>
  <c r="AZ14" i="41" s="1"/>
  <c r="AB14" i="41"/>
  <c r="R14" i="41"/>
  <c r="X14" i="41" s="1"/>
  <c r="AW13" i="41"/>
  <c r="AS13" i="41"/>
  <c r="BC13" i="41" s="1"/>
  <c r="AR13" i="41"/>
  <c r="AT13" i="41" s="1"/>
  <c r="BA13" i="41" s="1"/>
  <c r="AH13" i="41"/>
  <c r="AZ13" i="41" s="1"/>
  <c r="AB13" i="41"/>
  <c r="X13" i="41"/>
  <c r="AD13" i="41" s="1"/>
  <c r="AX13" i="41" s="1"/>
  <c r="R13" i="41"/>
  <c r="R16" i="41" s="1"/>
  <c r="BC12" i="41"/>
  <c r="BC16" i="41" s="1"/>
  <c r="AZ12" i="41"/>
  <c r="AS12" i="41"/>
  <c r="AS150" i="41" s="1"/>
  <c r="AR12" i="41"/>
  <c r="AR16" i="41" s="1"/>
  <c r="AH12" i="41"/>
  <c r="AE12" i="41"/>
  <c r="AB12" i="41"/>
  <c r="AW12" i="41" s="1"/>
  <c r="X12" i="41"/>
  <c r="R12" i="41"/>
  <c r="AQ178" i="40"/>
  <c r="AP178" i="40"/>
  <c r="AO178" i="40"/>
  <c r="AN178" i="40"/>
  <c r="AM178" i="40"/>
  <c r="AL178" i="40"/>
  <c r="AK178" i="40"/>
  <c r="AJ178" i="40"/>
  <c r="AG178" i="40"/>
  <c r="AF178" i="40"/>
  <c r="AA178" i="40"/>
  <c r="Z178" i="40"/>
  <c r="Y178" i="40"/>
  <c r="W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Q177" i="40"/>
  <c r="AP177" i="40"/>
  <c r="AO177" i="40"/>
  <c r="AN177" i="40"/>
  <c r="AM177" i="40"/>
  <c r="AL177" i="40"/>
  <c r="AK177" i="40"/>
  <c r="AJ177" i="40"/>
  <c r="AG177" i="40"/>
  <c r="AF177" i="40"/>
  <c r="AA177" i="40"/>
  <c r="Z177" i="40"/>
  <c r="Y177" i="40"/>
  <c r="W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Q176" i="40"/>
  <c r="AP176" i="40"/>
  <c r="AO176" i="40"/>
  <c r="AN176" i="40"/>
  <c r="AM176" i="40"/>
  <c r="AL176" i="40"/>
  <c r="AK176" i="40"/>
  <c r="AJ176" i="40"/>
  <c r="AG176" i="40"/>
  <c r="AF176" i="40"/>
  <c r="AA176" i="40"/>
  <c r="Z176" i="40"/>
  <c r="Y176" i="40"/>
  <c r="W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Q175" i="40"/>
  <c r="AP175" i="40"/>
  <c r="AO175" i="40"/>
  <c r="AN175" i="40"/>
  <c r="AM175" i="40"/>
  <c r="AL175" i="40"/>
  <c r="AK175" i="40"/>
  <c r="AJ175" i="40"/>
  <c r="AG175" i="40"/>
  <c r="AF175" i="40"/>
  <c r="AA175" i="40"/>
  <c r="Z175" i="40"/>
  <c r="Y175" i="40"/>
  <c r="W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C174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Q173" i="40"/>
  <c r="AP173" i="40"/>
  <c r="AO173" i="40"/>
  <c r="AN173" i="40"/>
  <c r="AM173" i="40"/>
  <c r="AL173" i="40"/>
  <c r="AK173" i="40"/>
  <c r="AJ173" i="40"/>
  <c r="AG173" i="40"/>
  <c r="AF173" i="40"/>
  <c r="AA173" i="40"/>
  <c r="Z173" i="40"/>
  <c r="Y173" i="40"/>
  <c r="W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Q172" i="40"/>
  <c r="AP172" i="40"/>
  <c r="AO172" i="40"/>
  <c r="AN172" i="40"/>
  <c r="AM172" i="40"/>
  <c r="AL172" i="40"/>
  <c r="AK172" i="40"/>
  <c r="AJ172" i="40"/>
  <c r="AG172" i="40"/>
  <c r="AF172" i="40"/>
  <c r="AA172" i="40"/>
  <c r="Z172" i="40"/>
  <c r="Y172" i="40"/>
  <c r="W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Q171" i="40"/>
  <c r="AP171" i="40"/>
  <c r="AO171" i="40"/>
  <c r="AN171" i="40"/>
  <c r="AM171" i="40"/>
  <c r="AL171" i="40"/>
  <c r="AK171" i="40"/>
  <c r="AJ171" i="40"/>
  <c r="AG171" i="40"/>
  <c r="AF171" i="40"/>
  <c r="AA171" i="40"/>
  <c r="Z171" i="40"/>
  <c r="Y171" i="40"/>
  <c r="W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Q170" i="40"/>
  <c r="AP170" i="40"/>
  <c r="AO170" i="40"/>
  <c r="AN170" i="40"/>
  <c r="AM170" i="40"/>
  <c r="AL170" i="40"/>
  <c r="AK170" i="40"/>
  <c r="AJ170" i="40"/>
  <c r="AG170" i="40"/>
  <c r="AF170" i="40"/>
  <c r="AA170" i="40"/>
  <c r="Z170" i="40"/>
  <c r="Y170" i="40"/>
  <c r="W170" i="40"/>
  <c r="V170" i="40"/>
  <c r="U170" i="40"/>
  <c r="T170" i="40"/>
  <c r="S170" i="40"/>
  <c r="Q170" i="40"/>
  <c r="P170" i="40"/>
  <c r="O170" i="40"/>
  <c r="N170" i="40"/>
  <c r="M170" i="40"/>
  <c r="L170" i="40"/>
  <c r="L168" i="40" s="1"/>
  <c r="K170" i="40"/>
  <c r="J170" i="40"/>
  <c r="I170" i="40"/>
  <c r="AQ169" i="40"/>
  <c r="AP169" i="40"/>
  <c r="AO169" i="40"/>
  <c r="AN169" i="40"/>
  <c r="AM169" i="40"/>
  <c r="AL169" i="40"/>
  <c r="AK169" i="40"/>
  <c r="AJ169" i="40"/>
  <c r="AG169" i="40"/>
  <c r="AF169" i="40"/>
  <c r="AA169" i="40"/>
  <c r="Z169" i="40"/>
  <c r="Y169" i="40"/>
  <c r="W169" i="40"/>
  <c r="V169" i="40"/>
  <c r="U169" i="40"/>
  <c r="T169" i="40"/>
  <c r="S169" i="40"/>
  <c r="Q169" i="40"/>
  <c r="P169" i="40"/>
  <c r="O169" i="40"/>
  <c r="N169" i="40"/>
  <c r="M169" i="40"/>
  <c r="L169" i="40"/>
  <c r="K169" i="40"/>
  <c r="J169" i="40"/>
  <c r="I169" i="40"/>
  <c r="Q165" i="40"/>
  <c r="J20" i="47" s="1"/>
  <c r="P165" i="40"/>
  <c r="I20" i="47" s="1"/>
  <c r="O165" i="40"/>
  <c r="H20" i="47" s="1"/>
  <c r="N165" i="40"/>
  <c r="G20" i="47" s="1"/>
  <c r="M165" i="40"/>
  <c r="F20" i="47" s="1"/>
  <c r="L165" i="40"/>
  <c r="E20" i="47" s="1"/>
  <c r="K165" i="40"/>
  <c r="D20" i="47" s="1"/>
  <c r="J165" i="40"/>
  <c r="C20" i="47" s="1"/>
  <c r="I165" i="40"/>
  <c r="B20" i="47" s="1"/>
  <c r="AQ164" i="40"/>
  <c r="AP164" i="40"/>
  <c r="AO164" i="40"/>
  <c r="AN164" i="40"/>
  <c r="AM164" i="40"/>
  <c r="AL164" i="40"/>
  <c r="AK164" i="40"/>
  <c r="AJ164" i="40"/>
  <c r="AG164" i="40"/>
  <c r="AF164" i="40"/>
  <c r="AA164" i="40"/>
  <c r="Z164" i="40"/>
  <c r="Y164" i="40"/>
  <c r="W164" i="40"/>
  <c r="V164" i="40"/>
  <c r="U164" i="40"/>
  <c r="T164" i="40"/>
  <c r="S164" i="40"/>
  <c r="AS163" i="40"/>
  <c r="BC163" i="40" s="1"/>
  <c r="AR163" i="40"/>
  <c r="AH163" i="40"/>
  <c r="AZ163" i="40" s="1"/>
  <c r="AB163" i="40"/>
  <c r="R163" i="40"/>
  <c r="X163" i="40" s="1"/>
  <c r="AS162" i="40"/>
  <c r="BC162" i="40" s="1"/>
  <c r="AR162" i="40"/>
  <c r="BB162" i="40" s="1"/>
  <c r="AH162" i="40"/>
  <c r="AZ162" i="40" s="1"/>
  <c r="AB162" i="40"/>
  <c r="AW162" i="40" s="1"/>
  <c r="R162" i="40"/>
  <c r="X162" i="40" s="1"/>
  <c r="AT161" i="40"/>
  <c r="BA161" i="40" s="1"/>
  <c r="AS161" i="40"/>
  <c r="AS164" i="40" s="1"/>
  <c r="AR161" i="40"/>
  <c r="BB161" i="40" s="1"/>
  <c r="AH161" i="40"/>
  <c r="AZ161" i="40" s="1"/>
  <c r="AB161" i="40"/>
  <c r="AW161" i="40" s="1"/>
  <c r="R161" i="40"/>
  <c r="X161" i="40" s="1"/>
  <c r="X164" i="40" s="1"/>
  <c r="AQ160" i="40"/>
  <c r="AP160" i="40"/>
  <c r="AO160" i="40"/>
  <c r="AN160" i="40"/>
  <c r="AM160" i="40"/>
  <c r="AL160" i="40"/>
  <c r="AK160" i="40"/>
  <c r="AJ160" i="40"/>
  <c r="AG160" i="40"/>
  <c r="AF160" i="40"/>
  <c r="AA160" i="40"/>
  <c r="Z160" i="40"/>
  <c r="Y160" i="40"/>
  <c r="W160" i="40"/>
  <c r="V160" i="40"/>
  <c r="U160" i="40"/>
  <c r="T160" i="40"/>
  <c r="S160" i="40"/>
  <c r="AT159" i="40"/>
  <c r="BA159" i="40" s="1"/>
  <c r="AS159" i="40"/>
  <c r="BC159" i="40" s="1"/>
  <c r="AR159" i="40"/>
  <c r="BB159" i="40" s="1"/>
  <c r="AH159" i="40"/>
  <c r="AZ159" i="40" s="1"/>
  <c r="AB159" i="40"/>
  <c r="AW159" i="40" s="1"/>
  <c r="R159" i="40"/>
  <c r="AS158" i="40"/>
  <c r="BC158" i="40" s="1"/>
  <c r="AR158" i="40"/>
  <c r="AH158" i="40"/>
  <c r="AZ158" i="40" s="1"/>
  <c r="AB158" i="40"/>
  <c r="AW158" i="40" s="1"/>
  <c r="R158" i="40"/>
  <c r="AV157" i="40"/>
  <c r="AS157" i="40"/>
  <c r="BC157" i="40" s="1"/>
  <c r="AR157" i="40"/>
  <c r="BB157" i="40" s="1"/>
  <c r="AH157" i="40"/>
  <c r="AZ157" i="40" s="1"/>
  <c r="AB157" i="40"/>
  <c r="AW157" i="40" s="1"/>
  <c r="AE157" i="40"/>
  <c r="AY157" i="40" s="1"/>
  <c r="R157" i="40"/>
  <c r="X157" i="40" s="1"/>
  <c r="AD157" i="40" s="1"/>
  <c r="AX157" i="40" s="1"/>
  <c r="AS156" i="40"/>
  <c r="AR156" i="40"/>
  <c r="BB156" i="40" s="1"/>
  <c r="AH156" i="40"/>
  <c r="AZ156" i="40" s="1"/>
  <c r="AB156" i="40"/>
  <c r="R156" i="40"/>
  <c r="X156" i="40" s="1"/>
  <c r="AD156" i="40" s="1"/>
  <c r="AX156" i="40" s="1"/>
  <c r="AS155" i="40"/>
  <c r="BC155" i="40" s="1"/>
  <c r="AR155" i="40"/>
  <c r="AH155" i="40"/>
  <c r="AB155" i="40"/>
  <c r="AW155" i="40" s="1"/>
  <c r="R155" i="40"/>
  <c r="X155" i="40" s="1"/>
  <c r="AD155" i="40" s="1"/>
  <c r="AX155" i="40" s="1"/>
  <c r="AQ154" i="40"/>
  <c r="AP154" i="40"/>
  <c r="AO154" i="40"/>
  <c r="AN154" i="40"/>
  <c r="AM154" i="40"/>
  <c r="AL154" i="40"/>
  <c r="AK154" i="40"/>
  <c r="AJ154" i="40"/>
  <c r="AG154" i="40"/>
  <c r="AF154" i="40"/>
  <c r="AA154" i="40"/>
  <c r="Z154" i="40"/>
  <c r="Y154" i="40"/>
  <c r="W154" i="40"/>
  <c r="V154" i="40"/>
  <c r="U154" i="40"/>
  <c r="T154" i="40"/>
  <c r="S154" i="40"/>
  <c r="AS153" i="40"/>
  <c r="AR153" i="40"/>
  <c r="AH153" i="40"/>
  <c r="AZ153" i="40" s="1"/>
  <c r="AB153" i="40"/>
  <c r="AW153" i="40" s="1"/>
  <c r="R153" i="40"/>
  <c r="X153" i="40" s="1"/>
  <c r="AS152" i="40"/>
  <c r="BC152" i="40" s="1"/>
  <c r="AR152" i="40"/>
  <c r="AH152" i="40"/>
  <c r="AZ152" i="40" s="1"/>
  <c r="AB152" i="40"/>
  <c r="AW152" i="40" s="1"/>
  <c r="AW154" i="40" s="1"/>
  <c r="R152" i="40"/>
  <c r="X152" i="40" s="1"/>
  <c r="X154" i="40" s="1"/>
  <c r="AQ151" i="40"/>
  <c r="AP151" i="40"/>
  <c r="AO151" i="40"/>
  <c r="AN151" i="40"/>
  <c r="AM151" i="40"/>
  <c r="AL151" i="40"/>
  <c r="AK151" i="40"/>
  <c r="AJ151" i="40"/>
  <c r="AG151" i="40"/>
  <c r="AF151" i="40"/>
  <c r="AA151" i="40"/>
  <c r="Z151" i="40"/>
  <c r="Y151" i="40"/>
  <c r="W151" i="40"/>
  <c r="V151" i="40"/>
  <c r="U151" i="40"/>
  <c r="T151" i="40"/>
  <c r="S151" i="40"/>
  <c r="AS150" i="40"/>
  <c r="BC150" i="40" s="1"/>
  <c r="AR150" i="40"/>
  <c r="AT150" i="40" s="1"/>
  <c r="BA150" i="40" s="1"/>
  <c r="AH150" i="40"/>
  <c r="AZ150" i="40" s="1"/>
  <c r="AB150" i="40"/>
  <c r="AW150" i="40" s="1"/>
  <c r="R150" i="40"/>
  <c r="AS149" i="40"/>
  <c r="AR149" i="40"/>
  <c r="BB149" i="40" s="1"/>
  <c r="AH149" i="40"/>
  <c r="AZ149" i="40" s="1"/>
  <c r="AB149" i="40"/>
  <c r="AW149" i="40" s="1"/>
  <c r="R149" i="40"/>
  <c r="X149" i="40" s="1"/>
  <c r="AS148" i="40"/>
  <c r="BC148" i="40" s="1"/>
  <c r="AR148" i="40"/>
  <c r="AH148" i="40"/>
  <c r="AZ148" i="40" s="1"/>
  <c r="AB148" i="40"/>
  <c r="AW148" i="40" s="1"/>
  <c r="R148" i="40"/>
  <c r="X148" i="40" s="1"/>
  <c r="AS147" i="40"/>
  <c r="BC147" i="40" s="1"/>
  <c r="AR147" i="40"/>
  <c r="AT147" i="40" s="1"/>
  <c r="BA147" i="40" s="1"/>
  <c r="AH147" i="40"/>
  <c r="AZ147" i="40" s="1"/>
  <c r="AB147" i="40"/>
  <c r="AW147" i="40" s="1"/>
  <c r="R147" i="40"/>
  <c r="X147" i="40" s="1"/>
  <c r="AS146" i="40"/>
  <c r="BC146" i="40" s="1"/>
  <c r="AR146" i="40"/>
  <c r="BB146" i="40" s="1"/>
  <c r="AH146" i="40"/>
  <c r="AZ146" i="40" s="1"/>
  <c r="AB146" i="40"/>
  <c r="AW146" i="40" s="1"/>
  <c r="R146" i="40"/>
  <c r="AS145" i="40"/>
  <c r="BC145" i="40" s="1"/>
  <c r="AR145" i="40"/>
  <c r="BB145" i="40" s="1"/>
  <c r="AH145" i="40"/>
  <c r="AZ145" i="40" s="1"/>
  <c r="AB145" i="40"/>
  <c r="AW145" i="40" s="1"/>
  <c r="R145" i="40"/>
  <c r="X145" i="40" s="1"/>
  <c r="AD145" i="40" s="1"/>
  <c r="AQ144" i="40"/>
  <c r="AP144" i="40"/>
  <c r="AO144" i="40"/>
  <c r="AN144" i="40"/>
  <c r="AM144" i="40"/>
  <c r="AL144" i="40"/>
  <c r="AK144" i="40"/>
  <c r="AJ144" i="40"/>
  <c r="AG144" i="40"/>
  <c r="AF144" i="40"/>
  <c r="AA144" i="40"/>
  <c r="Z144" i="40"/>
  <c r="Y144" i="40"/>
  <c r="W144" i="40"/>
  <c r="V144" i="40"/>
  <c r="U144" i="40"/>
  <c r="T144" i="40"/>
  <c r="S144" i="40"/>
  <c r="AS143" i="40"/>
  <c r="BC143" i="40" s="1"/>
  <c r="AR143" i="40"/>
  <c r="AT143" i="40" s="1"/>
  <c r="BA143" i="40" s="1"/>
  <c r="AH143" i="40"/>
  <c r="AZ143" i="40" s="1"/>
  <c r="AB143" i="40"/>
  <c r="AW143" i="40" s="1"/>
  <c r="R143" i="40"/>
  <c r="X143" i="40" s="1"/>
  <c r="AE143" i="40" s="1"/>
  <c r="AY143" i="40" s="1"/>
  <c r="AS142" i="40"/>
  <c r="BC142" i="40" s="1"/>
  <c r="AR142" i="40"/>
  <c r="BB142" i="40" s="1"/>
  <c r="AH142" i="40"/>
  <c r="AZ142" i="40" s="1"/>
  <c r="AB142" i="40"/>
  <c r="AW142" i="40" s="1"/>
  <c r="R142" i="40"/>
  <c r="X142" i="40" s="1"/>
  <c r="AS141" i="40"/>
  <c r="BC141" i="40" s="1"/>
  <c r="AR141" i="40"/>
  <c r="AH141" i="40"/>
  <c r="AZ141" i="40" s="1"/>
  <c r="AB141" i="40"/>
  <c r="AW141" i="40" s="1"/>
  <c r="R141" i="40"/>
  <c r="AW140" i="40"/>
  <c r="AS140" i="40"/>
  <c r="BC140" i="40" s="1"/>
  <c r="AR140" i="40"/>
  <c r="AH140" i="40"/>
  <c r="AZ140" i="40" s="1"/>
  <c r="AB140" i="40"/>
  <c r="R140" i="40"/>
  <c r="X140" i="40" s="1"/>
  <c r="AE140" i="40" s="1"/>
  <c r="AY140" i="40" s="1"/>
  <c r="AT139" i="40"/>
  <c r="BA139" i="40" s="1"/>
  <c r="AS139" i="40"/>
  <c r="BC139" i="40" s="1"/>
  <c r="AR139" i="40"/>
  <c r="BB139" i="40" s="1"/>
  <c r="AH139" i="40"/>
  <c r="AZ139" i="40" s="1"/>
  <c r="AB139" i="40"/>
  <c r="AW139" i="40" s="1"/>
  <c r="R139" i="40"/>
  <c r="X139" i="40" s="1"/>
  <c r="BB138" i="40"/>
  <c r="AS138" i="40"/>
  <c r="AR138" i="40"/>
  <c r="AH138" i="40"/>
  <c r="AZ138" i="40" s="1"/>
  <c r="AB138" i="40"/>
  <c r="AW138" i="40" s="1"/>
  <c r="R138" i="40"/>
  <c r="X138" i="40" s="1"/>
  <c r="AQ137" i="40"/>
  <c r="AP137" i="40"/>
  <c r="AO137" i="40"/>
  <c r="AN137" i="40"/>
  <c r="AM137" i="40"/>
  <c r="AL137" i="40"/>
  <c r="AK137" i="40"/>
  <c r="AJ137" i="40"/>
  <c r="AG137" i="40"/>
  <c r="AF137" i="40"/>
  <c r="AA137" i="40"/>
  <c r="Z137" i="40"/>
  <c r="Y137" i="40"/>
  <c r="W137" i="40"/>
  <c r="V137" i="40"/>
  <c r="U137" i="40"/>
  <c r="T137" i="40"/>
  <c r="S137" i="40"/>
  <c r="AS136" i="40"/>
  <c r="AR136" i="40"/>
  <c r="BB136" i="40" s="1"/>
  <c r="AH136" i="40"/>
  <c r="AZ136" i="40" s="1"/>
  <c r="AB136" i="40"/>
  <c r="AW136" i="40" s="1"/>
  <c r="R136" i="40"/>
  <c r="X136" i="40" s="1"/>
  <c r="AZ135" i="40"/>
  <c r="AS135" i="40"/>
  <c r="BC135" i="40" s="1"/>
  <c r="AR135" i="40"/>
  <c r="AH135" i="40"/>
  <c r="AB135" i="40"/>
  <c r="AW135" i="40" s="1"/>
  <c r="R135" i="40"/>
  <c r="X135" i="40" s="1"/>
  <c r="AS134" i="40"/>
  <c r="BC134" i="40" s="1"/>
  <c r="AR134" i="40"/>
  <c r="AT134" i="40" s="1"/>
  <c r="BA134" i="40" s="1"/>
  <c r="AH134" i="40"/>
  <c r="AZ134" i="40" s="1"/>
  <c r="AB134" i="40"/>
  <c r="AW134" i="40" s="1"/>
  <c r="R134" i="40"/>
  <c r="X134" i="40" s="1"/>
  <c r="AS133" i="40"/>
  <c r="BC133" i="40" s="1"/>
  <c r="AR133" i="40"/>
  <c r="AH133" i="40"/>
  <c r="AZ133" i="40" s="1"/>
  <c r="AB133" i="40"/>
  <c r="AW133" i="40" s="1"/>
  <c r="R133" i="40"/>
  <c r="AS132" i="40"/>
  <c r="BC132" i="40" s="1"/>
  <c r="AR132" i="40"/>
  <c r="AH132" i="40"/>
  <c r="AZ132" i="40" s="1"/>
  <c r="AB132" i="40"/>
  <c r="AW132" i="40" s="1"/>
  <c r="R132" i="40"/>
  <c r="X132" i="40" s="1"/>
  <c r="AE132" i="40" s="1"/>
  <c r="AY132" i="40" s="1"/>
  <c r="AS131" i="40"/>
  <c r="BC131" i="40" s="1"/>
  <c r="AR131" i="40"/>
  <c r="BB131" i="40" s="1"/>
  <c r="AH131" i="40"/>
  <c r="AZ131" i="40" s="1"/>
  <c r="AB131" i="40"/>
  <c r="AW131" i="40" s="1"/>
  <c r="R131" i="40"/>
  <c r="AQ130" i="40"/>
  <c r="AP130" i="40"/>
  <c r="AO130" i="40"/>
  <c r="AN130" i="40"/>
  <c r="AM130" i="40"/>
  <c r="AL130" i="40"/>
  <c r="AK130" i="40"/>
  <c r="AJ130" i="40"/>
  <c r="AG130" i="40"/>
  <c r="AF130" i="40"/>
  <c r="AA130" i="40"/>
  <c r="Z130" i="40"/>
  <c r="Y130" i="40"/>
  <c r="W130" i="40"/>
  <c r="V130" i="40"/>
  <c r="U130" i="40"/>
  <c r="T130" i="40"/>
  <c r="S130" i="40"/>
  <c r="AW129" i="40"/>
  <c r="AS129" i="40"/>
  <c r="BC129" i="40" s="1"/>
  <c r="AR129" i="40"/>
  <c r="AH129" i="40"/>
  <c r="AZ129" i="40" s="1"/>
  <c r="AB129" i="40"/>
  <c r="R129" i="40"/>
  <c r="X129" i="40" s="1"/>
  <c r="AE129" i="40" s="1"/>
  <c r="AY129" i="40" s="1"/>
  <c r="AS128" i="40"/>
  <c r="AR128" i="40"/>
  <c r="BB128" i="40" s="1"/>
  <c r="AH128" i="40"/>
  <c r="AH130" i="40" s="1"/>
  <c r="AB128" i="40"/>
  <c r="AW128" i="40" s="1"/>
  <c r="R128" i="40"/>
  <c r="X128" i="40" s="1"/>
  <c r="AD128" i="40" s="1"/>
  <c r="AX128" i="40" s="1"/>
  <c r="AQ127" i="40"/>
  <c r="AP127" i="40"/>
  <c r="AO127" i="40"/>
  <c r="AN127" i="40"/>
  <c r="AM127" i="40"/>
  <c r="AL127" i="40"/>
  <c r="AK127" i="40"/>
  <c r="AJ127" i="40"/>
  <c r="AG127" i="40"/>
  <c r="AF127" i="40"/>
  <c r="AA127" i="40"/>
  <c r="Z127" i="40"/>
  <c r="Y127" i="40"/>
  <c r="W127" i="40"/>
  <c r="V127" i="40"/>
  <c r="U127" i="40"/>
  <c r="T127" i="40"/>
  <c r="S127" i="40"/>
  <c r="BC126" i="40"/>
  <c r="AS126" i="40"/>
  <c r="AR126" i="40"/>
  <c r="AH126" i="40"/>
  <c r="AZ126" i="40" s="1"/>
  <c r="AB126" i="40"/>
  <c r="AW126" i="40" s="1"/>
  <c r="R126" i="40"/>
  <c r="X126" i="40" s="1"/>
  <c r="AD126" i="40" s="1"/>
  <c r="AX126" i="40" s="1"/>
  <c r="AT125" i="40"/>
  <c r="AS125" i="40"/>
  <c r="AS127" i="40" s="1"/>
  <c r="AR125" i="40"/>
  <c r="BB125" i="40" s="1"/>
  <c r="AH125" i="40"/>
  <c r="AB125" i="40"/>
  <c r="AW125" i="40" s="1"/>
  <c r="AW127" i="40" s="1"/>
  <c r="R125" i="40"/>
  <c r="X125" i="40" s="1"/>
  <c r="AC125" i="40" s="1"/>
  <c r="AQ124" i="40"/>
  <c r="AP124" i="40"/>
  <c r="AO124" i="40"/>
  <c r="AN124" i="40"/>
  <c r="AM124" i="40"/>
  <c r="AL124" i="40"/>
  <c r="AK124" i="40"/>
  <c r="AJ124" i="40"/>
  <c r="AG124" i="40"/>
  <c r="AF124" i="40"/>
  <c r="AA124" i="40"/>
  <c r="Z124" i="40"/>
  <c r="Y124" i="40"/>
  <c r="W124" i="40"/>
  <c r="V124" i="40"/>
  <c r="U124" i="40"/>
  <c r="T124" i="40"/>
  <c r="S124" i="40"/>
  <c r="AW123" i="40"/>
  <c r="AS123" i="40"/>
  <c r="BC123" i="40" s="1"/>
  <c r="AR123" i="40"/>
  <c r="BB123" i="40" s="1"/>
  <c r="AH123" i="40"/>
  <c r="AZ123" i="40" s="1"/>
  <c r="AB123" i="40"/>
  <c r="R123" i="40"/>
  <c r="X123" i="40" s="1"/>
  <c r="BB122" i="40"/>
  <c r="AZ122" i="40"/>
  <c r="AS122" i="40"/>
  <c r="BC122" i="40" s="1"/>
  <c r="AR122" i="40"/>
  <c r="AH122" i="40"/>
  <c r="AB122" i="40"/>
  <c r="AW122" i="40" s="1"/>
  <c r="R122" i="40"/>
  <c r="AZ121" i="40"/>
  <c r="AS121" i="40"/>
  <c r="BC121" i="40" s="1"/>
  <c r="AR121" i="40"/>
  <c r="BB121" i="40" s="1"/>
  <c r="AH121" i="40"/>
  <c r="AB121" i="40"/>
  <c r="AW121" i="40" s="1"/>
  <c r="R121" i="40"/>
  <c r="AZ120" i="40"/>
  <c r="AS120" i="40"/>
  <c r="BC120" i="40" s="1"/>
  <c r="AR120" i="40"/>
  <c r="BB120" i="40" s="1"/>
  <c r="AH120" i="40"/>
  <c r="AB120" i="40"/>
  <c r="R120" i="40"/>
  <c r="X120" i="40" s="1"/>
  <c r="BB119" i="40"/>
  <c r="AS119" i="40"/>
  <c r="BC119" i="40" s="1"/>
  <c r="AR119" i="40"/>
  <c r="AH119" i="40"/>
  <c r="AB119" i="40"/>
  <c r="AW119" i="40" s="1"/>
  <c r="R119" i="40"/>
  <c r="AQ118" i="40"/>
  <c r="AP118" i="40"/>
  <c r="AO118" i="40"/>
  <c r="AN118" i="40"/>
  <c r="AM118" i="40"/>
  <c r="AL118" i="40"/>
  <c r="AK118" i="40"/>
  <c r="AJ118" i="40"/>
  <c r="AG118" i="40"/>
  <c r="AF118" i="40"/>
  <c r="AA118" i="40"/>
  <c r="Z118" i="40"/>
  <c r="Y118" i="40"/>
  <c r="W118" i="40"/>
  <c r="V118" i="40"/>
  <c r="U118" i="40"/>
  <c r="T118" i="40"/>
  <c r="S118" i="40"/>
  <c r="AS117" i="40"/>
  <c r="BC117" i="40" s="1"/>
  <c r="AR117" i="40"/>
  <c r="BB117" i="40" s="1"/>
  <c r="AH117" i="40"/>
  <c r="AZ117" i="40" s="1"/>
  <c r="AB117" i="40"/>
  <c r="AW117" i="40" s="1"/>
  <c r="R117" i="40"/>
  <c r="X117" i="40" s="1"/>
  <c r="AS116" i="40"/>
  <c r="BC116" i="40" s="1"/>
  <c r="AR116" i="40"/>
  <c r="BB116" i="40" s="1"/>
  <c r="AH116" i="40"/>
  <c r="AZ116" i="40" s="1"/>
  <c r="AC116" i="40"/>
  <c r="AB116" i="40"/>
  <c r="AW116" i="40" s="1"/>
  <c r="R116" i="40"/>
  <c r="X116" i="40" s="1"/>
  <c r="AS115" i="40"/>
  <c r="AR115" i="40"/>
  <c r="BB115" i="40" s="1"/>
  <c r="AH115" i="40"/>
  <c r="AH118" i="40" s="1"/>
  <c r="AB115" i="40"/>
  <c r="R115" i="40"/>
  <c r="X115" i="40" s="1"/>
  <c r="AE115" i="40" s="1"/>
  <c r="AY115" i="40" s="1"/>
  <c r="AQ114" i="40"/>
  <c r="AP114" i="40"/>
  <c r="AO114" i="40"/>
  <c r="AN114" i="40"/>
  <c r="AM114" i="40"/>
  <c r="AL114" i="40"/>
  <c r="AK114" i="40"/>
  <c r="AJ114" i="40"/>
  <c r="AG114" i="40"/>
  <c r="AF114" i="40"/>
  <c r="AA114" i="40"/>
  <c r="Z114" i="40"/>
  <c r="Y114" i="40"/>
  <c r="W114" i="40"/>
  <c r="V114" i="40"/>
  <c r="U114" i="40"/>
  <c r="T114" i="40"/>
  <c r="S114" i="40"/>
  <c r="AS113" i="40"/>
  <c r="AR113" i="40"/>
  <c r="BB113" i="40" s="1"/>
  <c r="AH113" i="40"/>
  <c r="AZ113" i="40" s="1"/>
  <c r="AB113" i="40"/>
  <c r="AW113" i="40" s="1"/>
  <c r="R113" i="40"/>
  <c r="X113" i="40" s="1"/>
  <c r="AE113" i="40" s="1"/>
  <c r="AY113" i="40" s="1"/>
  <c r="AW112" i="40"/>
  <c r="AS112" i="40"/>
  <c r="BC112" i="40" s="1"/>
  <c r="AR112" i="40"/>
  <c r="BB112" i="40" s="1"/>
  <c r="AH112" i="40"/>
  <c r="AB112" i="40"/>
  <c r="R112" i="40"/>
  <c r="X112" i="40" s="1"/>
  <c r="AZ111" i="40"/>
  <c r="AS111" i="40"/>
  <c r="AR111" i="40"/>
  <c r="AH111" i="40"/>
  <c r="AB111" i="40"/>
  <c r="AB114" i="40" s="1"/>
  <c r="R111" i="40"/>
  <c r="AQ110" i="40"/>
  <c r="AP110" i="40"/>
  <c r="AO110" i="40"/>
  <c r="AN110" i="40"/>
  <c r="AM110" i="40"/>
  <c r="AL110" i="40"/>
  <c r="AK110" i="40"/>
  <c r="AJ110" i="40"/>
  <c r="AG110" i="40"/>
  <c r="AF110" i="40"/>
  <c r="AA110" i="40"/>
  <c r="Z110" i="40"/>
  <c r="Y110" i="40"/>
  <c r="W110" i="40"/>
  <c r="V110" i="40"/>
  <c r="U110" i="40"/>
  <c r="T110" i="40"/>
  <c r="S110" i="40"/>
  <c r="BB109" i="40"/>
  <c r="BB110" i="40" s="1"/>
  <c r="AW109" i="40"/>
  <c r="AW110" i="40" s="1"/>
  <c r="AS109" i="40"/>
  <c r="BC109" i="40" s="1"/>
  <c r="BC110" i="40" s="1"/>
  <c r="AR109" i="40"/>
  <c r="AR110" i="40" s="1"/>
  <c r="AH109" i="40"/>
  <c r="AH110" i="40" s="1"/>
  <c r="AB109" i="40"/>
  <c r="AB110" i="40" s="1"/>
  <c r="R109" i="40"/>
  <c r="AQ108" i="40"/>
  <c r="AP108" i="40"/>
  <c r="AO108" i="40"/>
  <c r="AN108" i="40"/>
  <c r="AM108" i="40"/>
  <c r="AL108" i="40"/>
  <c r="AK108" i="40"/>
  <c r="AJ108" i="40"/>
  <c r="AG108" i="40"/>
  <c r="AF108" i="40"/>
  <c r="AA108" i="40"/>
  <c r="Z108" i="40"/>
  <c r="Y108" i="40"/>
  <c r="W108" i="40"/>
  <c r="V108" i="40"/>
  <c r="U108" i="40"/>
  <c r="T108" i="40"/>
  <c r="S108" i="40"/>
  <c r="BB107" i="40"/>
  <c r="AS107" i="40"/>
  <c r="AT107" i="40" s="1"/>
  <c r="BA107" i="40" s="1"/>
  <c r="AR107" i="40"/>
  <c r="AH107" i="40"/>
  <c r="AZ107" i="40" s="1"/>
  <c r="AE107" i="40"/>
  <c r="AY107" i="40" s="1"/>
  <c r="AC107" i="40"/>
  <c r="AB107" i="40"/>
  <c r="AW107" i="40" s="1"/>
  <c r="R107" i="40"/>
  <c r="X107" i="40" s="1"/>
  <c r="AS106" i="40"/>
  <c r="BC106" i="40" s="1"/>
  <c r="AR106" i="40"/>
  <c r="BB106" i="40" s="1"/>
  <c r="AH106" i="40"/>
  <c r="AZ106" i="40" s="1"/>
  <c r="AB106" i="40"/>
  <c r="AW106" i="40" s="1"/>
  <c r="R106" i="40"/>
  <c r="X106" i="40" s="1"/>
  <c r="AC106" i="40" s="1"/>
  <c r="AS105" i="40"/>
  <c r="BC105" i="40" s="1"/>
  <c r="AR105" i="40"/>
  <c r="AH105" i="40"/>
  <c r="AZ105" i="40" s="1"/>
  <c r="AC105" i="40"/>
  <c r="AB105" i="40"/>
  <c r="AW105" i="40" s="1"/>
  <c r="R105" i="40"/>
  <c r="X105" i="40" s="1"/>
  <c r="AE105" i="40" s="1"/>
  <c r="AY105" i="40" s="1"/>
  <c r="AZ104" i="40"/>
  <c r="AS104" i="40"/>
  <c r="AT104" i="40" s="1"/>
  <c r="BA104" i="40" s="1"/>
  <c r="AR104" i="40"/>
  <c r="BB104" i="40" s="1"/>
  <c r="AH104" i="40"/>
  <c r="AB104" i="40"/>
  <c r="AW104" i="40" s="1"/>
  <c r="R104" i="40"/>
  <c r="X104" i="40" s="1"/>
  <c r="AC104" i="40" s="1"/>
  <c r="AS103" i="40"/>
  <c r="AR103" i="40"/>
  <c r="AH103" i="40"/>
  <c r="AB103" i="40"/>
  <c r="AW103" i="40" s="1"/>
  <c r="R103" i="40"/>
  <c r="AQ102" i="40"/>
  <c r="AP102" i="40"/>
  <c r="AO102" i="40"/>
  <c r="AN102" i="40"/>
  <c r="AM102" i="40"/>
  <c r="AL102" i="40"/>
  <c r="AK102" i="40"/>
  <c r="AJ102" i="40"/>
  <c r="AG102" i="40"/>
  <c r="AF102" i="40"/>
  <c r="AA102" i="40"/>
  <c r="Z102" i="40"/>
  <c r="Y102" i="40"/>
  <c r="W102" i="40"/>
  <c r="V102" i="40"/>
  <c r="U102" i="40"/>
  <c r="T102" i="40"/>
  <c r="S102" i="40"/>
  <c r="AS101" i="40"/>
  <c r="AR101" i="40"/>
  <c r="BB101" i="40" s="1"/>
  <c r="AH101" i="40"/>
  <c r="AZ101" i="40" s="1"/>
  <c r="AB101" i="40"/>
  <c r="AW101" i="40" s="1"/>
  <c r="R101" i="40"/>
  <c r="X101" i="40" s="1"/>
  <c r="AE101" i="40" s="1"/>
  <c r="AY101" i="40" s="1"/>
  <c r="AS100" i="40"/>
  <c r="BC100" i="40" s="1"/>
  <c r="AR100" i="40"/>
  <c r="BB100" i="40" s="1"/>
  <c r="AH100" i="40"/>
  <c r="AB100" i="40"/>
  <c r="AW100" i="40" s="1"/>
  <c r="R100" i="40"/>
  <c r="X100" i="40" s="1"/>
  <c r="AS99" i="40"/>
  <c r="AR99" i="40"/>
  <c r="AH99" i="40"/>
  <c r="AZ99" i="40" s="1"/>
  <c r="AB99" i="40"/>
  <c r="AW99" i="40" s="1"/>
  <c r="R99" i="40"/>
  <c r="AQ98" i="40"/>
  <c r="AP98" i="40"/>
  <c r="AO98" i="40"/>
  <c r="AN98" i="40"/>
  <c r="AM98" i="40"/>
  <c r="AL98" i="40"/>
  <c r="AK98" i="40"/>
  <c r="AJ98" i="40"/>
  <c r="AG98" i="40"/>
  <c r="AF98" i="40"/>
  <c r="AA98" i="40"/>
  <c r="Z98" i="40"/>
  <c r="Y98" i="40"/>
  <c r="W98" i="40"/>
  <c r="V98" i="40"/>
  <c r="U98" i="40"/>
  <c r="T98" i="40"/>
  <c r="S98" i="40"/>
  <c r="BB97" i="40"/>
  <c r="AW97" i="40"/>
  <c r="AS97" i="40"/>
  <c r="BC97" i="40" s="1"/>
  <c r="AR97" i="40"/>
  <c r="AT97" i="40" s="1"/>
  <c r="BA97" i="40" s="1"/>
  <c r="AH97" i="40"/>
  <c r="AZ97" i="40" s="1"/>
  <c r="AB97" i="40"/>
  <c r="AD97" i="40"/>
  <c r="AX97" i="40" s="1"/>
  <c r="R97" i="40"/>
  <c r="X97" i="40" s="1"/>
  <c r="AS96" i="40"/>
  <c r="BC96" i="40" s="1"/>
  <c r="AR96" i="40"/>
  <c r="AH96" i="40"/>
  <c r="AZ96" i="40" s="1"/>
  <c r="AB96" i="40"/>
  <c r="AW96" i="40" s="1"/>
  <c r="R96" i="40"/>
  <c r="X96" i="40" s="1"/>
  <c r="AZ95" i="40"/>
  <c r="AS95" i="40"/>
  <c r="AR95" i="40"/>
  <c r="BB95" i="40" s="1"/>
  <c r="AH95" i="40"/>
  <c r="AB95" i="40"/>
  <c r="AV95" i="40"/>
  <c r="R95" i="40"/>
  <c r="X95" i="40" s="1"/>
  <c r="AE95" i="40" s="1"/>
  <c r="AY95" i="40" s="1"/>
  <c r="AS94" i="40"/>
  <c r="BC94" i="40" s="1"/>
  <c r="AR94" i="40"/>
  <c r="BB94" i="40" s="1"/>
  <c r="AH94" i="40"/>
  <c r="AZ94" i="40" s="1"/>
  <c r="AB94" i="40"/>
  <c r="AW94" i="40" s="1"/>
  <c r="R94" i="40"/>
  <c r="AS93" i="40"/>
  <c r="BC93" i="40" s="1"/>
  <c r="AR93" i="40"/>
  <c r="AH93" i="40"/>
  <c r="AZ93" i="40" s="1"/>
  <c r="AB93" i="40"/>
  <c r="R93" i="40"/>
  <c r="X93" i="40" s="1"/>
  <c r="AQ92" i="40"/>
  <c r="AP92" i="40"/>
  <c r="AO92" i="40"/>
  <c r="AN92" i="40"/>
  <c r="AM92" i="40"/>
  <c r="AL92" i="40"/>
  <c r="AK92" i="40"/>
  <c r="AJ92" i="40"/>
  <c r="AG92" i="40"/>
  <c r="AF92" i="40"/>
  <c r="AA92" i="40"/>
  <c r="Z92" i="40"/>
  <c r="Y92" i="40"/>
  <c r="W92" i="40"/>
  <c r="V92" i="40"/>
  <c r="U92" i="40"/>
  <c r="T92" i="40"/>
  <c r="S92" i="40"/>
  <c r="AS91" i="40"/>
  <c r="BC91" i="40" s="1"/>
  <c r="AR91" i="40"/>
  <c r="BB91" i="40" s="1"/>
  <c r="AH91" i="40"/>
  <c r="AZ91" i="40" s="1"/>
  <c r="AE91" i="40"/>
  <c r="AY91" i="40" s="1"/>
  <c r="AB91" i="40"/>
  <c r="AW91" i="40" s="1"/>
  <c r="R91" i="40"/>
  <c r="X91" i="40" s="1"/>
  <c r="AS90" i="40"/>
  <c r="AR90" i="40"/>
  <c r="AH90" i="40"/>
  <c r="AZ90" i="40" s="1"/>
  <c r="AB90" i="40"/>
  <c r="R90" i="40"/>
  <c r="X90" i="40" s="1"/>
  <c r="AS89" i="40"/>
  <c r="BC89" i="40" s="1"/>
  <c r="AR89" i="40"/>
  <c r="AR92" i="40" s="1"/>
  <c r="AH89" i="40"/>
  <c r="AZ89" i="40" s="1"/>
  <c r="AB89" i="40"/>
  <c r="AW89" i="40" s="1"/>
  <c r="R89" i="40"/>
  <c r="X89" i="40" s="1"/>
  <c r="AD89" i="40" s="1"/>
  <c r="AQ88" i="40"/>
  <c r="AP88" i="40"/>
  <c r="AO88" i="40"/>
  <c r="AN88" i="40"/>
  <c r="AM88" i="40"/>
  <c r="AL88" i="40"/>
  <c r="AK88" i="40"/>
  <c r="AJ88" i="40"/>
  <c r="AG88" i="40"/>
  <c r="AF88" i="40"/>
  <c r="AA88" i="40"/>
  <c r="Z88" i="40"/>
  <c r="Y88" i="40"/>
  <c r="W88" i="40"/>
  <c r="V88" i="40"/>
  <c r="U88" i="40"/>
  <c r="T88" i="40"/>
  <c r="S88" i="40"/>
  <c r="AS87" i="40"/>
  <c r="BC87" i="40" s="1"/>
  <c r="AR87" i="40"/>
  <c r="BB87" i="40" s="1"/>
  <c r="AH87" i="40"/>
  <c r="AZ87" i="40" s="1"/>
  <c r="AD87" i="40"/>
  <c r="AX87" i="40" s="1"/>
  <c r="AB87" i="40"/>
  <c r="R87" i="40"/>
  <c r="X87" i="40" s="1"/>
  <c r="AV87" i="40" s="1"/>
  <c r="AS86" i="40"/>
  <c r="AR86" i="40"/>
  <c r="BB86" i="40" s="1"/>
  <c r="AH86" i="40"/>
  <c r="AZ86" i="40" s="1"/>
  <c r="AB86" i="40"/>
  <c r="AW86" i="40" s="1"/>
  <c r="R86" i="40"/>
  <c r="X86" i="40" s="1"/>
  <c r="AE86" i="40" s="1"/>
  <c r="AY86" i="40" s="1"/>
  <c r="AS85" i="40"/>
  <c r="BC85" i="40" s="1"/>
  <c r="AR85" i="40"/>
  <c r="BB85" i="40" s="1"/>
  <c r="AH85" i="40"/>
  <c r="AZ85" i="40" s="1"/>
  <c r="AB85" i="40"/>
  <c r="AW85" i="40" s="1"/>
  <c r="R85" i="40"/>
  <c r="X85" i="40" s="1"/>
  <c r="AE85" i="40" s="1"/>
  <c r="AY85" i="40" s="1"/>
  <c r="AZ84" i="40"/>
  <c r="AS84" i="40"/>
  <c r="BC84" i="40" s="1"/>
  <c r="AR84" i="40"/>
  <c r="BB84" i="40" s="1"/>
  <c r="AH84" i="40"/>
  <c r="AB84" i="40"/>
  <c r="AW84" i="40" s="1"/>
  <c r="R84" i="40"/>
  <c r="X84" i="40" s="1"/>
  <c r="AD84" i="40" s="1"/>
  <c r="AX84" i="40" s="1"/>
  <c r="AW83" i="40"/>
  <c r="AS83" i="40"/>
  <c r="AT83" i="40" s="1"/>
  <c r="BA83" i="40" s="1"/>
  <c r="AR83" i="40"/>
  <c r="BB83" i="40" s="1"/>
  <c r="AH83" i="40"/>
  <c r="AZ83" i="40" s="1"/>
  <c r="AB83" i="40"/>
  <c r="R83" i="40"/>
  <c r="X83" i="40" s="1"/>
  <c r="AE83" i="40" s="1"/>
  <c r="AY83" i="40" s="1"/>
  <c r="BC82" i="40"/>
  <c r="AS82" i="40"/>
  <c r="AR82" i="40"/>
  <c r="BB82" i="40" s="1"/>
  <c r="AH82" i="40"/>
  <c r="AB82" i="40"/>
  <c r="R82" i="40"/>
  <c r="AQ81" i="40"/>
  <c r="AP81" i="40"/>
  <c r="AO81" i="40"/>
  <c r="AN81" i="40"/>
  <c r="AM81" i="40"/>
  <c r="AL81" i="40"/>
  <c r="AK81" i="40"/>
  <c r="AJ81" i="40"/>
  <c r="AG81" i="40"/>
  <c r="AF81" i="40"/>
  <c r="AA81" i="40"/>
  <c r="Z81" i="40"/>
  <c r="Y81" i="40"/>
  <c r="W81" i="40"/>
  <c r="V81" i="40"/>
  <c r="U81" i="40"/>
  <c r="T81" i="40"/>
  <c r="S81" i="40"/>
  <c r="AW80" i="40"/>
  <c r="AT80" i="40"/>
  <c r="BA80" i="40" s="1"/>
  <c r="AS80" i="40"/>
  <c r="BC80" i="40" s="1"/>
  <c r="AR80" i="40"/>
  <c r="BB80" i="40" s="1"/>
  <c r="AH80" i="40"/>
  <c r="AZ80" i="40" s="1"/>
  <c r="AB80" i="40"/>
  <c r="R80" i="40"/>
  <c r="X80" i="40" s="1"/>
  <c r="BC79" i="40"/>
  <c r="AS79" i="40"/>
  <c r="AR79" i="40"/>
  <c r="AH79" i="40"/>
  <c r="AZ79" i="40" s="1"/>
  <c r="AB79" i="40"/>
  <c r="AW79" i="40" s="1"/>
  <c r="R79" i="40"/>
  <c r="X79" i="40" s="1"/>
  <c r="AS78" i="40"/>
  <c r="BC78" i="40" s="1"/>
  <c r="AR78" i="40"/>
  <c r="BB78" i="40" s="1"/>
  <c r="AH78" i="40"/>
  <c r="AZ78" i="40" s="1"/>
  <c r="AB78" i="40"/>
  <c r="AW78" i="40" s="1"/>
  <c r="R78" i="40"/>
  <c r="X78" i="40" s="1"/>
  <c r="AS77" i="40"/>
  <c r="BC77" i="40" s="1"/>
  <c r="AR77" i="40"/>
  <c r="BB77" i="40" s="1"/>
  <c r="AH77" i="40"/>
  <c r="AZ77" i="40" s="1"/>
  <c r="AC77" i="40"/>
  <c r="AB77" i="40"/>
  <c r="AW77" i="40" s="1"/>
  <c r="R77" i="40"/>
  <c r="X77" i="40" s="1"/>
  <c r="AV77" i="40" s="1"/>
  <c r="AZ76" i="40"/>
  <c r="AS76" i="40"/>
  <c r="BC76" i="40" s="1"/>
  <c r="AR76" i="40"/>
  <c r="BB76" i="40" s="1"/>
  <c r="AH76" i="40"/>
  <c r="AB76" i="40"/>
  <c r="AW76" i="40" s="1"/>
  <c r="R76" i="40"/>
  <c r="X76" i="40" s="1"/>
  <c r="AE76" i="40" s="1"/>
  <c r="AY76" i="40" s="1"/>
  <c r="AW75" i="40"/>
  <c r="AS75" i="40"/>
  <c r="AR75" i="40"/>
  <c r="BB75" i="40" s="1"/>
  <c r="AH75" i="40"/>
  <c r="AZ75" i="40" s="1"/>
  <c r="AB75" i="40"/>
  <c r="R75" i="40"/>
  <c r="X75" i="40" s="1"/>
  <c r="X81" i="40" s="1"/>
  <c r="AQ74" i="40"/>
  <c r="AP74" i="40"/>
  <c r="AO74" i="40"/>
  <c r="AN74" i="40"/>
  <c r="AM74" i="40"/>
  <c r="AL74" i="40"/>
  <c r="AK74" i="40"/>
  <c r="AJ74" i="40"/>
  <c r="AG74" i="40"/>
  <c r="AF74" i="40"/>
  <c r="AA74" i="40"/>
  <c r="Z74" i="40"/>
  <c r="Y74" i="40"/>
  <c r="W74" i="40"/>
  <c r="V74" i="40"/>
  <c r="U74" i="40"/>
  <c r="T74" i="40"/>
  <c r="S74" i="40"/>
  <c r="BC73" i="40"/>
  <c r="AS73" i="40"/>
  <c r="AT73" i="40" s="1"/>
  <c r="BA73" i="40" s="1"/>
  <c r="AR73" i="40"/>
  <c r="BB73" i="40" s="1"/>
  <c r="AH73" i="40"/>
  <c r="AZ73" i="40" s="1"/>
  <c r="AE73" i="40"/>
  <c r="AY73" i="40" s="1"/>
  <c r="AB73" i="40"/>
  <c r="AW73" i="40" s="1"/>
  <c r="R73" i="40"/>
  <c r="X73" i="40" s="1"/>
  <c r="AD73" i="40" s="1"/>
  <c r="AX73" i="40" s="1"/>
  <c r="AS72" i="40"/>
  <c r="AR72" i="40"/>
  <c r="BB72" i="40" s="1"/>
  <c r="AH72" i="40"/>
  <c r="AZ72" i="40" s="1"/>
  <c r="AB72" i="40"/>
  <c r="AW72" i="40" s="1"/>
  <c r="R72" i="40"/>
  <c r="X72" i="40" s="1"/>
  <c r="AS71" i="40"/>
  <c r="BC71" i="40" s="1"/>
  <c r="AR71" i="40"/>
  <c r="BB71" i="40" s="1"/>
  <c r="AH71" i="40"/>
  <c r="AZ71" i="40" s="1"/>
  <c r="AE71" i="40"/>
  <c r="AY71" i="40" s="1"/>
  <c r="AB71" i="40"/>
  <c r="AW71" i="40" s="1"/>
  <c r="R71" i="40"/>
  <c r="X71" i="40" s="1"/>
  <c r="AV71" i="40" s="1"/>
  <c r="AZ70" i="40"/>
  <c r="AW70" i="40"/>
  <c r="AS70" i="40"/>
  <c r="AT70" i="40" s="1"/>
  <c r="BA70" i="40" s="1"/>
  <c r="AR70" i="40"/>
  <c r="BB70" i="40" s="1"/>
  <c r="AH70" i="40"/>
  <c r="AB70" i="40"/>
  <c r="AD70" i="40"/>
  <c r="AX70" i="40" s="1"/>
  <c r="R70" i="40"/>
  <c r="X70" i="40" s="1"/>
  <c r="AE70" i="40" s="1"/>
  <c r="AY70" i="40" s="1"/>
  <c r="AS69" i="40"/>
  <c r="AR69" i="40"/>
  <c r="BB69" i="40" s="1"/>
  <c r="AH69" i="40"/>
  <c r="AZ69" i="40" s="1"/>
  <c r="AB69" i="40"/>
  <c r="AW69" i="40" s="1"/>
  <c r="R69" i="40"/>
  <c r="X69" i="40" s="1"/>
  <c r="AS68" i="40"/>
  <c r="BC68" i="40" s="1"/>
  <c r="AR68" i="40"/>
  <c r="AH68" i="40"/>
  <c r="AB68" i="40"/>
  <c r="R68" i="40"/>
  <c r="AQ67" i="40"/>
  <c r="AP67" i="40"/>
  <c r="AO67" i="40"/>
  <c r="AN67" i="40"/>
  <c r="AM67" i="40"/>
  <c r="AL67" i="40"/>
  <c r="AK67" i="40"/>
  <c r="AJ67" i="40"/>
  <c r="AG67" i="40"/>
  <c r="AF67" i="40"/>
  <c r="AA67" i="40"/>
  <c r="Z67" i="40"/>
  <c r="Y67" i="40"/>
  <c r="W67" i="40"/>
  <c r="V67" i="40"/>
  <c r="U67" i="40"/>
  <c r="T67" i="40"/>
  <c r="S67" i="40"/>
  <c r="BC66" i="40"/>
  <c r="BB66" i="40"/>
  <c r="AS66" i="40"/>
  <c r="AT66" i="40" s="1"/>
  <c r="BA66" i="40" s="1"/>
  <c r="AR66" i="40"/>
  <c r="AH66" i="40"/>
  <c r="AZ66" i="40" s="1"/>
  <c r="AB66" i="40"/>
  <c r="AW66" i="40" s="1"/>
  <c r="R66" i="40"/>
  <c r="X66" i="40" s="1"/>
  <c r="AS65" i="40"/>
  <c r="BC65" i="40" s="1"/>
  <c r="AR65" i="40"/>
  <c r="BB65" i="40" s="1"/>
  <c r="AH65" i="40"/>
  <c r="AZ65" i="40" s="1"/>
  <c r="AB65" i="40"/>
  <c r="AW65" i="40" s="1"/>
  <c r="AV65" i="40"/>
  <c r="R65" i="40"/>
  <c r="X65" i="40" s="1"/>
  <c r="AE65" i="40" s="1"/>
  <c r="AY65" i="40" s="1"/>
  <c r="AS64" i="40"/>
  <c r="AT64" i="40" s="1"/>
  <c r="BA64" i="40" s="1"/>
  <c r="AR64" i="40"/>
  <c r="BB64" i="40" s="1"/>
  <c r="AH64" i="40"/>
  <c r="AZ64" i="40" s="1"/>
  <c r="AB64" i="40"/>
  <c r="AW64" i="40" s="1"/>
  <c r="R64" i="40"/>
  <c r="X64" i="40" s="1"/>
  <c r="AD64" i="40" s="1"/>
  <c r="AX64" i="40" s="1"/>
  <c r="BB63" i="40"/>
  <c r="AW63" i="40"/>
  <c r="AS63" i="40"/>
  <c r="AT63" i="40" s="1"/>
  <c r="BA63" i="40" s="1"/>
  <c r="AR63" i="40"/>
  <c r="AH63" i="40"/>
  <c r="AZ63" i="40" s="1"/>
  <c r="AB63" i="40"/>
  <c r="R63" i="40"/>
  <c r="X63" i="40" s="1"/>
  <c r="AS62" i="40"/>
  <c r="BC62" i="40" s="1"/>
  <c r="AR62" i="40"/>
  <c r="BB62" i="40" s="1"/>
  <c r="AH62" i="40"/>
  <c r="AB62" i="40"/>
  <c r="AW62" i="40" s="1"/>
  <c r="R62" i="40"/>
  <c r="X62" i="40" s="1"/>
  <c r="AE62" i="40" s="1"/>
  <c r="AY62" i="40" s="1"/>
  <c r="AW61" i="40"/>
  <c r="AS61" i="40"/>
  <c r="AT61" i="40" s="1"/>
  <c r="BA61" i="40" s="1"/>
  <c r="AR61" i="40"/>
  <c r="AH61" i="40"/>
  <c r="AZ61" i="40" s="1"/>
  <c r="AB61" i="40"/>
  <c r="R61" i="40"/>
  <c r="AQ60" i="40"/>
  <c r="AP60" i="40"/>
  <c r="AO60" i="40"/>
  <c r="AN60" i="40"/>
  <c r="AM60" i="40"/>
  <c r="AL60" i="40"/>
  <c r="AK60" i="40"/>
  <c r="AJ60" i="40"/>
  <c r="AG60" i="40"/>
  <c r="AF60" i="40"/>
  <c r="AA60" i="40"/>
  <c r="Z60" i="40"/>
  <c r="Y60" i="40"/>
  <c r="W60" i="40"/>
  <c r="V60" i="40"/>
  <c r="U60" i="40"/>
  <c r="T60" i="40"/>
  <c r="S60" i="40"/>
  <c r="AS59" i="40"/>
  <c r="BC59" i="40" s="1"/>
  <c r="AR59" i="40"/>
  <c r="BB59" i="40" s="1"/>
  <c r="AH59" i="40"/>
  <c r="AZ59" i="40" s="1"/>
  <c r="AB59" i="40"/>
  <c r="AW59" i="40" s="1"/>
  <c r="R59" i="40"/>
  <c r="X59" i="40" s="1"/>
  <c r="AE59" i="40" s="1"/>
  <c r="AY59" i="40" s="1"/>
  <c r="AW58" i="40"/>
  <c r="AS58" i="40"/>
  <c r="AT58" i="40" s="1"/>
  <c r="BA58" i="40" s="1"/>
  <c r="AR58" i="40"/>
  <c r="BB58" i="40" s="1"/>
  <c r="AH58" i="40"/>
  <c r="AZ58" i="40" s="1"/>
  <c r="AB58" i="40"/>
  <c r="R58" i="40"/>
  <c r="X58" i="40" s="1"/>
  <c r="AE58" i="40" s="1"/>
  <c r="AY58" i="40" s="1"/>
  <c r="BB57" i="40"/>
  <c r="AS57" i="40"/>
  <c r="AR57" i="40"/>
  <c r="AH57" i="40"/>
  <c r="AZ57" i="40" s="1"/>
  <c r="AB57" i="40"/>
  <c r="AW57" i="40" s="1"/>
  <c r="R57" i="40"/>
  <c r="X57" i="40" s="1"/>
  <c r="AC57" i="40" s="1"/>
  <c r="AS56" i="40"/>
  <c r="BC56" i="40" s="1"/>
  <c r="AR56" i="40"/>
  <c r="BB56" i="40" s="1"/>
  <c r="AH56" i="40"/>
  <c r="AZ56" i="40" s="1"/>
  <c r="AB56" i="40"/>
  <c r="AW56" i="40" s="1"/>
  <c r="AV56" i="40"/>
  <c r="R56" i="40"/>
  <c r="X56" i="40" s="1"/>
  <c r="AE56" i="40" s="1"/>
  <c r="AY56" i="40" s="1"/>
  <c r="AS55" i="40"/>
  <c r="BC55" i="40" s="1"/>
  <c r="AR55" i="40"/>
  <c r="AH55" i="40"/>
  <c r="AZ55" i="40" s="1"/>
  <c r="AB55" i="40"/>
  <c r="R55" i="40"/>
  <c r="X55" i="40" s="1"/>
  <c r="AE55" i="40" s="1"/>
  <c r="AS54" i="40"/>
  <c r="AR54" i="40"/>
  <c r="AH54" i="40"/>
  <c r="AH60" i="40" s="1"/>
  <c r="AB54" i="40"/>
  <c r="AW54" i="40" s="1"/>
  <c r="R54" i="40"/>
  <c r="AQ53" i="40"/>
  <c r="AP53" i="40"/>
  <c r="AO53" i="40"/>
  <c r="AN53" i="40"/>
  <c r="AM53" i="40"/>
  <c r="AL53" i="40"/>
  <c r="AK53" i="40"/>
  <c r="AJ53" i="40"/>
  <c r="AG53" i="40"/>
  <c r="AF53" i="40"/>
  <c r="AA53" i="40"/>
  <c r="Z53" i="40"/>
  <c r="Y53" i="40"/>
  <c r="W53" i="40"/>
  <c r="V53" i="40"/>
  <c r="U53" i="40"/>
  <c r="T53" i="40"/>
  <c r="S53" i="40"/>
  <c r="AS52" i="40"/>
  <c r="AS53" i="40" s="1"/>
  <c r="AR52" i="40"/>
  <c r="AH52" i="40"/>
  <c r="AZ52" i="40" s="1"/>
  <c r="AB52" i="40"/>
  <c r="AW52" i="40" s="1"/>
  <c r="R52" i="40"/>
  <c r="R53" i="40" s="1"/>
  <c r="AQ51" i="40"/>
  <c r="AP51" i="40"/>
  <c r="AO51" i="40"/>
  <c r="AN51" i="40"/>
  <c r="AM51" i="40"/>
  <c r="AL51" i="40"/>
  <c r="AK51" i="40"/>
  <c r="AJ51" i="40"/>
  <c r="AG51" i="40"/>
  <c r="AF51" i="40"/>
  <c r="AA51" i="40"/>
  <c r="Z51" i="40"/>
  <c r="Y51" i="40"/>
  <c r="W51" i="40"/>
  <c r="V51" i="40"/>
  <c r="U51" i="40"/>
  <c r="T51" i="40"/>
  <c r="S51" i="40"/>
  <c r="AS50" i="40"/>
  <c r="BC50" i="40" s="1"/>
  <c r="AR50" i="40"/>
  <c r="BB50" i="40" s="1"/>
  <c r="AH50" i="40"/>
  <c r="AZ50" i="40" s="1"/>
  <c r="AB50" i="40"/>
  <c r="AW50" i="40" s="1"/>
  <c r="R50" i="40"/>
  <c r="X50" i="40" s="1"/>
  <c r="AS49" i="40"/>
  <c r="BC49" i="40" s="1"/>
  <c r="AR49" i="40"/>
  <c r="AH49" i="40"/>
  <c r="AZ49" i="40" s="1"/>
  <c r="AB49" i="40"/>
  <c r="AW49" i="40" s="1"/>
  <c r="R49" i="40"/>
  <c r="X49" i="40" s="1"/>
  <c r="AE49" i="40" s="1"/>
  <c r="AY49" i="40" s="1"/>
  <c r="AW48" i="40"/>
  <c r="AS48" i="40"/>
  <c r="BC48" i="40" s="1"/>
  <c r="AR48" i="40"/>
  <c r="BB48" i="40" s="1"/>
  <c r="AH48" i="40"/>
  <c r="AZ48" i="40" s="1"/>
  <c r="AB48" i="40"/>
  <c r="R48" i="40"/>
  <c r="X48" i="40" s="1"/>
  <c r="AV48" i="40" s="1"/>
  <c r="AW47" i="40"/>
  <c r="AS47" i="40"/>
  <c r="BC47" i="40" s="1"/>
  <c r="AR47" i="40"/>
  <c r="AH47" i="40"/>
  <c r="AZ47" i="40" s="1"/>
  <c r="AB47" i="40"/>
  <c r="R47" i="40"/>
  <c r="X47" i="40" s="1"/>
  <c r="AD47" i="40" s="1"/>
  <c r="AX47" i="40" s="1"/>
  <c r="AW46" i="40"/>
  <c r="AS46" i="40"/>
  <c r="BC46" i="40" s="1"/>
  <c r="AR46" i="40"/>
  <c r="BB46" i="40" s="1"/>
  <c r="AH46" i="40"/>
  <c r="AZ46" i="40" s="1"/>
  <c r="AB46" i="40"/>
  <c r="R46" i="40"/>
  <c r="X46" i="40" s="1"/>
  <c r="AV46" i="40" s="1"/>
  <c r="AS45" i="40"/>
  <c r="AR45" i="40"/>
  <c r="BB45" i="40" s="1"/>
  <c r="AH45" i="40"/>
  <c r="AB45" i="40"/>
  <c r="AW45" i="40" s="1"/>
  <c r="R45" i="40"/>
  <c r="X45" i="40" s="1"/>
  <c r="AE45" i="40" s="1"/>
  <c r="AY45" i="40" s="1"/>
  <c r="AQ44" i="40"/>
  <c r="AP44" i="40"/>
  <c r="AO44" i="40"/>
  <c r="AN44" i="40"/>
  <c r="AM44" i="40"/>
  <c r="AL44" i="40"/>
  <c r="AK44" i="40"/>
  <c r="AJ44" i="40"/>
  <c r="AG44" i="40"/>
  <c r="AF44" i="40"/>
  <c r="AA44" i="40"/>
  <c r="Z44" i="40"/>
  <c r="Y44" i="40"/>
  <c r="W44" i="40"/>
  <c r="V44" i="40"/>
  <c r="U44" i="40"/>
  <c r="T44" i="40"/>
  <c r="AS43" i="40"/>
  <c r="BC43" i="40" s="1"/>
  <c r="AR43" i="40"/>
  <c r="AH43" i="40"/>
  <c r="AZ43" i="40" s="1"/>
  <c r="AB43" i="40"/>
  <c r="AW43" i="40" s="1"/>
  <c r="R43" i="40"/>
  <c r="X43" i="40" s="1"/>
  <c r="AS42" i="40"/>
  <c r="BC42" i="40" s="1"/>
  <c r="AR42" i="40"/>
  <c r="BB42" i="40" s="1"/>
  <c r="AH42" i="40"/>
  <c r="AZ42" i="40" s="1"/>
  <c r="AB42" i="40"/>
  <c r="AW42" i="40" s="1"/>
  <c r="R42" i="40"/>
  <c r="X42" i="40" s="1"/>
  <c r="AV42" i="40" s="1"/>
  <c r="AT41" i="40"/>
  <c r="BA41" i="40" s="1"/>
  <c r="AS41" i="40"/>
  <c r="BC41" i="40" s="1"/>
  <c r="AR41" i="40"/>
  <c r="BB41" i="40" s="1"/>
  <c r="AH41" i="40"/>
  <c r="AZ41" i="40" s="1"/>
  <c r="AB41" i="40"/>
  <c r="AW41" i="40" s="1"/>
  <c r="R41" i="40"/>
  <c r="X41" i="40" s="1"/>
  <c r="BB40" i="40"/>
  <c r="AS40" i="40"/>
  <c r="AR40" i="40"/>
  <c r="AH40" i="40"/>
  <c r="AB40" i="40"/>
  <c r="AW40" i="40" s="1"/>
  <c r="R40" i="40"/>
  <c r="X40" i="40" s="1"/>
  <c r="BC39" i="40"/>
  <c r="AZ39" i="40"/>
  <c r="AS39" i="40"/>
  <c r="AR39" i="40"/>
  <c r="BB39" i="40" s="1"/>
  <c r="AH39" i="40"/>
  <c r="AB39" i="40"/>
  <c r="R39" i="40"/>
  <c r="AQ38" i="40"/>
  <c r="AP38" i="40"/>
  <c r="AO38" i="40"/>
  <c r="AN38" i="40"/>
  <c r="AM38" i="40"/>
  <c r="AL38" i="40"/>
  <c r="AK38" i="40"/>
  <c r="AJ38" i="40"/>
  <c r="AG38" i="40"/>
  <c r="AF38" i="40"/>
  <c r="AA38" i="40"/>
  <c r="Z38" i="40"/>
  <c r="Y38" i="40"/>
  <c r="W38" i="40"/>
  <c r="V38" i="40"/>
  <c r="U38" i="40"/>
  <c r="T38" i="40"/>
  <c r="S38" i="40"/>
  <c r="AS37" i="40"/>
  <c r="BC37" i="40" s="1"/>
  <c r="AR37" i="40"/>
  <c r="AH37" i="40"/>
  <c r="AZ37" i="40" s="1"/>
  <c r="AB37" i="40"/>
  <c r="AW37" i="40" s="1"/>
  <c r="R37" i="40"/>
  <c r="X37" i="40" s="1"/>
  <c r="AS36" i="40"/>
  <c r="BC36" i="40" s="1"/>
  <c r="AR36" i="40"/>
  <c r="BB36" i="40" s="1"/>
  <c r="AH36" i="40"/>
  <c r="AZ36" i="40" s="1"/>
  <c r="AB36" i="40"/>
  <c r="AW36" i="40" s="1"/>
  <c r="R36" i="40"/>
  <c r="X36" i="40" s="1"/>
  <c r="AV36" i="40" s="1"/>
  <c r="AZ35" i="40"/>
  <c r="AT35" i="40"/>
  <c r="BA35" i="40" s="1"/>
  <c r="AS35" i="40"/>
  <c r="AR35" i="40"/>
  <c r="BB35" i="40" s="1"/>
  <c r="AH35" i="40"/>
  <c r="AB35" i="40"/>
  <c r="AW35" i="40" s="1"/>
  <c r="R35" i="40"/>
  <c r="X35" i="40" s="1"/>
  <c r="BB34" i="40"/>
  <c r="AS34" i="40"/>
  <c r="BC34" i="40" s="1"/>
  <c r="AR34" i="40"/>
  <c r="AH34" i="40"/>
  <c r="AZ34" i="40" s="1"/>
  <c r="AB34" i="40"/>
  <c r="AW34" i="40" s="1"/>
  <c r="R34" i="40"/>
  <c r="X34" i="40" s="1"/>
  <c r="BC33" i="40"/>
  <c r="AS33" i="40"/>
  <c r="AR33" i="40"/>
  <c r="AH33" i="40"/>
  <c r="AZ33" i="40" s="1"/>
  <c r="AB33" i="40"/>
  <c r="R33" i="40"/>
  <c r="AQ32" i="40"/>
  <c r="AP32" i="40"/>
  <c r="AO32" i="40"/>
  <c r="AN32" i="40"/>
  <c r="AM32" i="40"/>
  <c r="AL32" i="40"/>
  <c r="AK32" i="40"/>
  <c r="AJ32" i="40"/>
  <c r="AG32" i="40"/>
  <c r="AF32" i="40"/>
  <c r="AA32" i="40"/>
  <c r="Z32" i="40"/>
  <c r="Y32" i="40"/>
  <c r="W32" i="40"/>
  <c r="V32" i="40"/>
  <c r="U32" i="40"/>
  <c r="T32" i="40"/>
  <c r="S32" i="40"/>
  <c r="AS31" i="40"/>
  <c r="BC31" i="40" s="1"/>
  <c r="AR31" i="40"/>
  <c r="BB31" i="40" s="1"/>
  <c r="AH31" i="40"/>
  <c r="AZ31" i="40" s="1"/>
  <c r="AB31" i="40"/>
  <c r="AW31" i="40" s="1"/>
  <c r="R31" i="40"/>
  <c r="X31" i="40" s="1"/>
  <c r="AS30" i="40"/>
  <c r="BC30" i="40" s="1"/>
  <c r="AR30" i="40"/>
  <c r="AH30" i="40"/>
  <c r="AZ30" i="40" s="1"/>
  <c r="AB30" i="40"/>
  <c r="R30" i="40"/>
  <c r="X30" i="40" s="1"/>
  <c r="AS29" i="40"/>
  <c r="BC29" i="40" s="1"/>
  <c r="AR29" i="40"/>
  <c r="BB29" i="40" s="1"/>
  <c r="AH29" i="40"/>
  <c r="AZ29" i="40" s="1"/>
  <c r="AB29" i="40"/>
  <c r="AW29" i="40" s="1"/>
  <c r="R29" i="40"/>
  <c r="X29" i="40" s="1"/>
  <c r="AT28" i="40"/>
  <c r="AT173" i="40" s="1"/>
  <c r="AS28" i="40"/>
  <c r="AS173" i="40" s="1"/>
  <c r="AR28" i="40"/>
  <c r="AR173" i="40" s="1"/>
  <c r="AH28" i="40"/>
  <c r="AH173" i="40" s="1"/>
  <c r="AB28" i="40"/>
  <c r="AB173" i="40" s="1"/>
  <c r="R28" i="40"/>
  <c r="BC27" i="40"/>
  <c r="AZ27" i="40"/>
  <c r="AS27" i="40"/>
  <c r="AR27" i="40"/>
  <c r="BB27" i="40" s="1"/>
  <c r="AH27" i="40"/>
  <c r="AB27" i="40"/>
  <c r="AW27" i="40" s="1"/>
  <c r="R27" i="40"/>
  <c r="X27" i="40" s="1"/>
  <c r="BB26" i="40"/>
  <c r="AS26" i="40"/>
  <c r="BC26" i="40" s="1"/>
  <c r="AR26" i="40"/>
  <c r="AH26" i="40"/>
  <c r="AZ26" i="40" s="1"/>
  <c r="AB26" i="40"/>
  <c r="AW26" i="40" s="1"/>
  <c r="R26" i="40"/>
  <c r="X26" i="40" s="1"/>
  <c r="AQ25" i="40"/>
  <c r="AP25" i="40"/>
  <c r="AO25" i="40"/>
  <c r="AN25" i="40"/>
  <c r="AM25" i="40"/>
  <c r="AL25" i="40"/>
  <c r="AK25" i="40"/>
  <c r="AJ25" i="40"/>
  <c r="AG25" i="40"/>
  <c r="AF25" i="40"/>
  <c r="AA25" i="40"/>
  <c r="Z25" i="40"/>
  <c r="Y25" i="40"/>
  <c r="W25" i="40"/>
  <c r="V25" i="40"/>
  <c r="U25" i="40"/>
  <c r="T25" i="40"/>
  <c r="S25" i="40"/>
  <c r="AZ24" i="40"/>
  <c r="AS24" i="40"/>
  <c r="AS178" i="40" s="1"/>
  <c r="AR24" i="40"/>
  <c r="AR178" i="40" s="1"/>
  <c r="AH24" i="40"/>
  <c r="AH178" i="40" s="1"/>
  <c r="AB24" i="40"/>
  <c r="AB178" i="40" s="1"/>
  <c r="R24" i="40"/>
  <c r="R178" i="40" s="1"/>
  <c r="AQ23" i="40"/>
  <c r="AP23" i="40"/>
  <c r="AO23" i="40"/>
  <c r="AN23" i="40"/>
  <c r="AM23" i="40"/>
  <c r="AL23" i="40"/>
  <c r="AK23" i="40"/>
  <c r="AJ23" i="40"/>
  <c r="AG23" i="40"/>
  <c r="AF23" i="40"/>
  <c r="AA23" i="40"/>
  <c r="Z23" i="40"/>
  <c r="Y23" i="40"/>
  <c r="W23" i="40"/>
  <c r="V23" i="40"/>
  <c r="U23" i="40"/>
  <c r="T23" i="40"/>
  <c r="S23" i="40"/>
  <c r="BB22" i="40"/>
  <c r="AS22" i="40"/>
  <c r="BC22" i="40" s="1"/>
  <c r="AR22" i="40"/>
  <c r="AH22" i="40"/>
  <c r="AZ22" i="40" s="1"/>
  <c r="AB22" i="40"/>
  <c r="AW22" i="40" s="1"/>
  <c r="R22" i="40"/>
  <c r="X22" i="40" s="1"/>
  <c r="AS21" i="40"/>
  <c r="BC21" i="40" s="1"/>
  <c r="AR21" i="40"/>
  <c r="BB21" i="40" s="1"/>
  <c r="AH21" i="40"/>
  <c r="AZ21" i="40" s="1"/>
  <c r="AB21" i="40"/>
  <c r="AW21" i="40" s="1"/>
  <c r="R21" i="40"/>
  <c r="X21" i="40" s="1"/>
  <c r="AZ20" i="40"/>
  <c r="AZ23" i="40" s="1"/>
  <c r="AS20" i="40"/>
  <c r="AS23" i="40" s="1"/>
  <c r="AR20" i="40"/>
  <c r="AH20" i="40"/>
  <c r="AB20" i="40"/>
  <c r="AW20" i="40" s="1"/>
  <c r="R20" i="40"/>
  <c r="X20" i="40" s="1"/>
  <c r="X23" i="40" s="1"/>
  <c r="AQ19" i="40"/>
  <c r="AP19" i="40"/>
  <c r="AO19" i="40"/>
  <c r="AN19" i="40"/>
  <c r="AM19" i="40"/>
  <c r="AL19" i="40"/>
  <c r="AK19" i="40"/>
  <c r="AJ19" i="40"/>
  <c r="AG19" i="40"/>
  <c r="AF19" i="40"/>
  <c r="AA19" i="40"/>
  <c r="Z19" i="40"/>
  <c r="Y19" i="40"/>
  <c r="W19" i="40"/>
  <c r="V19" i="40"/>
  <c r="U19" i="40"/>
  <c r="T19" i="40"/>
  <c r="S19" i="40"/>
  <c r="AS18" i="40"/>
  <c r="BC18" i="40" s="1"/>
  <c r="AR18" i="40"/>
  <c r="BB18" i="40" s="1"/>
  <c r="AH18" i="40"/>
  <c r="AZ18" i="40" s="1"/>
  <c r="AB18" i="40"/>
  <c r="AW18" i="40" s="1"/>
  <c r="R18" i="40"/>
  <c r="X18" i="40" s="1"/>
  <c r="AS17" i="40"/>
  <c r="BC17" i="40" s="1"/>
  <c r="AR17" i="40"/>
  <c r="BB17" i="40" s="1"/>
  <c r="AH17" i="40"/>
  <c r="AZ17" i="40" s="1"/>
  <c r="AB17" i="40"/>
  <c r="AW17" i="40" s="1"/>
  <c r="R17" i="40"/>
  <c r="X17" i="40" s="1"/>
  <c r="AS16" i="40"/>
  <c r="AS19" i="40" s="1"/>
  <c r="AR16" i="40"/>
  <c r="AR19" i="40" s="1"/>
  <c r="AH16" i="40"/>
  <c r="AB16" i="40"/>
  <c r="R16" i="40"/>
  <c r="AQ15" i="40"/>
  <c r="AP15" i="40"/>
  <c r="AO15" i="40"/>
  <c r="AN15" i="40"/>
  <c r="AM15" i="40"/>
  <c r="AL15" i="40"/>
  <c r="AK15" i="40"/>
  <c r="AJ15" i="40"/>
  <c r="AG15" i="40"/>
  <c r="AF15" i="40"/>
  <c r="AA15" i="40"/>
  <c r="Z15" i="40"/>
  <c r="Y15" i="40"/>
  <c r="W15" i="40"/>
  <c r="V15" i="40"/>
  <c r="U15" i="40"/>
  <c r="T15" i="40"/>
  <c r="S15" i="40"/>
  <c r="AS14" i="40"/>
  <c r="AR14" i="40"/>
  <c r="BB14" i="40" s="1"/>
  <c r="AH14" i="40"/>
  <c r="AZ14" i="40" s="1"/>
  <c r="AB14" i="40"/>
  <c r="AW14" i="40" s="1"/>
  <c r="R14" i="40"/>
  <c r="X14" i="40" s="1"/>
  <c r="AS13" i="40"/>
  <c r="BC13" i="40" s="1"/>
  <c r="AR13" i="40"/>
  <c r="BB13" i="40" s="1"/>
  <c r="AH13" i="40"/>
  <c r="AZ13" i="40" s="1"/>
  <c r="AB13" i="40"/>
  <c r="AW13" i="40" s="1"/>
  <c r="R13" i="40"/>
  <c r="X13" i="40" s="1"/>
  <c r="AS12" i="40"/>
  <c r="BC12" i="40" s="1"/>
  <c r="AR12" i="40"/>
  <c r="AH12" i="40"/>
  <c r="AB12" i="40"/>
  <c r="R12" i="40"/>
  <c r="AQ136" i="39"/>
  <c r="AP136" i="39"/>
  <c r="AO136" i="39"/>
  <c r="AN136" i="39"/>
  <c r="AM136" i="39"/>
  <c r="AL136" i="39"/>
  <c r="AK136" i="39"/>
  <c r="AJ136" i="39"/>
  <c r="AG136" i="39"/>
  <c r="AF136" i="39"/>
  <c r="AA136" i="39"/>
  <c r="Z136" i="39"/>
  <c r="Y136" i="39"/>
  <c r="W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Q135" i="39"/>
  <c r="AP135" i="39"/>
  <c r="AO135" i="39"/>
  <c r="AN135" i="39"/>
  <c r="AM135" i="39"/>
  <c r="AL135" i="39"/>
  <c r="AK135" i="39"/>
  <c r="AJ135" i="39"/>
  <c r="AG135" i="39"/>
  <c r="AF135" i="39"/>
  <c r="AA135" i="39"/>
  <c r="Z135" i="39"/>
  <c r="Y135" i="39"/>
  <c r="W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Q134" i="39"/>
  <c r="AP134" i="39"/>
  <c r="AO134" i="39"/>
  <c r="AN134" i="39"/>
  <c r="AM134" i="39"/>
  <c r="AL134" i="39"/>
  <c r="AK134" i="39"/>
  <c r="AJ134" i="39"/>
  <c r="AG134" i="39"/>
  <c r="AF134" i="39"/>
  <c r="AA134" i="39"/>
  <c r="Z134" i="39"/>
  <c r="Y134" i="39"/>
  <c r="W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Q133" i="39"/>
  <c r="AP133" i="39"/>
  <c r="AO133" i="39"/>
  <c r="AN133" i="39"/>
  <c r="AM133" i="39"/>
  <c r="AL133" i="39"/>
  <c r="AK133" i="39"/>
  <c r="AJ133" i="39"/>
  <c r="AG133" i="39"/>
  <c r="AF133" i="39"/>
  <c r="AA133" i="39"/>
  <c r="Z133" i="39"/>
  <c r="Y133" i="39"/>
  <c r="W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N126" i="39" s="1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V126" i="39" s="1"/>
  <c r="U132" i="39"/>
  <c r="T132" i="39"/>
  <c r="S132" i="39"/>
  <c r="R132" i="39"/>
  <c r="Q132" i="39"/>
  <c r="P132" i="39"/>
  <c r="P126" i="39" s="1"/>
  <c r="O132" i="39"/>
  <c r="N132" i="39"/>
  <c r="M132" i="39"/>
  <c r="L132" i="39"/>
  <c r="K132" i="39"/>
  <c r="J132" i="39"/>
  <c r="J126" i="39" s="1"/>
  <c r="I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M126" i="39" s="1"/>
  <c r="AL131" i="39"/>
  <c r="AK131" i="39"/>
  <c r="AJ131" i="39"/>
  <c r="AI131" i="39"/>
  <c r="AH131" i="39"/>
  <c r="AG131" i="39"/>
  <c r="AG126" i="39" s="1"/>
  <c r="AF131" i="39"/>
  <c r="AE131" i="39"/>
  <c r="AD131" i="39"/>
  <c r="AC131" i="39"/>
  <c r="AB131" i="39"/>
  <c r="AA131" i="39"/>
  <c r="AA126" i="39" s="1"/>
  <c r="Z131" i="39"/>
  <c r="Y131" i="39"/>
  <c r="X131" i="39"/>
  <c r="W131" i="39"/>
  <c r="V131" i="39"/>
  <c r="U131" i="39"/>
  <c r="U126" i="39" s="1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Q130" i="39"/>
  <c r="AP130" i="39"/>
  <c r="AO130" i="39"/>
  <c r="AN130" i="39"/>
  <c r="AM130" i="39"/>
  <c r="AL130" i="39"/>
  <c r="AL126" i="39" s="1"/>
  <c r="AK130" i="39"/>
  <c r="AJ130" i="39"/>
  <c r="AG130" i="39"/>
  <c r="AF130" i="39"/>
  <c r="AA130" i="39"/>
  <c r="Z130" i="39"/>
  <c r="Y130" i="39"/>
  <c r="W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Q129" i="39"/>
  <c r="AP129" i="39"/>
  <c r="AO129" i="39"/>
  <c r="AN129" i="39"/>
  <c r="AM129" i="39"/>
  <c r="AL129" i="39"/>
  <c r="AK129" i="39"/>
  <c r="AJ129" i="39"/>
  <c r="AG129" i="39"/>
  <c r="AF129" i="39"/>
  <c r="AA129" i="39"/>
  <c r="Z129" i="39"/>
  <c r="Y129" i="39"/>
  <c r="W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Q128" i="39"/>
  <c r="AP128" i="39"/>
  <c r="AP126" i="39" s="1"/>
  <c r="AO128" i="39"/>
  <c r="AN128" i="39"/>
  <c r="AM128" i="39"/>
  <c r="AL128" i="39"/>
  <c r="AK128" i="39"/>
  <c r="AJ128" i="39"/>
  <c r="AJ126" i="39" s="1"/>
  <c r="AG128" i="39"/>
  <c r="AF128" i="39"/>
  <c r="AA128" i="39"/>
  <c r="Z128" i="39"/>
  <c r="Y128" i="39"/>
  <c r="W128" i="39"/>
  <c r="V128" i="39"/>
  <c r="U128" i="39"/>
  <c r="T128" i="39"/>
  <c r="S128" i="39"/>
  <c r="Q128" i="39"/>
  <c r="P128" i="39"/>
  <c r="O128" i="39"/>
  <c r="N128" i="39"/>
  <c r="M128" i="39"/>
  <c r="L128" i="39"/>
  <c r="K128" i="39"/>
  <c r="J128" i="39"/>
  <c r="I128" i="39"/>
  <c r="AQ127" i="39"/>
  <c r="AP127" i="39"/>
  <c r="AO127" i="39"/>
  <c r="AN127" i="39"/>
  <c r="AM127" i="39"/>
  <c r="AL127" i="39"/>
  <c r="AK127" i="39"/>
  <c r="AJ127" i="39"/>
  <c r="AG127" i="39"/>
  <c r="AF127" i="39"/>
  <c r="AA127" i="39"/>
  <c r="Z127" i="39"/>
  <c r="Y127" i="39"/>
  <c r="W127" i="39"/>
  <c r="W126" i="39" s="1"/>
  <c r="V127" i="39"/>
  <c r="U127" i="39"/>
  <c r="T127" i="39"/>
  <c r="S127" i="39"/>
  <c r="Q127" i="39"/>
  <c r="P127" i="39"/>
  <c r="O127" i="39"/>
  <c r="N127" i="39"/>
  <c r="M127" i="39"/>
  <c r="L127" i="39"/>
  <c r="K127" i="39"/>
  <c r="J127" i="39"/>
  <c r="I127" i="39"/>
  <c r="AQ126" i="39"/>
  <c r="AK126" i="39"/>
  <c r="Y126" i="39"/>
  <c r="S126" i="39"/>
  <c r="M126" i="39"/>
  <c r="L126" i="39"/>
  <c r="Q123" i="39"/>
  <c r="O124" i="39" s="1"/>
  <c r="P123" i="39"/>
  <c r="O123" i="39"/>
  <c r="N123" i="39"/>
  <c r="M123" i="39"/>
  <c r="I124" i="39" s="1"/>
  <c r="L123" i="39"/>
  <c r="K123" i="39"/>
  <c r="J123" i="39"/>
  <c r="I123" i="39"/>
  <c r="AQ122" i="39"/>
  <c r="AP122" i="39"/>
  <c r="AO122" i="39"/>
  <c r="AN122" i="39"/>
  <c r="AM122" i="39"/>
  <c r="AL122" i="39"/>
  <c r="AK122" i="39"/>
  <c r="AJ122" i="39"/>
  <c r="AG122" i="39"/>
  <c r="AF122" i="39"/>
  <c r="AA122" i="39"/>
  <c r="Z122" i="39"/>
  <c r="Y122" i="39"/>
  <c r="W122" i="39"/>
  <c r="V122" i="39"/>
  <c r="U122" i="39"/>
  <c r="T122" i="39"/>
  <c r="S122" i="39"/>
  <c r="BC121" i="39"/>
  <c r="AS121" i="39"/>
  <c r="AR121" i="39"/>
  <c r="AH121" i="39"/>
  <c r="AZ121" i="39" s="1"/>
  <c r="AB121" i="39"/>
  <c r="AW121" i="39" s="1"/>
  <c r="X121" i="39"/>
  <c r="R121" i="39"/>
  <c r="AZ120" i="39"/>
  <c r="AS120" i="39"/>
  <c r="BC120" i="39" s="1"/>
  <c r="AR120" i="39"/>
  <c r="BB120" i="39" s="1"/>
  <c r="AH120" i="39"/>
  <c r="AD120" i="39"/>
  <c r="AX120" i="39" s="1"/>
  <c r="AB120" i="39"/>
  <c r="AW120" i="39" s="1"/>
  <c r="R120" i="39"/>
  <c r="X120" i="39" s="1"/>
  <c r="AV120" i="39" s="1"/>
  <c r="BC119" i="39"/>
  <c r="BB119" i="39"/>
  <c r="BA119" i="39"/>
  <c r="AT119" i="39"/>
  <c r="AS119" i="39"/>
  <c r="AR119" i="39"/>
  <c r="AH119" i="39"/>
  <c r="AZ119" i="39" s="1"/>
  <c r="AB119" i="39"/>
  <c r="R119" i="39"/>
  <c r="X119" i="39" s="1"/>
  <c r="BC118" i="39"/>
  <c r="AW118" i="39"/>
  <c r="AS118" i="39"/>
  <c r="AR118" i="39"/>
  <c r="AH118" i="39"/>
  <c r="AH122" i="39" s="1"/>
  <c r="AB118" i="39"/>
  <c r="X118" i="39"/>
  <c r="R118" i="39"/>
  <c r="R122" i="39" s="1"/>
  <c r="AQ117" i="39"/>
  <c r="AP117" i="39"/>
  <c r="AO117" i="39"/>
  <c r="AN117" i="39"/>
  <c r="AM117" i="39"/>
  <c r="AL117" i="39"/>
  <c r="AK117" i="39"/>
  <c r="AJ117" i="39"/>
  <c r="AG117" i="39"/>
  <c r="AF117" i="39"/>
  <c r="AA117" i="39"/>
  <c r="Z117" i="39"/>
  <c r="Y117" i="39"/>
  <c r="X117" i="39"/>
  <c r="W117" i="39"/>
  <c r="V117" i="39"/>
  <c r="U117" i="39"/>
  <c r="T117" i="39"/>
  <c r="S117" i="39"/>
  <c r="R117" i="39"/>
  <c r="BC116" i="39"/>
  <c r="BB116" i="39"/>
  <c r="AW116" i="39"/>
  <c r="AT116" i="39"/>
  <c r="BA116" i="39" s="1"/>
  <c r="AS116" i="39"/>
  <c r="AR116" i="39"/>
  <c r="AH116" i="39"/>
  <c r="AZ116" i="39" s="1"/>
  <c r="AB116" i="39"/>
  <c r="R116" i="39"/>
  <c r="X116" i="39" s="1"/>
  <c r="BB115" i="39"/>
  <c r="BB117" i="39" s="1"/>
  <c r="AW115" i="39"/>
  <c r="AW117" i="39" s="1"/>
  <c r="AS115" i="39"/>
  <c r="BC115" i="39" s="1"/>
  <c r="BC117" i="39" s="1"/>
  <c r="AR115" i="39"/>
  <c r="AR117" i="39" s="1"/>
  <c r="AH115" i="39"/>
  <c r="AB115" i="39"/>
  <c r="AB117" i="39" s="1"/>
  <c r="R115" i="39"/>
  <c r="X115" i="39" s="1"/>
  <c r="AQ114" i="39"/>
  <c r="AP114" i="39"/>
  <c r="AO114" i="39"/>
  <c r="AN114" i="39"/>
  <c r="AM114" i="39"/>
  <c r="AL114" i="39"/>
  <c r="AK114" i="39"/>
  <c r="AJ114" i="39"/>
  <c r="AG114" i="39"/>
  <c r="AF114" i="39"/>
  <c r="AA114" i="39"/>
  <c r="Z114" i="39"/>
  <c r="Y114" i="39"/>
  <c r="W114" i="39"/>
  <c r="V114" i="39"/>
  <c r="U114" i="39"/>
  <c r="T114" i="39"/>
  <c r="S114" i="39"/>
  <c r="BC113" i="39"/>
  <c r="BB113" i="39"/>
  <c r="AZ113" i="39"/>
  <c r="AS113" i="39"/>
  <c r="AR113" i="39"/>
  <c r="AT113" i="39" s="1"/>
  <c r="BA113" i="39" s="1"/>
  <c r="AH113" i="39"/>
  <c r="AE113" i="39"/>
  <c r="AY113" i="39" s="1"/>
  <c r="AB113" i="39"/>
  <c r="AW113" i="39" s="1"/>
  <c r="X113" i="39"/>
  <c r="AC113" i="39" s="1"/>
  <c r="R113" i="39"/>
  <c r="BB112" i="39"/>
  <c r="AZ112" i="39"/>
  <c r="AT112" i="39"/>
  <c r="BA112" i="39" s="1"/>
  <c r="AS112" i="39"/>
  <c r="BC112" i="39" s="1"/>
  <c r="AR112" i="39"/>
  <c r="AH112" i="39"/>
  <c r="AB112" i="39"/>
  <c r="AW112" i="39" s="1"/>
  <c r="R112" i="39"/>
  <c r="X112" i="39" s="1"/>
  <c r="AC112" i="39" s="1"/>
  <c r="AZ111" i="39"/>
  <c r="AV111" i="39"/>
  <c r="AS111" i="39"/>
  <c r="BC111" i="39" s="1"/>
  <c r="AR111" i="39"/>
  <c r="BB111" i="39" s="1"/>
  <c r="AH111" i="39"/>
  <c r="AE111" i="39"/>
  <c r="AY111" i="39" s="1"/>
  <c r="AB111" i="39"/>
  <c r="AW111" i="39" s="1"/>
  <c r="R111" i="39"/>
  <c r="X111" i="39" s="1"/>
  <c r="AD111" i="39" s="1"/>
  <c r="AX111" i="39" s="1"/>
  <c r="BC110" i="39"/>
  <c r="AS110" i="39"/>
  <c r="AR110" i="39"/>
  <c r="AH110" i="39"/>
  <c r="AZ110" i="39" s="1"/>
  <c r="AB110" i="39"/>
  <c r="AW110" i="39" s="1"/>
  <c r="R110" i="39"/>
  <c r="X110" i="39" s="1"/>
  <c r="BC109" i="39"/>
  <c r="AZ109" i="39"/>
  <c r="AW109" i="39"/>
  <c r="AT109" i="39"/>
  <c r="BA109" i="39" s="1"/>
  <c r="AS109" i="39"/>
  <c r="AR109" i="39"/>
  <c r="AH109" i="39"/>
  <c r="AD109" i="39"/>
  <c r="AX109" i="39" s="1"/>
  <c r="AB109" i="39"/>
  <c r="X109" i="39"/>
  <c r="AC109" i="39" s="1"/>
  <c r="R109" i="39"/>
  <c r="BB108" i="39"/>
  <c r="AS108" i="39"/>
  <c r="AS114" i="39" s="1"/>
  <c r="AR108" i="39"/>
  <c r="AH108" i="39"/>
  <c r="AB108" i="39"/>
  <c r="AW108" i="39" s="1"/>
  <c r="R108" i="39"/>
  <c r="AR107" i="39"/>
  <c r="AQ107" i="39"/>
  <c r="AP107" i="39"/>
  <c r="AO107" i="39"/>
  <c r="AN107" i="39"/>
  <c r="AM107" i="39"/>
  <c r="AL107" i="39"/>
  <c r="AK107" i="39"/>
  <c r="AJ107" i="39"/>
  <c r="AG107" i="39"/>
  <c r="AF107" i="39"/>
  <c r="AA107" i="39"/>
  <c r="Z107" i="39"/>
  <c r="Y107" i="39"/>
  <c r="W107" i="39"/>
  <c r="V107" i="39"/>
  <c r="U107" i="39"/>
  <c r="T107" i="39"/>
  <c r="S107" i="39"/>
  <c r="BC106" i="39"/>
  <c r="AZ106" i="39"/>
  <c r="AW106" i="39"/>
  <c r="AT106" i="39"/>
  <c r="BA106" i="39" s="1"/>
  <c r="AS106" i="39"/>
  <c r="AR106" i="39"/>
  <c r="BB106" i="39" s="1"/>
  <c r="AH106" i="39"/>
  <c r="AD106" i="39"/>
  <c r="AX106" i="39" s="1"/>
  <c r="AB106" i="39"/>
  <c r="X106" i="39"/>
  <c r="AC106" i="39" s="1"/>
  <c r="R106" i="39"/>
  <c r="BB105" i="39"/>
  <c r="AS105" i="39"/>
  <c r="AT105" i="39" s="1"/>
  <c r="BA105" i="39" s="1"/>
  <c r="AR105" i="39"/>
  <c r="AH105" i="39"/>
  <c r="AZ105" i="39" s="1"/>
  <c r="AB105" i="39"/>
  <c r="AW105" i="39" s="1"/>
  <c r="R105" i="39"/>
  <c r="X105" i="39" s="1"/>
  <c r="AV105" i="39" s="1"/>
  <c r="BC104" i="39"/>
  <c r="AS104" i="39"/>
  <c r="AR104" i="39"/>
  <c r="AH104" i="39"/>
  <c r="AZ104" i="39" s="1"/>
  <c r="AB104" i="39"/>
  <c r="AW104" i="39" s="1"/>
  <c r="R104" i="39"/>
  <c r="X104" i="39" s="1"/>
  <c r="BC103" i="39"/>
  <c r="AZ103" i="39"/>
  <c r="AW103" i="39"/>
  <c r="AT103" i="39"/>
  <c r="BA103" i="39" s="1"/>
  <c r="AS103" i="39"/>
  <c r="AR103" i="39"/>
  <c r="BB103" i="39" s="1"/>
  <c r="AH103" i="39"/>
  <c r="AD103" i="39"/>
  <c r="AX103" i="39" s="1"/>
  <c r="AB103" i="39"/>
  <c r="X103" i="39"/>
  <c r="AC103" i="39" s="1"/>
  <c r="R103" i="39"/>
  <c r="BB102" i="39"/>
  <c r="AV102" i="39"/>
  <c r="AS102" i="39"/>
  <c r="AT102" i="39" s="1"/>
  <c r="BA102" i="39" s="1"/>
  <c r="AR102" i="39"/>
  <c r="AH102" i="39"/>
  <c r="AZ102" i="39" s="1"/>
  <c r="AB102" i="39"/>
  <c r="AW102" i="39" s="1"/>
  <c r="R102" i="39"/>
  <c r="X102" i="39" s="1"/>
  <c r="AS101" i="39"/>
  <c r="BC101" i="39" s="1"/>
  <c r="AR101" i="39"/>
  <c r="AH101" i="39"/>
  <c r="AB101" i="39"/>
  <c r="R101" i="39"/>
  <c r="X101" i="39" s="1"/>
  <c r="AQ100" i="39"/>
  <c r="AP100" i="39"/>
  <c r="AO100" i="39"/>
  <c r="AN100" i="39"/>
  <c r="AM100" i="39"/>
  <c r="AL100" i="39"/>
  <c r="AK100" i="39"/>
  <c r="AJ100" i="39"/>
  <c r="AH100" i="39"/>
  <c r="AG100" i="39"/>
  <c r="AF100" i="39"/>
  <c r="AA100" i="39"/>
  <c r="Z100" i="39"/>
  <c r="Y100" i="39"/>
  <c r="W100" i="39"/>
  <c r="V100" i="39"/>
  <c r="U100" i="39"/>
  <c r="T100" i="39"/>
  <c r="S100" i="39"/>
  <c r="BB99" i="39"/>
  <c r="AS99" i="39"/>
  <c r="BC99" i="39" s="1"/>
  <c r="AR99" i="39"/>
  <c r="AH99" i="39"/>
  <c r="AZ99" i="39" s="1"/>
  <c r="AC99" i="39"/>
  <c r="AB99" i="39"/>
  <c r="AW99" i="39" s="1"/>
  <c r="R99" i="39"/>
  <c r="X99" i="39" s="1"/>
  <c r="AS98" i="39"/>
  <c r="BC98" i="39" s="1"/>
  <c r="AR98" i="39"/>
  <c r="AH98" i="39"/>
  <c r="AZ98" i="39" s="1"/>
  <c r="AB98" i="39"/>
  <c r="AW98" i="39" s="1"/>
  <c r="R98" i="39"/>
  <c r="X98" i="39" s="1"/>
  <c r="BC97" i="39"/>
  <c r="AZ97" i="39"/>
  <c r="AW97" i="39"/>
  <c r="AT97" i="39"/>
  <c r="BA97" i="39" s="1"/>
  <c r="AS97" i="39"/>
  <c r="AR97" i="39"/>
  <c r="BB97" i="39" s="1"/>
  <c r="AH97" i="39"/>
  <c r="AB97" i="39"/>
  <c r="X97" i="39"/>
  <c r="AD97" i="39" s="1"/>
  <c r="AX97" i="39" s="1"/>
  <c r="R97" i="39"/>
  <c r="BB96" i="39"/>
  <c r="AW96" i="39"/>
  <c r="AS96" i="39"/>
  <c r="AR96" i="39"/>
  <c r="AH96" i="39"/>
  <c r="AZ96" i="39" s="1"/>
  <c r="AZ100" i="39" s="1"/>
  <c r="AB96" i="39"/>
  <c r="R96" i="39"/>
  <c r="X96" i="39" s="1"/>
  <c r="AC96" i="39" s="1"/>
  <c r="AS95" i="39"/>
  <c r="BC95" i="39" s="1"/>
  <c r="AR95" i="39"/>
  <c r="AH95" i="39"/>
  <c r="AZ95" i="39" s="1"/>
  <c r="AB95" i="39"/>
  <c r="R95" i="39"/>
  <c r="X95" i="39" s="1"/>
  <c r="BC94" i="39"/>
  <c r="AZ94" i="39"/>
  <c r="AW94" i="39"/>
  <c r="AT94" i="39"/>
  <c r="AS94" i="39"/>
  <c r="AS100" i="39" s="1"/>
  <c r="AR94" i="39"/>
  <c r="AR100" i="39" s="1"/>
  <c r="AH94" i="39"/>
  <c r="AD94" i="39"/>
  <c r="AB94" i="39"/>
  <c r="X94" i="39"/>
  <c r="R94" i="39"/>
  <c r="AQ93" i="39"/>
  <c r="AP93" i="39"/>
  <c r="AO93" i="39"/>
  <c r="AN93" i="39"/>
  <c r="AM93" i="39"/>
  <c r="AL93" i="39"/>
  <c r="AK93" i="39"/>
  <c r="AJ93" i="39"/>
  <c r="AG93" i="39"/>
  <c r="AF93" i="39"/>
  <c r="AA93" i="39"/>
  <c r="Z93" i="39"/>
  <c r="Y93" i="39"/>
  <c r="W93" i="39"/>
  <c r="V93" i="39"/>
  <c r="U93" i="39"/>
  <c r="T93" i="39"/>
  <c r="S93" i="39"/>
  <c r="BC92" i="39"/>
  <c r="BB92" i="39"/>
  <c r="AW92" i="39"/>
  <c r="AS92" i="39"/>
  <c r="AR92" i="39"/>
  <c r="AT92" i="39" s="1"/>
  <c r="BA92" i="39" s="1"/>
  <c r="AH92" i="39"/>
  <c r="AZ92" i="39" s="1"/>
  <c r="AB92" i="39"/>
  <c r="X92" i="39"/>
  <c r="R92" i="39"/>
  <c r="AZ91" i="39"/>
  <c r="AY91" i="39"/>
  <c r="AS91" i="39"/>
  <c r="BC91" i="39" s="1"/>
  <c r="AR91" i="39"/>
  <c r="AT91" i="39" s="1"/>
  <c r="BA91" i="39" s="1"/>
  <c r="AH91" i="39"/>
  <c r="AE91" i="39"/>
  <c r="AC91" i="39"/>
  <c r="AI91" i="39" s="1"/>
  <c r="AU91" i="39" s="1"/>
  <c r="AB91" i="39"/>
  <c r="AW91" i="39" s="1"/>
  <c r="X91" i="39"/>
  <c r="AD91" i="39" s="1"/>
  <c r="AX91" i="39" s="1"/>
  <c r="R91" i="39"/>
  <c r="BC90" i="39"/>
  <c r="BB90" i="39"/>
  <c r="BA90" i="39"/>
  <c r="AZ90" i="39"/>
  <c r="AW90" i="39"/>
  <c r="AT90" i="39"/>
  <c r="AS90" i="39"/>
  <c r="AR90" i="39"/>
  <c r="AH90" i="39"/>
  <c r="AE90" i="39"/>
  <c r="AY90" i="39" s="1"/>
  <c r="AD90" i="39"/>
  <c r="AX90" i="39" s="1"/>
  <c r="AB90" i="39"/>
  <c r="X90" i="39"/>
  <c r="AV90" i="39" s="1"/>
  <c r="R90" i="39"/>
  <c r="BC89" i="39"/>
  <c r="BB89" i="39"/>
  <c r="AW89" i="39"/>
  <c r="AS89" i="39"/>
  <c r="AR89" i="39"/>
  <c r="AT89" i="39" s="1"/>
  <c r="BA89" i="39" s="1"/>
  <c r="AH89" i="39"/>
  <c r="AH93" i="39" s="1"/>
  <c r="AB89" i="39"/>
  <c r="X89" i="39"/>
  <c r="R89" i="39"/>
  <c r="AZ88" i="39"/>
  <c r="AY88" i="39"/>
  <c r="AS88" i="39"/>
  <c r="BC88" i="39" s="1"/>
  <c r="AR88" i="39"/>
  <c r="AT88" i="39" s="1"/>
  <c r="BA88" i="39" s="1"/>
  <c r="AH88" i="39"/>
  <c r="AE88" i="39"/>
  <c r="AC88" i="39"/>
  <c r="AI88" i="39" s="1"/>
  <c r="AU88" i="39" s="1"/>
  <c r="AB88" i="39"/>
  <c r="AB93" i="39" s="1"/>
  <c r="X88" i="39"/>
  <c r="AD88" i="39" s="1"/>
  <c r="AX88" i="39" s="1"/>
  <c r="R88" i="39"/>
  <c r="BC87" i="39"/>
  <c r="BC93" i="39" s="1"/>
  <c r="BB87" i="39"/>
  <c r="BA87" i="39"/>
  <c r="BA93" i="39" s="1"/>
  <c r="AZ87" i="39"/>
  <c r="AW87" i="39"/>
  <c r="AT87" i="39"/>
  <c r="AS87" i="39"/>
  <c r="AS93" i="39" s="1"/>
  <c r="AR87" i="39"/>
  <c r="AR93" i="39" s="1"/>
  <c r="AH87" i="39"/>
  <c r="AE87" i="39"/>
  <c r="AD87" i="39"/>
  <c r="AB87" i="39"/>
  <c r="X87" i="39"/>
  <c r="X93" i="39" s="1"/>
  <c r="R87" i="39"/>
  <c r="R93" i="39" s="1"/>
  <c r="AQ86" i="39"/>
  <c r="AP86" i="39"/>
  <c r="AO86" i="39"/>
  <c r="AN86" i="39"/>
  <c r="AM86" i="39"/>
  <c r="AL86" i="39"/>
  <c r="AK86" i="39"/>
  <c r="AJ86" i="39"/>
  <c r="AG86" i="39"/>
  <c r="AF86" i="39"/>
  <c r="AA86" i="39"/>
  <c r="Z86" i="39"/>
  <c r="Y86" i="39"/>
  <c r="W86" i="39"/>
  <c r="V86" i="39"/>
  <c r="U86" i="39"/>
  <c r="T86" i="39"/>
  <c r="S86" i="39"/>
  <c r="AZ85" i="39"/>
  <c r="AY85" i="39"/>
  <c r="AS85" i="39"/>
  <c r="BC85" i="39" s="1"/>
  <c r="AR85" i="39"/>
  <c r="AH85" i="39"/>
  <c r="AE85" i="39"/>
  <c r="AC85" i="39"/>
  <c r="AB85" i="39"/>
  <c r="AW85" i="39" s="1"/>
  <c r="X85" i="39"/>
  <c r="AD85" i="39" s="1"/>
  <c r="AX85" i="39" s="1"/>
  <c r="R85" i="39"/>
  <c r="BC84" i="39"/>
  <c r="BA84" i="39"/>
  <c r="AZ84" i="39"/>
  <c r="AW84" i="39"/>
  <c r="AT84" i="39"/>
  <c r="AS84" i="39"/>
  <c r="AR84" i="39"/>
  <c r="BB84" i="39" s="1"/>
  <c r="AH84" i="39"/>
  <c r="AE84" i="39"/>
  <c r="AY84" i="39" s="1"/>
  <c r="AD84" i="39"/>
  <c r="AX84" i="39" s="1"/>
  <c r="AB84" i="39"/>
  <c r="X84" i="39"/>
  <c r="AV84" i="39" s="1"/>
  <c r="R84" i="39"/>
  <c r="BC83" i="39"/>
  <c r="BB83" i="39"/>
  <c r="AW83" i="39"/>
  <c r="AS83" i="39"/>
  <c r="AR83" i="39"/>
  <c r="AT83" i="39" s="1"/>
  <c r="BA83" i="39" s="1"/>
  <c r="AH83" i="39"/>
  <c r="AZ83" i="39" s="1"/>
  <c r="AB83" i="39"/>
  <c r="X83" i="39"/>
  <c r="R83" i="39"/>
  <c r="AY82" i="39"/>
  <c r="AS82" i="39"/>
  <c r="BC82" i="39" s="1"/>
  <c r="AR82" i="39"/>
  <c r="AT82" i="39" s="1"/>
  <c r="BA82" i="39" s="1"/>
  <c r="AH82" i="39"/>
  <c r="AZ82" i="39" s="1"/>
  <c r="AE82" i="39"/>
  <c r="AC82" i="39"/>
  <c r="AI82" i="39" s="1"/>
  <c r="AU82" i="39" s="1"/>
  <c r="AB82" i="39"/>
  <c r="AW82" i="39" s="1"/>
  <c r="X82" i="39"/>
  <c r="AD82" i="39" s="1"/>
  <c r="AX82" i="39" s="1"/>
  <c r="R82" i="39"/>
  <c r="BC81" i="39"/>
  <c r="BA81" i="39"/>
  <c r="AZ81" i="39"/>
  <c r="AW81" i="39"/>
  <c r="AT81" i="39"/>
  <c r="AS81" i="39"/>
  <c r="AR81" i="39"/>
  <c r="BB81" i="39" s="1"/>
  <c r="AH81" i="39"/>
  <c r="AE81" i="39"/>
  <c r="AY81" i="39" s="1"/>
  <c r="AD81" i="39"/>
  <c r="AX81" i="39" s="1"/>
  <c r="AB81" i="39"/>
  <c r="X81" i="39"/>
  <c r="AV81" i="39" s="1"/>
  <c r="R81" i="39"/>
  <c r="BC80" i="39"/>
  <c r="BC86" i="39" s="1"/>
  <c r="BB80" i="39"/>
  <c r="AW80" i="39"/>
  <c r="AW86" i="39" s="1"/>
  <c r="AS80" i="39"/>
  <c r="AR80" i="39"/>
  <c r="AR86" i="39" s="1"/>
  <c r="AH80" i="39"/>
  <c r="AH86" i="39" s="1"/>
  <c r="AB80" i="39"/>
  <c r="AB86" i="39" s="1"/>
  <c r="X80" i="39"/>
  <c r="R80" i="39"/>
  <c r="R86" i="39" s="1"/>
  <c r="AS79" i="39"/>
  <c r="AQ79" i="39"/>
  <c r="AP79" i="39"/>
  <c r="AO79" i="39"/>
  <c r="AN79" i="39"/>
  <c r="AM79" i="39"/>
  <c r="AL79" i="39"/>
  <c r="AK79" i="39"/>
  <c r="AJ79" i="39"/>
  <c r="AG79" i="39"/>
  <c r="AF79" i="39"/>
  <c r="AA79" i="39"/>
  <c r="Z79" i="39"/>
  <c r="Y79" i="39"/>
  <c r="W79" i="39"/>
  <c r="V79" i="39"/>
  <c r="U79" i="39"/>
  <c r="T79" i="39"/>
  <c r="S79" i="39"/>
  <c r="BA78" i="39"/>
  <c r="AZ78" i="39"/>
  <c r="AT78" i="39"/>
  <c r="AS78" i="39"/>
  <c r="BC78" i="39" s="1"/>
  <c r="AR78" i="39"/>
  <c r="BB78" i="39" s="1"/>
  <c r="AH78" i="39"/>
  <c r="AB78" i="39"/>
  <c r="AW78" i="39" s="1"/>
  <c r="R78" i="39"/>
  <c r="X78" i="39" s="1"/>
  <c r="AE78" i="39" s="1"/>
  <c r="AY78" i="39" s="1"/>
  <c r="BC77" i="39"/>
  <c r="BB77" i="39"/>
  <c r="AW77" i="39"/>
  <c r="AS77" i="39"/>
  <c r="AR77" i="39"/>
  <c r="AT77" i="39" s="1"/>
  <c r="BA77" i="39" s="1"/>
  <c r="AH77" i="39"/>
  <c r="AZ77" i="39" s="1"/>
  <c r="AB77" i="39"/>
  <c r="X77" i="39"/>
  <c r="R77" i="39"/>
  <c r="AS76" i="39"/>
  <c r="BC76" i="39" s="1"/>
  <c r="AR76" i="39"/>
  <c r="AT76" i="39" s="1"/>
  <c r="BA76" i="39" s="1"/>
  <c r="AH76" i="39"/>
  <c r="AZ76" i="39" s="1"/>
  <c r="AC76" i="39"/>
  <c r="AB76" i="39"/>
  <c r="AW76" i="39" s="1"/>
  <c r="X76" i="39"/>
  <c r="AE76" i="39" s="1"/>
  <c r="AY76" i="39" s="1"/>
  <c r="R76" i="39"/>
  <c r="BA75" i="39"/>
  <c r="AZ75" i="39"/>
  <c r="AT75" i="39"/>
  <c r="AS75" i="39"/>
  <c r="BC75" i="39" s="1"/>
  <c r="AR75" i="39"/>
  <c r="BB75" i="39" s="1"/>
  <c r="AH75" i="39"/>
  <c r="AE75" i="39"/>
  <c r="AY75" i="39" s="1"/>
  <c r="AB75" i="39"/>
  <c r="AW75" i="39" s="1"/>
  <c r="R75" i="39"/>
  <c r="X75" i="39" s="1"/>
  <c r="BC74" i="39"/>
  <c r="BB74" i="39"/>
  <c r="AW74" i="39"/>
  <c r="AS74" i="39"/>
  <c r="AR74" i="39"/>
  <c r="AT74" i="39" s="1"/>
  <c r="BA74" i="39" s="1"/>
  <c r="AH74" i="39"/>
  <c r="AZ74" i="39" s="1"/>
  <c r="AB74" i="39"/>
  <c r="X74" i="39"/>
  <c r="R74" i="39"/>
  <c r="AS73" i="39"/>
  <c r="BC73" i="39" s="1"/>
  <c r="AR73" i="39"/>
  <c r="AT73" i="39" s="1"/>
  <c r="AH73" i="39"/>
  <c r="AH79" i="39" s="1"/>
  <c r="AB73" i="39"/>
  <c r="AB79" i="39" s="1"/>
  <c r="R73" i="39"/>
  <c r="X73" i="39" s="1"/>
  <c r="AQ72" i="39"/>
  <c r="AP72" i="39"/>
  <c r="AO72" i="39"/>
  <c r="AN72" i="39"/>
  <c r="AM72" i="39"/>
  <c r="AL72" i="39"/>
  <c r="AK72" i="39"/>
  <c r="AJ72" i="39"/>
  <c r="AG72" i="39"/>
  <c r="AF72" i="39"/>
  <c r="AA72" i="39"/>
  <c r="Z72" i="39"/>
  <c r="Y72" i="39"/>
  <c r="W72" i="39"/>
  <c r="V72" i="39"/>
  <c r="U72" i="39"/>
  <c r="T72" i="39"/>
  <c r="S72" i="39"/>
  <c r="BC71" i="39"/>
  <c r="BB71" i="39"/>
  <c r="AW71" i="39"/>
  <c r="AS71" i="39"/>
  <c r="AR71" i="39"/>
  <c r="AT71" i="39" s="1"/>
  <c r="BA71" i="39" s="1"/>
  <c r="AH71" i="39"/>
  <c r="AZ71" i="39" s="1"/>
  <c r="AB71" i="39"/>
  <c r="X71" i="39"/>
  <c r="R71" i="39"/>
  <c r="AS70" i="39"/>
  <c r="BC70" i="39" s="1"/>
  <c r="AR70" i="39"/>
  <c r="AT70" i="39" s="1"/>
  <c r="BA70" i="39" s="1"/>
  <c r="AH70" i="39"/>
  <c r="AZ70" i="39" s="1"/>
  <c r="AB70" i="39"/>
  <c r="AW70" i="39" s="1"/>
  <c r="R70" i="39"/>
  <c r="X70" i="39" s="1"/>
  <c r="AC70" i="39" s="1"/>
  <c r="BA69" i="39"/>
  <c r="AZ69" i="39"/>
  <c r="AT69" i="39"/>
  <c r="AS69" i="39"/>
  <c r="BC69" i="39" s="1"/>
  <c r="AR69" i="39"/>
  <c r="BB69" i="39" s="1"/>
  <c r="AH69" i="39"/>
  <c r="AE69" i="39"/>
  <c r="AY69" i="39" s="1"/>
  <c r="AB69" i="39"/>
  <c r="AW69" i="39" s="1"/>
  <c r="R69" i="39"/>
  <c r="X69" i="39" s="1"/>
  <c r="BC68" i="39"/>
  <c r="BB68" i="39"/>
  <c r="AW68" i="39"/>
  <c r="AS68" i="39"/>
  <c r="AR68" i="39"/>
  <c r="AT68" i="39" s="1"/>
  <c r="BA68" i="39" s="1"/>
  <c r="AH68" i="39"/>
  <c r="AZ68" i="39" s="1"/>
  <c r="AB68" i="39"/>
  <c r="X68" i="39"/>
  <c r="R68" i="39"/>
  <c r="AS67" i="39"/>
  <c r="BC67" i="39" s="1"/>
  <c r="AR67" i="39"/>
  <c r="AT67" i="39" s="1"/>
  <c r="BA67" i="39" s="1"/>
  <c r="AH67" i="39"/>
  <c r="AZ67" i="39" s="1"/>
  <c r="AB67" i="39"/>
  <c r="AW67" i="39" s="1"/>
  <c r="R67" i="39"/>
  <c r="X67" i="39" s="1"/>
  <c r="AS66" i="39"/>
  <c r="BC66" i="39" s="1"/>
  <c r="AR66" i="39"/>
  <c r="BB66" i="39" s="1"/>
  <c r="AH66" i="39"/>
  <c r="AH72" i="39" s="1"/>
  <c r="AE66" i="39"/>
  <c r="AB66" i="39"/>
  <c r="AW66" i="39" s="1"/>
  <c r="X66" i="39"/>
  <c r="R66" i="39"/>
  <c r="R72" i="39" s="1"/>
  <c r="AQ65" i="39"/>
  <c r="AP65" i="39"/>
  <c r="AO65" i="39"/>
  <c r="AN65" i="39"/>
  <c r="AM65" i="39"/>
  <c r="AL65" i="39"/>
  <c r="AK65" i="39"/>
  <c r="AJ65" i="39"/>
  <c r="AG65" i="39"/>
  <c r="AF65" i="39"/>
  <c r="AA65" i="39"/>
  <c r="Z65" i="39"/>
  <c r="Y65" i="39"/>
  <c r="W65" i="39"/>
  <c r="V65" i="39"/>
  <c r="U65" i="39"/>
  <c r="T65" i="39"/>
  <c r="S65" i="39"/>
  <c r="BB64" i="39"/>
  <c r="AZ64" i="39"/>
  <c r="AY64" i="39"/>
  <c r="AW64" i="39"/>
  <c r="AT64" i="39"/>
  <c r="BA64" i="39" s="1"/>
  <c r="AS64" i="39"/>
  <c r="BC64" i="39" s="1"/>
  <c r="AR64" i="39"/>
  <c r="AH64" i="39"/>
  <c r="AE64" i="39"/>
  <c r="AD64" i="39"/>
  <c r="AX64" i="39" s="1"/>
  <c r="AC64" i="39"/>
  <c r="AI64" i="39" s="1"/>
  <c r="AU64" i="39" s="1"/>
  <c r="AB64" i="39"/>
  <c r="X64" i="39"/>
  <c r="AV64" i="39" s="1"/>
  <c r="R64" i="39"/>
  <c r="BB63" i="39"/>
  <c r="AW63" i="39"/>
  <c r="AS63" i="39"/>
  <c r="BC63" i="39" s="1"/>
  <c r="AR63" i="39"/>
  <c r="AT63" i="39" s="1"/>
  <c r="BA63" i="39" s="1"/>
  <c r="AH63" i="39"/>
  <c r="AZ63" i="39" s="1"/>
  <c r="AB63" i="39"/>
  <c r="R63" i="39"/>
  <c r="X63" i="39" s="1"/>
  <c r="AV63" i="39" s="1"/>
  <c r="BC62" i="39"/>
  <c r="AZ62" i="39"/>
  <c r="AS62" i="39"/>
  <c r="AR62" i="39"/>
  <c r="AH62" i="39"/>
  <c r="AB62" i="39"/>
  <c r="AW62" i="39" s="1"/>
  <c r="X62" i="39"/>
  <c r="AE62" i="39" s="1"/>
  <c r="AY62" i="39" s="1"/>
  <c r="R62" i="39"/>
  <c r="BB61" i="39"/>
  <c r="AZ61" i="39"/>
  <c r="AW61" i="39"/>
  <c r="AT61" i="39"/>
  <c r="BA61" i="39" s="1"/>
  <c r="AS61" i="39"/>
  <c r="BC61" i="39" s="1"/>
  <c r="AR61" i="39"/>
  <c r="AH61" i="39"/>
  <c r="AD61" i="39"/>
  <c r="AX61" i="39" s="1"/>
  <c r="AC61" i="39"/>
  <c r="AB61" i="39"/>
  <c r="X61" i="39"/>
  <c r="AV61" i="39" s="1"/>
  <c r="R61" i="39"/>
  <c r="BB60" i="39"/>
  <c r="AW60" i="39"/>
  <c r="AV60" i="39"/>
  <c r="AS60" i="39"/>
  <c r="BC60" i="39" s="1"/>
  <c r="AR60" i="39"/>
  <c r="AT60" i="39" s="1"/>
  <c r="BA60" i="39" s="1"/>
  <c r="AH60" i="39"/>
  <c r="AB60" i="39"/>
  <c r="R60" i="39"/>
  <c r="X60" i="39" s="1"/>
  <c r="BC59" i="39"/>
  <c r="BC65" i="39" s="1"/>
  <c r="AZ59" i="39"/>
  <c r="AS59" i="39"/>
  <c r="AR59" i="39"/>
  <c r="AH59" i="39"/>
  <c r="AB59" i="39"/>
  <c r="X59" i="39"/>
  <c r="AE59" i="39" s="1"/>
  <c r="R59" i="39"/>
  <c r="R65" i="39" s="1"/>
  <c r="AS58" i="39"/>
  <c r="AQ58" i="39"/>
  <c r="AP58" i="39"/>
  <c r="AO58" i="39"/>
  <c r="AN58" i="39"/>
  <c r="AM58" i="39"/>
  <c r="AL58" i="39"/>
  <c r="AK58" i="39"/>
  <c r="AJ58" i="39"/>
  <c r="AG58" i="39"/>
  <c r="AF58" i="39"/>
  <c r="AB58" i="39"/>
  <c r="AA58" i="39"/>
  <c r="Z58" i="39"/>
  <c r="Y58" i="39"/>
  <c r="W58" i="39"/>
  <c r="V58" i="39"/>
  <c r="U58" i="39"/>
  <c r="T58" i="39"/>
  <c r="S58" i="39"/>
  <c r="BB57" i="39"/>
  <c r="BB58" i="39" s="1"/>
  <c r="AS57" i="39"/>
  <c r="BC57" i="39" s="1"/>
  <c r="BC58" i="39" s="1"/>
  <c r="AR57" i="39"/>
  <c r="AR58" i="39" s="1"/>
  <c r="AH57" i="39"/>
  <c r="AZ57" i="39" s="1"/>
  <c r="AZ58" i="39" s="1"/>
  <c r="AB57" i="39"/>
  <c r="AW57" i="39" s="1"/>
  <c r="AW58" i="39" s="1"/>
  <c r="R57" i="39"/>
  <c r="AQ56" i="39"/>
  <c r="AP56" i="39"/>
  <c r="AO56" i="39"/>
  <c r="AN56" i="39"/>
  <c r="AM56" i="39"/>
  <c r="AL56" i="39"/>
  <c r="AK56" i="39"/>
  <c r="AJ56" i="39"/>
  <c r="AG56" i="39"/>
  <c r="AF56" i="39"/>
  <c r="AA56" i="39"/>
  <c r="Z56" i="39"/>
  <c r="Y56" i="39"/>
  <c r="W56" i="39"/>
  <c r="V56" i="39"/>
  <c r="U56" i="39"/>
  <c r="T56" i="39"/>
  <c r="S56" i="39"/>
  <c r="BB55" i="39"/>
  <c r="AZ55" i="39"/>
  <c r="AW55" i="39"/>
  <c r="AT55" i="39"/>
  <c r="BA55" i="39" s="1"/>
  <c r="AS55" i="39"/>
  <c r="BC55" i="39" s="1"/>
  <c r="AR55" i="39"/>
  <c r="AH55" i="39"/>
  <c r="AD55" i="39"/>
  <c r="AX55" i="39" s="1"/>
  <c r="AC55" i="39"/>
  <c r="AB55" i="39"/>
  <c r="X55" i="39"/>
  <c r="AV55" i="39" s="1"/>
  <c r="R55" i="39"/>
  <c r="BB54" i="39"/>
  <c r="AV54" i="39"/>
  <c r="AS54" i="39"/>
  <c r="BC54" i="39" s="1"/>
  <c r="AR54" i="39"/>
  <c r="AT54" i="39" s="1"/>
  <c r="BA54" i="39" s="1"/>
  <c r="AH54" i="39"/>
  <c r="AZ54" i="39" s="1"/>
  <c r="AB54" i="39"/>
  <c r="AW54" i="39" s="1"/>
  <c r="R54" i="39"/>
  <c r="X54" i="39" s="1"/>
  <c r="BC53" i="39"/>
  <c r="AZ53" i="39"/>
  <c r="AS53" i="39"/>
  <c r="AR53" i="39"/>
  <c r="AH53" i="39"/>
  <c r="AB53" i="39"/>
  <c r="AW53" i="39" s="1"/>
  <c r="X53" i="39"/>
  <c r="AE53" i="39" s="1"/>
  <c r="AY53" i="39" s="1"/>
  <c r="R53" i="39"/>
  <c r="BB52" i="39"/>
  <c r="AZ52" i="39"/>
  <c r="AW52" i="39"/>
  <c r="AT52" i="39"/>
  <c r="BA52" i="39" s="1"/>
  <c r="AS52" i="39"/>
  <c r="BC52" i="39" s="1"/>
  <c r="AR52" i="39"/>
  <c r="AH52" i="39"/>
  <c r="AD52" i="39"/>
  <c r="AX52" i="39" s="1"/>
  <c r="AC52" i="39"/>
  <c r="AB52" i="39"/>
  <c r="X52" i="39"/>
  <c r="AV52" i="39" s="1"/>
  <c r="R52" i="39"/>
  <c r="BB51" i="39"/>
  <c r="AS51" i="39"/>
  <c r="AS56" i="39" s="1"/>
  <c r="AR51" i="39"/>
  <c r="AT51" i="39" s="1"/>
  <c r="AH51" i="39"/>
  <c r="AB51" i="39"/>
  <c r="AB56" i="39" s="1"/>
  <c r="R51" i="39"/>
  <c r="AQ50" i="39"/>
  <c r="AP50" i="39"/>
  <c r="AO50" i="39"/>
  <c r="AN50" i="39"/>
  <c r="AM50" i="39"/>
  <c r="AL50" i="39"/>
  <c r="AK50" i="39"/>
  <c r="AJ50" i="39"/>
  <c r="AG50" i="39"/>
  <c r="AF50" i="39"/>
  <c r="AA50" i="39"/>
  <c r="Z50" i="39"/>
  <c r="Y50" i="39"/>
  <c r="W50" i="39"/>
  <c r="V50" i="39"/>
  <c r="U50" i="39"/>
  <c r="T50" i="39"/>
  <c r="S50" i="39"/>
  <c r="BB49" i="39"/>
  <c r="AZ49" i="39"/>
  <c r="AW49" i="39"/>
  <c r="AT49" i="39"/>
  <c r="BA49" i="39" s="1"/>
  <c r="AS49" i="39"/>
  <c r="BC49" i="39" s="1"/>
  <c r="AR49" i="39"/>
  <c r="AH49" i="39"/>
  <c r="AD49" i="39"/>
  <c r="AX49" i="39" s="1"/>
  <c r="AC49" i="39"/>
  <c r="AB49" i="39"/>
  <c r="X49" i="39"/>
  <c r="AV49" i="39" s="1"/>
  <c r="R49" i="39"/>
  <c r="BB48" i="39"/>
  <c r="AV48" i="39"/>
  <c r="AS48" i="39"/>
  <c r="BC48" i="39" s="1"/>
  <c r="AR48" i="39"/>
  <c r="AT48" i="39" s="1"/>
  <c r="BA48" i="39" s="1"/>
  <c r="AH48" i="39"/>
  <c r="AB48" i="39"/>
  <c r="AW48" i="39" s="1"/>
  <c r="R48" i="39"/>
  <c r="X48" i="39" s="1"/>
  <c r="BC47" i="39"/>
  <c r="BC50" i="39" s="1"/>
  <c r="AZ47" i="39"/>
  <c r="AS47" i="39"/>
  <c r="AS50" i="39" s="1"/>
  <c r="AR47" i="39"/>
  <c r="AH47" i="39"/>
  <c r="AB47" i="39"/>
  <c r="X47" i="39"/>
  <c r="AE47" i="39" s="1"/>
  <c r="R47" i="39"/>
  <c r="AQ46" i="39"/>
  <c r="AP46" i="39"/>
  <c r="AO46" i="39"/>
  <c r="AN46" i="39"/>
  <c r="AM46" i="39"/>
  <c r="AL46" i="39"/>
  <c r="AK46" i="39"/>
  <c r="AJ46" i="39"/>
  <c r="AH46" i="39"/>
  <c r="AG46" i="39"/>
  <c r="AF46" i="39"/>
  <c r="AB46" i="39"/>
  <c r="AA46" i="39"/>
  <c r="Z46" i="39"/>
  <c r="Y46" i="39"/>
  <c r="W46" i="39"/>
  <c r="V46" i="39"/>
  <c r="U46" i="39"/>
  <c r="T46" i="39"/>
  <c r="S46" i="39"/>
  <c r="BB45" i="39"/>
  <c r="BB46" i="39" s="1"/>
  <c r="AS45" i="39"/>
  <c r="BC45" i="39" s="1"/>
  <c r="BC46" i="39" s="1"/>
  <c r="AR45" i="39"/>
  <c r="AR46" i="39" s="1"/>
  <c r="AH45" i="39"/>
  <c r="AZ45" i="39" s="1"/>
  <c r="AZ46" i="39" s="1"/>
  <c r="AB45" i="39"/>
  <c r="AW45" i="39" s="1"/>
  <c r="AW46" i="39" s="1"/>
  <c r="R45" i="39"/>
  <c r="AR44" i="39"/>
  <c r="AQ44" i="39"/>
  <c r="AP44" i="39"/>
  <c r="AO44" i="39"/>
  <c r="AN44" i="39"/>
  <c r="AM44" i="39"/>
  <c r="AL44" i="39"/>
  <c r="AK44" i="39"/>
  <c r="AJ44" i="39"/>
  <c r="AG44" i="39"/>
  <c r="AF44" i="39"/>
  <c r="AA44" i="39"/>
  <c r="Z44" i="39"/>
  <c r="Y44" i="39"/>
  <c r="W44" i="39"/>
  <c r="V44" i="39"/>
  <c r="U44" i="39"/>
  <c r="T44" i="39"/>
  <c r="S44" i="39"/>
  <c r="AZ43" i="39"/>
  <c r="AT43" i="39"/>
  <c r="AS43" i="39"/>
  <c r="AS135" i="39" s="1"/>
  <c r="AR43" i="39"/>
  <c r="AR135" i="39" s="1"/>
  <c r="AH43" i="39"/>
  <c r="AB43" i="39"/>
  <c r="AB135" i="39" s="1"/>
  <c r="R43" i="39"/>
  <c r="R44" i="39" s="1"/>
  <c r="AQ42" i="39"/>
  <c r="AP42" i="39"/>
  <c r="AO42" i="39"/>
  <c r="AN42" i="39"/>
  <c r="AM42" i="39"/>
  <c r="AL42" i="39"/>
  <c r="AK42" i="39"/>
  <c r="AJ42" i="39"/>
  <c r="AG42" i="39"/>
  <c r="AF42" i="39"/>
  <c r="AA42" i="39"/>
  <c r="Z42" i="39"/>
  <c r="Y42" i="39"/>
  <c r="W42" i="39"/>
  <c r="V42" i="39"/>
  <c r="U42" i="39"/>
  <c r="T42" i="39"/>
  <c r="S42" i="39"/>
  <c r="BC41" i="39"/>
  <c r="AT41" i="39"/>
  <c r="BA41" i="39" s="1"/>
  <c r="AS41" i="39"/>
  <c r="AR41" i="39"/>
  <c r="BB41" i="39" s="1"/>
  <c r="AH41" i="39"/>
  <c r="AZ41" i="39" s="1"/>
  <c r="AB41" i="39"/>
  <c r="AW41" i="39" s="1"/>
  <c r="R41" i="39"/>
  <c r="X41" i="39" s="1"/>
  <c r="AS40" i="39"/>
  <c r="BC40" i="39" s="1"/>
  <c r="AR40" i="39"/>
  <c r="AT40" i="39" s="1"/>
  <c r="BA40" i="39" s="1"/>
  <c r="AH40" i="39"/>
  <c r="AZ40" i="39" s="1"/>
  <c r="AB40" i="39"/>
  <c r="AW40" i="39" s="1"/>
  <c r="R40" i="39"/>
  <c r="X40" i="39" s="1"/>
  <c r="AZ39" i="39"/>
  <c r="AS39" i="39"/>
  <c r="BC39" i="39" s="1"/>
  <c r="AR39" i="39"/>
  <c r="AT39" i="39" s="1"/>
  <c r="BA39" i="39" s="1"/>
  <c r="AH39" i="39"/>
  <c r="AB39" i="39"/>
  <c r="AW39" i="39" s="1"/>
  <c r="X39" i="39"/>
  <c r="AE39" i="39" s="1"/>
  <c r="AY39" i="39" s="1"/>
  <c r="R39" i="39"/>
  <c r="BB38" i="39"/>
  <c r="AZ38" i="39"/>
  <c r="AW38" i="39"/>
  <c r="AT38" i="39"/>
  <c r="BA38" i="39" s="1"/>
  <c r="AS38" i="39"/>
  <c r="BC38" i="39" s="1"/>
  <c r="AR38" i="39"/>
  <c r="AH38" i="39"/>
  <c r="AB38" i="39"/>
  <c r="R38" i="39"/>
  <c r="X38" i="39" s="1"/>
  <c r="BC37" i="39"/>
  <c r="BB37" i="39"/>
  <c r="AS37" i="39"/>
  <c r="AR37" i="39"/>
  <c r="AR129" i="39" s="1"/>
  <c r="AH37" i="39"/>
  <c r="AH129" i="39" s="1"/>
  <c r="AB37" i="39"/>
  <c r="AB129" i="39" s="1"/>
  <c r="R37" i="39"/>
  <c r="R129" i="39" s="1"/>
  <c r="AQ36" i="39"/>
  <c r="AP36" i="39"/>
  <c r="AO36" i="39"/>
  <c r="AN36" i="39"/>
  <c r="AM36" i="39"/>
  <c r="AL36" i="39"/>
  <c r="AK36" i="39"/>
  <c r="AJ36" i="39"/>
  <c r="AG36" i="39"/>
  <c r="AF36" i="39"/>
  <c r="AA36" i="39"/>
  <c r="Z36" i="39"/>
  <c r="Y36" i="39"/>
  <c r="W36" i="39"/>
  <c r="V36" i="39"/>
  <c r="U36" i="39"/>
  <c r="T36" i="39"/>
  <c r="S36" i="39"/>
  <c r="BB35" i="39"/>
  <c r="AZ35" i="39"/>
  <c r="AW35" i="39"/>
  <c r="AT35" i="39"/>
  <c r="BA35" i="39" s="1"/>
  <c r="AS35" i="39"/>
  <c r="BC35" i="39" s="1"/>
  <c r="AR35" i="39"/>
  <c r="AH35" i="39"/>
  <c r="AB35" i="39"/>
  <c r="R35" i="39"/>
  <c r="X35" i="39" s="1"/>
  <c r="BC34" i="39"/>
  <c r="BB34" i="39"/>
  <c r="AS34" i="39"/>
  <c r="AR34" i="39"/>
  <c r="AT34" i="39" s="1"/>
  <c r="BA34" i="39" s="1"/>
  <c r="AH34" i="39"/>
  <c r="AZ34" i="39" s="1"/>
  <c r="AB34" i="39"/>
  <c r="AW34" i="39" s="1"/>
  <c r="R34" i="39"/>
  <c r="X34" i="39" s="1"/>
  <c r="AZ33" i="39"/>
  <c r="AX33" i="39"/>
  <c r="AS33" i="39"/>
  <c r="BC33" i="39" s="1"/>
  <c r="AR33" i="39"/>
  <c r="AT33" i="39" s="1"/>
  <c r="BA33" i="39" s="1"/>
  <c r="AH33" i="39"/>
  <c r="AD33" i="39"/>
  <c r="AB33" i="39"/>
  <c r="AW33" i="39" s="1"/>
  <c r="X33" i="39"/>
  <c r="AE33" i="39" s="1"/>
  <c r="AY33" i="39" s="1"/>
  <c r="R33" i="39"/>
  <c r="BB32" i="39"/>
  <c r="AZ32" i="39"/>
  <c r="AW32" i="39"/>
  <c r="AT32" i="39"/>
  <c r="BA32" i="39" s="1"/>
  <c r="AS32" i="39"/>
  <c r="BC32" i="39" s="1"/>
  <c r="AR32" i="39"/>
  <c r="AH32" i="39"/>
  <c r="AB32" i="39"/>
  <c r="R32" i="39"/>
  <c r="X32" i="39" s="1"/>
  <c r="BC31" i="39"/>
  <c r="BB31" i="39"/>
  <c r="AS31" i="39"/>
  <c r="AS36" i="39" s="1"/>
  <c r="AR31" i="39"/>
  <c r="AR36" i="39" s="1"/>
  <c r="AH31" i="39"/>
  <c r="AH36" i="39" s="1"/>
  <c r="AB31" i="39"/>
  <c r="AB36" i="39" s="1"/>
  <c r="R31" i="39"/>
  <c r="X31" i="39" s="1"/>
  <c r="AQ30" i="39"/>
  <c r="AP30" i="39"/>
  <c r="AO30" i="39"/>
  <c r="AN30" i="39"/>
  <c r="AM30" i="39"/>
  <c r="AL30" i="39"/>
  <c r="AK30" i="39"/>
  <c r="AJ30" i="39"/>
  <c r="AG30" i="39"/>
  <c r="AF30" i="39"/>
  <c r="AA30" i="39"/>
  <c r="Z30" i="39"/>
  <c r="Y30" i="39"/>
  <c r="W30" i="39"/>
  <c r="V30" i="39"/>
  <c r="U30" i="39"/>
  <c r="T30" i="39"/>
  <c r="S30" i="39"/>
  <c r="BB29" i="39"/>
  <c r="AZ29" i="39"/>
  <c r="AW29" i="39"/>
  <c r="AT29" i="39"/>
  <c r="BA29" i="39" s="1"/>
  <c r="AS29" i="39"/>
  <c r="BC29" i="39" s="1"/>
  <c r="AR29" i="39"/>
  <c r="AH29" i="39"/>
  <c r="AB29" i="39"/>
  <c r="R29" i="39"/>
  <c r="X29" i="39" s="1"/>
  <c r="BC28" i="39"/>
  <c r="BB28" i="39"/>
  <c r="AS28" i="39"/>
  <c r="AR28" i="39"/>
  <c r="AT28" i="39" s="1"/>
  <c r="BA28" i="39" s="1"/>
  <c r="AH28" i="39"/>
  <c r="AZ28" i="39" s="1"/>
  <c r="AB28" i="39"/>
  <c r="AW28" i="39" s="1"/>
  <c r="R28" i="39"/>
  <c r="X28" i="39" s="1"/>
  <c r="AZ27" i="39"/>
  <c r="AX27" i="39"/>
  <c r="AS27" i="39"/>
  <c r="BC27" i="39" s="1"/>
  <c r="AR27" i="39"/>
  <c r="AT27" i="39" s="1"/>
  <c r="BA27" i="39" s="1"/>
  <c r="AH27" i="39"/>
  <c r="AD27" i="39"/>
  <c r="AB27" i="39"/>
  <c r="AW27" i="39" s="1"/>
  <c r="X27" i="39"/>
  <c r="AE27" i="39" s="1"/>
  <c r="AY27" i="39" s="1"/>
  <c r="R27" i="39"/>
  <c r="BB26" i="39"/>
  <c r="AZ26" i="39"/>
  <c r="AW26" i="39"/>
  <c r="AT26" i="39"/>
  <c r="BA26" i="39" s="1"/>
  <c r="AS26" i="39"/>
  <c r="BC26" i="39" s="1"/>
  <c r="AR26" i="39"/>
  <c r="AH26" i="39"/>
  <c r="AB26" i="39"/>
  <c r="R26" i="39"/>
  <c r="X26" i="39" s="1"/>
  <c r="BC25" i="39"/>
  <c r="BC30" i="39" s="1"/>
  <c r="BB25" i="39"/>
  <c r="AS25" i="39"/>
  <c r="AS130" i="39" s="1"/>
  <c r="AR25" i="39"/>
  <c r="AR130" i="39" s="1"/>
  <c r="AH25" i="39"/>
  <c r="AH130" i="39" s="1"/>
  <c r="AB25" i="39"/>
  <c r="AB130" i="39" s="1"/>
  <c r="R25" i="39"/>
  <c r="R130" i="39" s="1"/>
  <c r="AQ24" i="39"/>
  <c r="AP24" i="39"/>
  <c r="AO24" i="39"/>
  <c r="AN24" i="39"/>
  <c r="AM24" i="39"/>
  <c r="AL24" i="39"/>
  <c r="AK24" i="39"/>
  <c r="AJ24" i="39"/>
  <c r="AG24" i="39"/>
  <c r="AF24" i="39"/>
  <c r="AA24" i="39"/>
  <c r="Z24" i="39"/>
  <c r="Y24" i="39"/>
  <c r="W24" i="39"/>
  <c r="V24" i="39"/>
  <c r="U24" i="39"/>
  <c r="T24" i="39"/>
  <c r="S24" i="39"/>
  <c r="BC23" i="39"/>
  <c r="BB23" i="39"/>
  <c r="AZ23" i="39"/>
  <c r="AW23" i="39"/>
  <c r="AT23" i="39"/>
  <c r="BA23" i="39" s="1"/>
  <c r="AS23" i="39"/>
  <c r="AR23" i="39"/>
  <c r="AH23" i="39"/>
  <c r="AB23" i="39"/>
  <c r="R23" i="39"/>
  <c r="X23" i="39" s="1"/>
  <c r="BB22" i="39"/>
  <c r="AS22" i="39"/>
  <c r="AS134" i="39" s="1"/>
  <c r="AR22" i="39"/>
  <c r="AR134" i="39" s="1"/>
  <c r="AH22" i="39"/>
  <c r="AH134" i="39" s="1"/>
  <c r="AB22" i="39"/>
  <c r="AB134" i="39" s="1"/>
  <c r="R22" i="39"/>
  <c r="R134" i="39" s="1"/>
  <c r="AZ21" i="39"/>
  <c r="AS21" i="39"/>
  <c r="BC21" i="39" s="1"/>
  <c r="AR21" i="39"/>
  <c r="BB21" i="39" s="1"/>
  <c r="AH21" i="39"/>
  <c r="AE21" i="39"/>
  <c r="AY21" i="39" s="1"/>
  <c r="AD21" i="39"/>
  <c r="AX21" i="39" s="1"/>
  <c r="AB21" i="39"/>
  <c r="AC21" i="39" s="1"/>
  <c r="AI21" i="39" s="1"/>
  <c r="AU21" i="39" s="1"/>
  <c r="X21" i="39"/>
  <c r="AV21" i="39" s="1"/>
  <c r="R21" i="39"/>
  <c r="BC20" i="39"/>
  <c r="BB20" i="39"/>
  <c r="AZ20" i="39"/>
  <c r="AW20" i="39"/>
  <c r="AT20" i="39"/>
  <c r="BA20" i="39" s="1"/>
  <c r="AS20" i="39"/>
  <c r="AR20" i="39"/>
  <c r="AH20" i="39"/>
  <c r="AB20" i="39"/>
  <c r="R20" i="39"/>
  <c r="X20" i="39" s="1"/>
  <c r="BB19" i="39"/>
  <c r="BB128" i="39" s="1"/>
  <c r="AS19" i="39"/>
  <c r="AS128" i="39" s="1"/>
  <c r="AR19" i="39"/>
  <c r="AR128" i="39" s="1"/>
  <c r="AH19" i="39"/>
  <c r="AH128" i="39" s="1"/>
  <c r="AB19" i="39"/>
  <c r="AB128" i="39" s="1"/>
  <c r="R19" i="39"/>
  <c r="R128" i="39" s="1"/>
  <c r="AQ18" i="39"/>
  <c r="AP18" i="39"/>
  <c r="AO18" i="39"/>
  <c r="AN18" i="39"/>
  <c r="AM18" i="39"/>
  <c r="AL18" i="39"/>
  <c r="AK18" i="39"/>
  <c r="AJ18" i="39"/>
  <c r="AG18" i="39"/>
  <c r="AF18" i="39"/>
  <c r="AA18" i="39"/>
  <c r="Z18" i="39"/>
  <c r="Y18" i="39"/>
  <c r="W18" i="39"/>
  <c r="V18" i="39"/>
  <c r="U18" i="39"/>
  <c r="T18" i="39"/>
  <c r="S18" i="39"/>
  <c r="BC17" i="39"/>
  <c r="BB17" i="39"/>
  <c r="AZ17" i="39"/>
  <c r="AZ133" i="39" s="1"/>
  <c r="AW17" i="39"/>
  <c r="AT17" i="39"/>
  <c r="AS17" i="39"/>
  <c r="AS133" i="39" s="1"/>
  <c r="AR17" i="39"/>
  <c r="AH17" i="39"/>
  <c r="AH133" i="39" s="1"/>
  <c r="AB17" i="39"/>
  <c r="R17" i="39"/>
  <c r="R133" i="39" s="1"/>
  <c r="BB16" i="39"/>
  <c r="AS16" i="39"/>
  <c r="BC16" i="39" s="1"/>
  <c r="AR16" i="39"/>
  <c r="AT16" i="39" s="1"/>
  <c r="BA16" i="39" s="1"/>
  <c r="AH16" i="39"/>
  <c r="AZ16" i="39" s="1"/>
  <c r="AB16" i="39"/>
  <c r="AW16" i="39" s="1"/>
  <c r="R16" i="39"/>
  <c r="X16" i="39" s="1"/>
  <c r="BC15" i="39"/>
  <c r="AZ15" i="39"/>
  <c r="AX15" i="39"/>
  <c r="AS15" i="39"/>
  <c r="AR15" i="39"/>
  <c r="AR18" i="39" s="1"/>
  <c r="AH15" i="39"/>
  <c r="AE15" i="39"/>
  <c r="AY15" i="39" s="1"/>
  <c r="AD15" i="39"/>
  <c r="AB15" i="39"/>
  <c r="AW15" i="39" s="1"/>
  <c r="X15" i="39"/>
  <c r="AC15" i="39" s="1"/>
  <c r="AI15" i="39" s="1"/>
  <c r="AU15" i="39" s="1"/>
  <c r="R15" i="39"/>
  <c r="BC14" i="39"/>
  <c r="BB14" i="39"/>
  <c r="AZ14" i="39"/>
  <c r="AZ18" i="39" s="1"/>
  <c r="AW14" i="39"/>
  <c r="AW18" i="39" s="1"/>
  <c r="AT14" i="39"/>
  <c r="BA14" i="39" s="1"/>
  <c r="AS14" i="39"/>
  <c r="AR14" i="39"/>
  <c r="AH14" i="39"/>
  <c r="AB14" i="39"/>
  <c r="R14" i="39"/>
  <c r="R18" i="39" s="1"/>
  <c r="AS13" i="39"/>
  <c r="AQ13" i="39"/>
  <c r="AP13" i="39"/>
  <c r="AO13" i="39"/>
  <c r="AN13" i="39"/>
  <c r="AM13" i="39"/>
  <c r="AL13" i="39"/>
  <c r="AK13" i="39"/>
  <c r="AJ13" i="39"/>
  <c r="AG13" i="39"/>
  <c r="AF13" i="39"/>
  <c r="AD13" i="39"/>
  <c r="AA13" i="39"/>
  <c r="Z13" i="39"/>
  <c r="Y13" i="39"/>
  <c r="X13" i="39"/>
  <c r="W13" i="39"/>
  <c r="V13" i="39"/>
  <c r="U13" i="39"/>
  <c r="T13" i="39"/>
  <c r="S13" i="39"/>
  <c r="R13" i="39"/>
  <c r="BC12" i="39"/>
  <c r="BC136" i="39" s="1"/>
  <c r="AZ12" i="39"/>
  <c r="AZ136" i="39" s="1"/>
  <c r="AX12" i="39"/>
  <c r="AS12" i="39"/>
  <c r="AS136" i="39" s="1"/>
  <c r="AR12" i="39"/>
  <c r="AR136" i="39" s="1"/>
  <c r="AH12" i="39"/>
  <c r="AH136" i="39" s="1"/>
  <c r="AE12" i="39"/>
  <c r="AE13" i="39" s="1"/>
  <c r="AD12" i="39"/>
  <c r="AB12" i="39"/>
  <c r="AB136" i="39" s="1"/>
  <c r="X12" i="39"/>
  <c r="AV12" i="39" s="1"/>
  <c r="R12" i="39"/>
  <c r="R136" i="39" s="1"/>
  <c r="AT13" i="40" l="1"/>
  <c r="BA13" i="40" s="1"/>
  <c r="AS175" i="40"/>
  <c r="BB28" i="40"/>
  <c r="BB173" i="40" s="1"/>
  <c r="AV45" i="40"/>
  <c r="AR60" i="40"/>
  <c r="AC56" i="40"/>
  <c r="AV59" i="40"/>
  <c r="AV62" i="40"/>
  <c r="AC65" i="40"/>
  <c r="AT72" i="40"/>
  <c r="BA72" i="40" s="1"/>
  <c r="AD76" i="40"/>
  <c r="AX76" i="40" s="1"/>
  <c r="AE77" i="40"/>
  <c r="AY77" i="40" s="1"/>
  <c r="AD86" i="40"/>
  <c r="AX86" i="40" s="1"/>
  <c r="AC95" i="40"/>
  <c r="AT113" i="40"/>
  <c r="BA113" i="40" s="1"/>
  <c r="AT142" i="40"/>
  <c r="BA142" i="40" s="1"/>
  <c r="AT149" i="40"/>
  <c r="BA149" i="40" s="1"/>
  <c r="X92" i="40"/>
  <c r="X118" i="40"/>
  <c r="BC52" i="40"/>
  <c r="BC53" i="40" s="1"/>
  <c r="AB88" i="40"/>
  <c r="AT162" i="40"/>
  <c r="X51" i="40"/>
  <c r="AT26" i="40"/>
  <c r="AR67" i="40"/>
  <c r="AE64" i="40"/>
  <c r="AY64" i="40" s="1"/>
  <c r="BC64" i="40"/>
  <c r="AH74" i="40"/>
  <c r="AC71" i="40"/>
  <c r="AW108" i="40"/>
  <c r="AC113" i="40"/>
  <c r="AV145" i="40"/>
  <c r="BB147" i="40"/>
  <c r="AH164" i="40"/>
  <c r="X127" i="40"/>
  <c r="AH15" i="40"/>
  <c r="AT22" i="40"/>
  <c r="BA22" i="40" s="1"/>
  <c r="AR176" i="40"/>
  <c r="AB172" i="40"/>
  <c r="AR74" i="40"/>
  <c r="AS81" i="40"/>
  <c r="AH108" i="40"/>
  <c r="AT126" i="40"/>
  <c r="BA126" i="40" s="1"/>
  <c r="BB134" i="40"/>
  <c r="AT140" i="40"/>
  <c r="BA140" i="40" s="1"/>
  <c r="AE145" i="40"/>
  <c r="AY145" i="40" s="1"/>
  <c r="AT157" i="40"/>
  <c r="BA157" i="40" s="1"/>
  <c r="X130" i="40"/>
  <c r="AS44" i="40"/>
  <c r="AB98" i="40"/>
  <c r="AT103" i="40"/>
  <c r="AC136" i="40"/>
  <c r="AV155" i="40"/>
  <c r="AT158" i="40"/>
  <c r="BA158" i="40" s="1"/>
  <c r="AC96" i="40"/>
  <c r="AE96" i="40"/>
  <c r="AY96" i="40" s="1"/>
  <c r="AZ92" i="40"/>
  <c r="AD162" i="40"/>
  <c r="AX162" i="40" s="1"/>
  <c r="AC162" i="40"/>
  <c r="AE90" i="40"/>
  <c r="AY90" i="40" s="1"/>
  <c r="AC90" i="40"/>
  <c r="AD138" i="40"/>
  <c r="AV138" i="40"/>
  <c r="AE138" i="40"/>
  <c r="AW95" i="40"/>
  <c r="AW111" i="40"/>
  <c r="AW114" i="40" s="1"/>
  <c r="R127" i="40"/>
  <c r="AO168" i="40"/>
  <c r="AL168" i="40"/>
  <c r="AG168" i="40"/>
  <c r="AT14" i="40"/>
  <c r="BA14" i="40" s="1"/>
  <c r="BC24" i="40"/>
  <c r="BC178" i="40" s="1"/>
  <c r="AB171" i="40"/>
  <c r="AH177" i="40"/>
  <c r="AC59" i="40"/>
  <c r="AW67" i="40"/>
  <c r="AT69" i="40"/>
  <c r="BA69" i="40" s="1"/>
  <c r="AW81" i="40"/>
  <c r="AH102" i="40"/>
  <c r="AS118" i="40"/>
  <c r="T168" i="40"/>
  <c r="AB169" i="40"/>
  <c r="AT16" i="40"/>
  <c r="BA16" i="40" s="1"/>
  <c r="AR23" i="40"/>
  <c r="R25" i="40"/>
  <c r="AT31" i="40"/>
  <c r="BA31" i="40" s="1"/>
  <c r="AT37" i="40"/>
  <c r="BA37" i="40" s="1"/>
  <c r="AT43" i="40"/>
  <c r="BA43" i="40" s="1"/>
  <c r="AT48" i="40"/>
  <c r="BA48" i="40" s="1"/>
  <c r="AR177" i="40"/>
  <c r="AB67" i="40"/>
  <c r="BC63" i="40"/>
  <c r="AB74" i="40"/>
  <c r="AW68" i="40"/>
  <c r="AW74" i="40" s="1"/>
  <c r="BC70" i="40"/>
  <c r="BC72" i="40"/>
  <c r="AH81" i="40"/>
  <c r="AE89" i="40"/>
  <c r="AT89" i="40"/>
  <c r="BA89" i="40" s="1"/>
  <c r="R102" i="40"/>
  <c r="X99" i="40"/>
  <c r="AS102" i="40"/>
  <c r="AT100" i="40"/>
  <c r="BA100" i="40" s="1"/>
  <c r="AS108" i="40"/>
  <c r="AE104" i="40"/>
  <c r="AY104" i="40" s="1"/>
  <c r="AV115" i="40"/>
  <c r="AR118" i="40"/>
  <c r="AT123" i="40"/>
  <c r="BA123" i="40" s="1"/>
  <c r="R130" i="40"/>
  <c r="AT133" i="40"/>
  <c r="BA133" i="40" s="1"/>
  <c r="AT138" i="40"/>
  <c r="BA138" i="40" s="1"/>
  <c r="X146" i="40"/>
  <c r="AD146" i="40" s="1"/>
  <c r="AX146" i="40" s="1"/>
  <c r="BC149" i="40"/>
  <c r="AH154" i="40"/>
  <c r="AE155" i="40"/>
  <c r="AY155" i="40" s="1"/>
  <c r="AV156" i="40"/>
  <c r="Q168" i="40"/>
  <c r="Y168" i="40"/>
  <c r="AK168" i="40"/>
  <c r="AQ168" i="40"/>
  <c r="AF168" i="40"/>
  <c r="AB44" i="40"/>
  <c r="AC45" i="40"/>
  <c r="R74" i="40"/>
  <c r="X68" i="40"/>
  <c r="X74" i="40" s="1"/>
  <c r="AD83" i="40"/>
  <c r="AX83" i="40" s="1"/>
  <c r="R98" i="40"/>
  <c r="X94" i="40"/>
  <c r="AE94" i="40" s="1"/>
  <c r="AY94" i="40" s="1"/>
  <c r="AC101" i="40"/>
  <c r="AE106" i="40"/>
  <c r="AY106" i="40" s="1"/>
  <c r="R110" i="40"/>
  <c r="X109" i="40"/>
  <c r="X110" i="40" s="1"/>
  <c r="AB127" i="40"/>
  <c r="AT128" i="40"/>
  <c r="AW151" i="40"/>
  <c r="W168" i="40"/>
  <c r="R19" i="40"/>
  <c r="X16" i="40"/>
  <c r="X19" i="40" s="1"/>
  <c r="BB16" i="40"/>
  <c r="AT17" i="40"/>
  <c r="BA17" i="40" s="1"/>
  <c r="AS25" i="40"/>
  <c r="AR171" i="40"/>
  <c r="AH44" i="40"/>
  <c r="AH51" i="40"/>
  <c r="AS177" i="40"/>
  <c r="R60" i="40"/>
  <c r="AZ54" i="40"/>
  <c r="AZ60" i="40" s="1"/>
  <c r="AR172" i="40"/>
  <c r="BC58" i="40"/>
  <c r="BC61" i="40"/>
  <c r="AH67" i="40"/>
  <c r="AB81" i="40"/>
  <c r="BC75" i="40"/>
  <c r="BC81" i="40" s="1"/>
  <c r="AT87" i="40"/>
  <c r="BA87" i="40" s="1"/>
  <c r="AW102" i="40"/>
  <c r="AS110" i="40"/>
  <c r="AD115" i="40"/>
  <c r="AX115" i="40" s="1"/>
  <c r="AH127" i="40"/>
  <c r="BC125" i="40"/>
  <c r="BC171" i="40" s="1"/>
  <c r="AB130" i="40"/>
  <c r="AZ128" i="40"/>
  <c r="AZ130" i="40" s="1"/>
  <c r="R137" i="40"/>
  <c r="X131" i="40"/>
  <c r="AB137" i="40"/>
  <c r="R160" i="40"/>
  <c r="X158" i="40"/>
  <c r="X160" i="40" s="1"/>
  <c r="BB118" i="40"/>
  <c r="X122" i="40"/>
  <c r="AV122" i="40" s="1"/>
  <c r="AP168" i="40"/>
  <c r="R173" i="40"/>
  <c r="X28" i="40"/>
  <c r="X32" i="40" s="1"/>
  <c r="AT29" i="40"/>
  <c r="BA29" i="40" s="1"/>
  <c r="AT54" i="40"/>
  <c r="R67" i="40"/>
  <c r="X61" i="40"/>
  <c r="AC62" i="40"/>
  <c r="AS74" i="40"/>
  <c r="AB118" i="40"/>
  <c r="BB124" i="40"/>
  <c r="AT146" i="40"/>
  <c r="BA146" i="40" s="1"/>
  <c r="AZ164" i="40"/>
  <c r="AR169" i="40"/>
  <c r="AB19" i="40"/>
  <c r="AT20" i="40"/>
  <c r="AB176" i="40"/>
  <c r="AT34" i="40"/>
  <c r="BA34" i="40" s="1"/>
  <c r="BB37" i="40"/>
  <c r="AT40" i="40"/>
  <c r="BA40" i="40" s="1"/>
  <c r="BB43" i="40"/>
  <c r="R177" i="40"/>
  <c r="X52" i="40"/>
  <c r="BB54" i="40"/>
  <c r="AT57" i="40"/>
  <c r="BA57" i="40" s="1"/>
  <c r="BC69" i="40"/>
  <c r="BC74" i="40" s="1"/>
  <c r="AZ81" i="40"/>
  <c r="AT76" i="40"/>
  <c r="BA76" i="40" s="1"/>
  <c r="AT84" i="40"/>
  <c r="BA84" i="40" s="1"/>
  <c r="AT86" i="40"/>
  <c r="BA86" i="40" s="1"/>
  <c r="AC87" i="40"/>
  <c r="AW87" i="40"/>
  <c r="AW93" i="40"/>
  <c r="AW98" i="40" s="1"/>
  <c r="AT94" i="40"/>
  <c r="BA94" i="40" s="1"/>
  <c r="AB102" i="40"/>
  <c r="R108" i="40"/>
  <c r="X103" i="40"/>
  <c r="BB103" i="40"/>
  <c r="BB108" i="40" s="1"/>
  <c r="AH114" i="40"/>
  <c r="AT116" i="40"/>
  <c r="BA116" i="40" s="1"/>
  <c r="AT119" i="40"/>
  <c r="AD121" i="40"/>
  <c r="AX121" i="40" s="1"/>
  <c r="X121" i="40"/>
  <c r="AE121" i="40" s="1"/>
  <c r="AY121" i="40" s="1"/>
  <c r="AT121" i="40"/>
  <c r="BA121" i="40" s="1"/>
  <c r="AT122" i="40"/>
  <c r="BA122" i="40" s="1"/>
  <c r="X133" i="40"/>
  <c r="AE133" i="40" s="1"/>
  <c r="AY133" i="40" s="1"/>
  <c r="BB133" i="40"/>
  <c r="BB140" i="40"/>
  <c r="AB151" i="40"/>
  <c r="AB154" i="40"/>
  <c r="AE156" i="40"/>
  <c r="AY156" i="40" s="1"/>
  <c r="BC161" i="40"/>
  <c r="BC164" i="40" s="1"/>
  <c r="AT163" i="40"/>
  <c r="BA163" i="40" s="1"/>
  <c r="O166" i="40"/>
  <c r="AA168" i="40"/>
  <c r="AM168" i="40"/>
  <c r="J168" i="40"/>
  <c r="P168" i="40"/>
  <c r="V168" i="40"/>
  <c r="AN168" i="40"/>
  <c r="X24" i="40"/>
  <c r="X25" i="40" s="1"/>
  <c r="AS88" i="40"/>
  <c r="R124" i="40"/>
  <c r="X119" i="40"/>
  <c r="AE141" i="40"/>
  <c r="AY141" i="40" s="1"/>
  <c r="X141" i="40"/>
  <c r="X144" i="40" s="1"/>
  <c r="AJ168" i="40"/>
  <c r="AR167" i="40" s="1"/>
  <c r="AH19" i="40"/>
  <c r="AZ176" i="40"/>
  <c r="R38" i="40"/>
  <c r="X33" i="40"/>
  <c r="AS38" i="40"/>
  <c r="R44" i="40"/>
  <c r="X39" i="40"/>
  <c r="AS51" i="40"/>
  <c r="AT47" i="40"/>
  <c r="BA47" i="40" s="1"/>
  <c r="AW55" i="40"/>
  <c r="AW172" i="40" s="1"/>
  <c r="X82" i="40"/>
  <c r="X88" i="40" s="1"/>
  <c r="AV84" i="40"/>
  <c r="BB89" i="40"/>
  <c r="AB108" i="40"/>
  <c r="AT106" i="40"/>
  <c r="BA106" i="40" s="1"/>
  <c r="R114" i="40"/>
  <c r="X111" i="40"/>
  <c r="X114" i="40" s="1"/>
  <c r="AS114" i="40"/>
  <c r="AT112" i="40"/>
  <c r="BA112" i="40" s="1"/>
  <c r="AT117" i="40"/>
  <c r="BA117" i="40" s="1"/>
  <c r="BC124" i="40"/>
  <c r="AT120" i="40"/>
  <c r="BA120" i="40" s="1"/>
  <c r="AS124" i="40"/>
  <c r="AZ137" i="40"/>
  <c r="X159" i="40"/>
  <c r="AE159" i="40" s="1"/>
  <c r="AY159" i="40" s="1"/>
  <c r="U168" i="40"/>
  <c r="X54" i="40"/>
  <c r="X60" i="40" s="1"/>
  <c r="AE120" i="40"/>
  <c r="AY120" i="40" s="1"/>
  <c r="AC84" i="40"/>
  <c r="AV162" i="40"/>
  <c r="AZ30" i="42"/>
  <c r="BB13" i="42"/>
  <c r="AC16" i="42"/>
  <c r="AI16" i="42" s="1"/>
  <c r="AU16" i="42" s="1"/>
  <c r="AE16" i="42"/>
  <c r="AY16" i="42" s="1"/>
  <c r="AD16" i="42"/>
  <c r="AX16" i="42" s="1"/>
  <c r="AH18" i="42"/>
  <c r="AC25" i="42"/>
  <c r="AI25" i="42" s="1"/>
  <c r="AU25" i="42" s="1"/>
  <c r="AE25" i="42"/>
  <c r="AY25" i="42" s="1"/>
  <c r="AD25" i="42"/>
  <c r="AX25" i="42" s="1"/>
  <c r="AB26" i="42"/>
  <c r="AY27" i="42"/>
  <c r="AT27" i="42"/>
  <c r="AE29" i="42"/>
  <c r="AY29" i="42" s="1"/>
  <c r="AC29" i="42"/>
  <c r="AW31" i="42"/>
  <c r="AW34" i="42" s="1"/>
  <c r="AB34" i="42"/>
  <c r="AT36" i="42"/>
  <c r="BB36" i="42"/>
  <c r="BB38" i="42" s="1"/>
  <c r="AC43" i="42"/>
  <c r="AE43" i="42"/>
  <c r="AY43" i="42" s="1"/>
  <c r="AD43" i="42"/>
  <c r="AX43" i="42" s="1"/>
  <c r="AX45" i="42" s="1"/>
  <c r="AC52" i="42"/>
  <c r="AV52" i="42"/>
  <c r="AE52" i="42"/>
  <c r="AY52" i="42" s="1"/>
  <c r="AD52" i="42"/>
  <c r="AX52" i="42" s="1"/>
  <c r="AX80" i="42"/>
  <c r="AR203" i="42"/>
  <c r="BB12" i="42"/>
  <c r="R205" i="42"/>
  <c r="X14" i="42"/>
  <c r="AC19" i="42"/>
  <c r="AE19" i="42"/>
  <c r="AD19" i="42"/>
  <c r="R22" i="42"/>
  <c r="X22" i="42"/>
  <c r="AT26" i="42"/>
  <c r="AB30" i="42"/>
  <c r="AR30" i="42"/>
  <c r="AH34" i="42"/>
  <c r="AZ31" i="42"/>
  <c r="AZ34" i="42" s="1"/>
  <c r="AE32" i="42"/>
  <c r="AY32" i="42" s="1"/>
  <c r="AC32" i="42"/>
  <c r="AT42" i="42"/>
  <c r="BB42" i="42"/>
  <c r="BB45" i="42" s="1"/>
  <c r="AV44" i="42"/>
  <c r="AE44" i="42"/>
  <c r="AY44" i="42" s="1"/>
  <c r="AC44" i="42"/>
  <c r="R212" i="42"/>
  <c r="R47" i="42"/>
  <c r="X46" i="42"/>
  <c r="BB212" i="42"/>
  <c r="BB47" i="42"/>
  <c r="AW65" i="42"/>
  <c r="AE12" i="42"/>
  <c r="AC12" i="42"/>
  <c r="X18" i="42"/>
  <c r="AV12" i="42"/>
  <c r="AC13" i="42"/>
  <c r="AD13" i="42"/>
  <c r="AX13" i="42" s="1"/>
  <c r="BA14" i="42"/>
  <c r="R209" i="42"/>
  <c r="X17" i="42"/>
  <c r="BA17" i="42"/>
  <c r="AW19" i="42"/>
  <c r="AW22" i="42" s="1"/>
  <c r="AB22" i="42"/>
  <c r="AE23" i="42"/>
  <c r="AC23" i="42"/>
  <c r="R26" i="42"/>
  <c r="X26" i="42"/>
  <c r="AD30" i="42"/>
  <c r="AR34" i="42"/>
  <c r="AT31" i="42"/>
  <c r="R41" i="42"/>
  <c r="X40" i="42"/>
  <c r="AH41" i="42"/>
  <c r="AH45" i="42"/>
  <c r="AZ43" i="42"/>
  <c r="AB203" i="42"/>
  <c r="AT12" i="42"/>
  <c r="AV13" i="42"/>
  <c r="AB18" i="42"/>
  <c r="AR18" i="42"/>
  <c r="AH22" i="42"/>
  <c r="AZ19" i="42"/>
  <c r="AZ22" i="42" s="1"/>
  <c r="AE20" i="42"/>
  <c r="AY20" i="42" s="1"/>
  <c r="AC20" i="42"/>
  <c r="AT21" i="42"/>
  <c r="BA21" i="42" s="1"/>
  <c r="AV23" i="42"/>
  <c r="BC30" i="42"/>
  <c r="AD32" i="42"/>
  <c r="AX32" i="42" s="1"/>
  <c r="X38" i="42"/>
  <c r="AV35" i="42"/>
  <c r="AE35" i="42"/>
  <c r="AC35" i="42"/>
  <c r="AT39" i="42"/>
  <c r="AR41" i="42"/>
  <c r="BB39" i="42"/>
  <c r="BB41" i="42" s="1"/>
  <c r="AY42" i="42"/>
  <c r="AE45" i="42"/>
  <c r="AD44" i="42"/>
  <c r="AX44" i="42" s="1"/>
  <c r="AH212" i="42"/>
  <c r="AZ46" i="42"/>
  <c r="AB204" i="42"/>
  <c r="AB53" i="42"/>
  <c r="AW48" i="42"/>
  <c r="AZ77" i="42"/>
  <c r="AD12" i="42"/>
  <c r="AW18" i="42"/>
  <c r="AE13" i="42"/>
  <c r="AY13" i="42" s="1"/>
  <c r="BA19" i="42"/>
  <c r="BA22" i="42" s="1"/>
  <c r="AT22" i="42"/>
  <c r="AR22" i="42"/>
  <c r="AD23" i="42"/>
  <c r="AH26" i="42"/>
  <c r="AC28" i="42"/>
  <c r="AE28" i="42"/>
  <c r="AY28" i="42" s="1"/>
  <c r="AD28" i="42"/>
  <c r="AX28" i="42" s="1"/>
  <c r="AX30" i="42" s="1"/>
  <c r="R34" i="42"/>
  <c r="X34" i="42"/>
  <c r="AB45" i="42"/>
  <c r="AW42" i="42"/>
  <c r="AW45" i="42" s="1"/>
  <c r="AZ45" i="42"/>
  <c r="AH205" i="42"/>
  <c r="AZ14" i="42"/>
  <c r="AZ205" i="42" s="1"/>
  <c r="AH209" i="42"/>
  <c r="AZ17" i="42"/>
  <c r="R30" i="42"/>
  <c r="BB28" i="42"/>
  <c r="BB30" i="42" s="1"/>
  <c r="AC31" i="42"/>
  <c r="AE31" i="42"/>
  <c r="AD31" i="42"/>
  <c r="AT33" i="42"/>
  <c r="BA33" i="42" s="1"/>
  <c r="BB33" i="42"/>
  <c r="BB34" i="42" s="1"/>
  <c r="AD38" i="42"/>
  <c r="AX35" i="42"/>
  <c r="AX38" i="42" s="1"/>
  <c r="AC37" i="42"/>
  <c r="AE37" i="42"/>
  <c r="AY37" i="42" s="1"/>
  <c r="AD37" i="42"/>
  <c r="AX37" i="42" s="1"/>
  <c r="AH38" i="42"/>
  <c r="AY39" i="42"/>
  <c r="AD45" i="42"/>
  <c r="BC45" i="42"/>
  <c r="AR45" i="42"/>
  <c r="AV50" i="42"/>
  <c r="AE50" i="42"/>
  <c r="AY50" i="42" s="1"/>
  <c r="AD50" i="42"/>
  <c r="AX50" i="42" s="1"/>
  <c r="AC50" i="42"/>
  <c r="AI50" i="42" s="1"/>
  <c r="AU50" i="42" s="1"/>
  <c r="R203" i="42"/>
  <c r="AH203" i="42"/>
  <c r="AB205" i="42"/>
  <c r="AR205" i="42"/>
  <c r="AV15" i="42"/>
  <c r="AB209" i="42"/>
  <c r="AR209" i="42"/>
  <c r="R18" i="42"/>
  <c r="AV21" i="42"/>
  <c r="AV22" i="42" s="1"/>
  <c r="AV24" i="42"/>
  <c r="AV27" i="42"/>
  <c r="AV30" i="42" s="1"/>
  <c r="X30" i="42"/>
  <c r="AV33" i="42"/>
  <c r="AV34" i="42" s="1"/>
  <c r="AV36" i="42"/>
  <c r="AV39" i="42"/>
  <c r="AV42" i="42"/>
  <c r="AV45" i="42" s="1"/>
  <c r="X45" i="42"/>
  <c r="AT46" i="42"/>
  <c r="AR47" i="42"/>
  <c r="R204" i="42"/>
  <c r="AH204" i="42"/>
  <c r="BB48" i="42"/>
  <c r="AZ49" i="42"/>
  <c r="R210" i="42"/>
  <c r="AH210" i="42"/>
  <c r="BB51" i="42"/>
  <c r="AR53" i="42"/>
  <c r="X54" i="42"/>
  <c r="AW55" i="42"/>
  <c r="AW59" i="42" s="1"/>
  <c r="AV56" i="42"/>
  <c r="AC58" i="42"/>
  <c r="AV58" i="42"/>
  <c r="AH65" i="42"/>
  <c r="AB70" i="42"/>
  <c r="AT66" i="42"/>
  <c r="AC68" i="42"/>
  <c r="AI68" i="42" s="1"/>
  <c r="AU68" i="42" s="1"/>
  <c r="AV68" i="42"/>
  <c r="AE69" i="42"/>
  <c r="AY69" i="42" s="1"/>
  <c r="AC69" i="42"/>
  <c r="AI69" i="42" s="1"/>
  <c r="AU69" i="42" s="1"/>
  <c r="AV69" i="42"/>
  <c r="R70" i="42"/>
  <c r="AT71" i="42"/>
  <c r="BB76" i="42"/>
  <c r="AS77" i="42"/>
  <c r="AR211" i="42"/>
  <c r="BB78" i="42"/>
  <c r="BC211" i="42"/>
  <c r="BC79" i="42"/>
  <c r="AW86" i="42"/>
  <c r="AH86" i="42"/>
  <c r="BA92" i="42"/>
  <c r="AT96" i="42"/>
  <c r="AW94" i="42"/>
  <c r="AW96" i="42" s="1"/>
  <c r="AC94" i="42"/>
  <c r="AE95" i="42"/>
  <c r="AY95" i="42" s="1"/>
  <c r="AV95" i="42"/>
  <c r="AD95" i="42"/>
  <c r="AX95" i="42" s="1"/>
  <c r="AC95" i="42"/>
  <c r="AI95" i="42" s="1"/>
  <c r="AU95" i="42" s="1"/>
  <c r="R106" i="42"/>
  <c r="AS26" i="42"/>
  <c r="AS38" i="42"/>
  <c r="X210" i="42"/>
  <c r="AW51" i="42"/>
  <c r="AW210" i="42" s="1"/>
  <c r="AS53" i="42"/>
  <c r="AR59" i="42"/>
  <c r="AC57" i="42"/>
  <c r="AV57" i="42"/>
  <c r="AV210" i="42" s="1"/>
  <c r="AE58" i="42"/>
  <c r="AY58" i="42" s="1"/>
  <c r="AN59" i="42"/>
  <c r="AI61" i="42"/>
  <c r="AU61" i="42" s="1"/>
  <c r="AT64" i="42"/>
  <c r="BA64" i="42" s="1"/>
  <c r="AW70" i="42"/>
  <c r="AD68" i="42"/>
  <c r="AX68" i="42" s="1"/>
  <c r="AI71" i="42"/>
  <c r="AE72" i="42"/>
  <c r="AY72" i="42" s="1"/>
  <c r="AY77" i="42" s="1"/>
  <c r="AC72" i="42"/>
  <c r="AV72" i="42"/>
  <c r="AC73" i="42"/>
  <c r="AD73" i="42"/>
  <c r="AX73" i="42" s="1"/>
  <c r="R77" i="42"/>
  <c r="X77" i="42"/>
  <c r="X211" i="42"/>
  <c r="AE78" i="42"/>
  <c r="AC78" i="42"/>
  <c r="AV78" i="42"/>
  <c r="X79" i="42"/>
  <c r="AC87" i="42"/>
  <c r="X90" i="42"/>
  <c r="AE87" i="42"/>
  <c r="AZ91" i="42"/>
  <c r="AZ96" i="42" s="1"/>
  <c r="AH96" i="42"/>
  <c r="BA101" i="42"/>
  <c r="BA106" i="42" s="1"/>
  <c r="AT106" i="42"/>
  <c r="AW103" i="42"/>
  <c r="AC103" i="42"/>
  <c r="AE104" i="42"/>
  <c r="AY104" i="42" s="1"/>
  <c r="AV104" i="42"/>
  <c r="AD104" i="42"/>
  <c r="AX104" i="42" s="1"/>
  <c r="AC104" i="42"/>
  <c r="AI104" i="42" s="1"/>
  <c r="AU104" i="42" s="1"/>
  <c r="AH59" i="42"/>
  <c r="AC60" i="42"/>
  <c r="AV60" i="42"/>
  <c r="AR206" i="42"/>
  <c r="AR65" i="42"/>
  <c r="BB60" i="42"/>
  <c r="AZ206" i="42"/>
  <c r="AZ65" i="42"/>
  <c r="AW77" i="42"/>
  <c r="AE75" i="42"/>
  <c r="AY75" i="42" s="1"/>
  <c r="AC75" i="42"/>
  <c r="AV75" i="42"/>
  <c r="AC76" i="42"/>
  <c r="AD76" i="42"/>
  <c r="AX76" i="42" s="1"/>
  <c r="AB211" i="42"/>
  <c r="AB79" i="42"/>
  <c r="AT211" i="42"/>
  <c r="BA78" i="42"/>
  <c r="AT79" i="42"/>
  <c r="AC82" i="42"/>
  <c r="AE82" i="42"/>
  <c r="AY82" i="42" s="1"/>
  <c r="AD82" i="42"/>
  <c r="AX82" i="42" s="1"/>
  <c r="AC85" i="42"/>
  <c r="AI85" i="42" s="1"/>
  <c r="AU85" i="42" s="1"/>
  <c r="AE85" i="42"/>
  <c r="AY85" i="42" s="1"/>
  <c r="AD85" i="42"/>
  <c r="AX85" i="42" s="1"/>
  <c r="AK199" i="42"/>
  <c r="BA96" i="42"/>
  <c r="AS203" i="42"/>
  <c r="AC15" i="42"/>
  <c r="AI15" i="42" s="1"/>
  <c r="AU15" i="42" s="1"/>
  <c r="AS18" i="42"/>
  <c r="BC19" i="42"/>
  <c r="BC22" i="42" s="1"/>
  <c r="AC21" i="42"/>
  <c r="AI21" i="42" s="1"/>
  <c r="AU21" i="42" s="1"/>
  <c r="AC24" i="42"/>
  <c r="AI24" i="42" s="1"/>
  <c r="AU24" i="42" s="1"/>
  <c r="AC27" i="42"/>
  <c r="BC31" i="42"/>
  <c r="BC34" i="42" s="1"/>
  <c r="AC33" i="42"/>
  <c r="AI33" i="42" s="1"/>
  <c r="AU33" i="42" s="1"/>
  <c r="AC36" i="42"/>
  <c r="AI36" i="42" s="1"/>
  <c r="AU36" i="42" s="1"/>
  <c r="AC39" i="42"/>
  <c r="AC42" i="42"/>
  <c r="AW46" i="42"/>
  <c r="BC46" i="42"/>
  <c r="AC48" i="42"/>
  <c r="AS204" i="42"/>
  <c r="X49" i="42"/>
  <c r="X204" i="42" s="1"/>
  <c r="AC51" i="42"/>
  <c r="AS210" i="42"/>
  <c r="AT54" i="42"/>
  <c r="AC55" i="42"/>
  <c r="AI55" i="42" s="1"/>
  <c r="AU55" i="42" s="1"/>
  <c r="AD57" i="42"/>
  <c r="AX57" i="42" s="1"/>
  <c r="AT57" i="42"/>
  <c r="BA57" i="42" s="1"/>
  <c r="AT58" i="42"/>
  <c r="BA58" i="42" s="1"/>
  <c r="AB206" i="42"/>
  <c r="AC62" i="42"/>
  <c r="AI62" i="42" s="1"/>
  <c r="AU62" i="42" s="1"/>
  <c r="AT62" i="42"/>
  <c r="BA62" i="42" s="1"/>
  <c r="R65" i="42"/>
  <c r="X65" i="42"/>
  <c r="AS65" i="42"/>
  <c r="AZ70" i="42"/>
  <c r="BB67" i="42"/>
  <c r="BB205" i="42" s="1"/>
  <c r="AD72" i="42"/>
  <c r="AX72" i="42" s="1"/>
  <c r="AX77" i="42" s="1"/>
  <c r="AW72" i="42"/>
  <c r="AE73" i="42"/>
  <c r="AY73" i="42" s="1"/>
  <c r="AT75" i="42"/>
  <c r="BA75" i="42" s="1"/>
  <c r="AV76" i="42"/>
  <c r="AD78" i="42"/>
  <c r="AW78" i="42"/>
  <c r="BB82" i="42"/>
  <c r="BB85" i="42"/>
  <c r="BB86" i="42" s="1"/>
  <c r="AD87" i="42"/>
  <c r="BA87" i="42"/>
  <c r="BA90" i="42" s="1"/>
  <c r="AC106" i="42"/>
  <c r="AW109" i="42"/>
  <c r="AW113" i="42" s="1"/>
  <c r="AC109" i="42"/>
  <c r="AI109" i="42" s="1"/>
  <c r="AU109" i="42" s="1"/>
  <c r="AT110" i="42"/>
  <c r="BA110" i="42" s="1"/>
  <c r="BB110" i="42"/>
  <c r="AV126" i="42"/>
  <c r="R38" i="42"/>
  <c r="AT48" i="42"/>
  <c r="AZ204" i="42"/>
  <c r="AZ53" i="42"/>
  <c r="AT51" i="42"/>
  <c r="AZ210" i="42"/>
  <c r="BC53" i="42"/>
  <c r="AT55" i="42"/>
  <c r="BA55" i="42" s="1"/>
  <c r="AD56" i="42"/>
  <c r="AX56" i="42" s="1"/>
  <c r="AS56" i="42"/>
  <c r="AD60" i="42"/>
  <c r="AT60" i="42"/>
  <c r="BC65" i="42"/>
  <c r="AC64" i="42"/>
  <c r="AI64" i="42" s="1"/>
  <c r="AU64" i="42" s="1"/>
  <c r="AV64" i="42"/>
  <c r="AD75" i="42"/>
  <c r="AX75" i="42" s="1"/>
  <c r="AE76" i="42"/>
  <c r="AY76" i="42" s="1"/>
  <c r="AE80" i="42"/>
  <c r="AC80" i="42"/>
  <c r="AT81" i="42"/>
  <c r="BA81" i="42" s="1"/>
  <c r="BA86" i="42" s="1"/>
  <c r="AE83" i="42"/>
  <c r="AY83" i="42" s="1"/>
  <c r="AC83" i="42"/>
  <c r="AT84" i="42"/>
  <c r="BA84" i="42" s="1"/>
  <c r="R86" i="42"/>
  <c r="X86" i="42"/>
  <c r="AZ87" i="42"/>
  <c r="AZ90" i="42" s="1"/>
  <c r="AH90" i="42"/>
  <c r="AW97" i="42"/>
  <c r="AW100" i="42" s="1"/>
  <c r="AB100" i="42"/>
  <c r="AC97" i="42"/>
  <c r="AE98" i="42"/>
  <c r="AY98" i="42" s="1"/>
  <c r="AV98" i="42"/>
  <c r="AD98" i="42"/>
  <c r="AC98" i="42"/>
  <c r="BA107" i="42"/>
  <c r="AW205" i="42"/>
  <c r="BC14" i="42"/>
  <c r="AW209" i="42"/>
  <c r="BC17" i="42"/>
  <c r="AE48" i="42"/>
  <c r="AE51" i="42"/>
  <c r="BC54" i="42"/>
  <c r="BC204" i="42" s="1"/>
  <c r="AE55" i="42"/>
  <c r="AY55" i="42" s="1"/>
  <c r="AE56" i="42"/>
  <c r="AY56" i="42" s="1"/>
  <c r="AE60" i="42"/>
  <c r="BB61" i="42"/>
  <c r="AC63" i="42"/>
  <c r="AI63" i="42" s="1"/>
  <c r="AU63" i="42" s="1"/>
  <c r="AV63" i="42"/>
  <c r="AE64" i="42"/>
  <c r="AY64" i="42" s="1"/>
  <c r="AE66" i="42"/>
  <c r="AC66" i="42"/>
  <c r="AV66" i="42"/>
  <c r="AV70" i="42" s="1"/>
  <c r="AC67" i="42"/>
  <c r="AD67" i="42"/>
  <c r="AX67" i="42" s="1"/>
  <c r="AX70" i="42" s="1"/>
  <c r="AT68" i="42"/>
  <c r="BA68" i="42" s="1"/>
  <c r="AR70" i="42"/>
  <c r="BC77" i="42"/>
  <c r="BB73" i="42"/>
  <c r="BB209" i="42" s="1"/>
  <c r="AZ211" i="42"/>
  <c r="AZ79" i="42"/>
  <c r="AV80" i="42"/>
  <c r="AV83" i="42"/>
  <c r="BC90" i="42"/>
  <c r="X110" i="42"/>
  <c r="R113" i="42"/>
  <c r="R206" i="42"/>
  <c r="AH206" i="42"/>
  <c r="AH79" i="42"/>
  <c r="AV81" i="42"/>
  <c r="AV84" i="42"/>
  <c r="BB88" i="42"/>
  <c r="X91" i="42"/>
  <c r="R96" i="42"/>
  <c r="AS96" i="42"/>
  <c r="BC91" i="42"/>
  <c r="BC96" i="42" s="1"/>
  <c r="BB91" i="42"/>
  <c r="AC93" i="42"/>
  <c r="AI93" i="42" s="1"/>
  <c r="AU93" i="42" s="1"/>
  <c r="AV93" i="42"/>
  <c r="AE94" i="42"/>
  <c r="AY94" i="42" s="1"/>
  <c r="AE97" i="42"/>
  <c r="R100" i="42"/>
  <c r="X100" i="42"/>
  <c r="AS100" i="42"/>
  <c r="AH106" i="42"/>
  <c r="AW106" i="42"/>
  <c r="AC102" i="42"/>
  <c r="AI102" i="42" s="1"/>
  <c r="AU102" i="42" s="1"/>
  <c r="AV102" i="42"/>
  <c r="AE103" i="42"/>
  <c r="AY103" i="42" s="1"/>
  <c r="AY106" i="42" s="1"/>
  <c r="X106" i="42"/>
  <c r="AH113" i="42"/>
  <c r="AC108" i="42"/>
  <c r="AI108" i="42" s="1"/>
  <c r="AU108" i="42" s="1"/>
  <c r="AV108" i="42"/>
  <c r="AC114" i="42"/>
  <c r="AT114" i="42"/>
  <c r="BC114" i="42"/>
  <c r="BC116" i="42" s="1"/>
  <c r="AC120" i="42"/>
  <c r="AT120" i="42"/>
  <c r="BA120" i="42" s="1"/>
  <c r="AD141" i="42"/>
  <c r="AX141" i="42" s="1"/>
  <c r="AV141" i="42"/>
  <c r="AE141" i="42"/>
  <c r="AY141" i="42" s="1"/>
  <c r="AC141" i="42"/>
  <c r="AI151" i="42"/>
  <c r="AU151" i="42" s="1"/>
  <c r="AW155" i="42"/>
  <c r="AC155" i="42"/>
  <c r="AI155" i="42" s="1"/>
  <c r="AU155" i="42" s="1"/>
  <c r="BA162" i="42"/>
  <c r="AE183" i="42"/>
  <c r="AY183" i="42" s="1"/>
  <c r="AD183" i="42"/>
  <c r="AX183" i="42" s="1"/>
  <c r="AV183" i="42"/>
  <c r="AC183" i="42"/>
  <c r="AE184" i="42"/>
  <c r="AY184" i="42" s="1"/>
  <c r="AC184" i="42"/>
  <c r="AV184" i="42"/>
  <c r="AD184" i="42"/>
  <c r="AX184" i="42" s="1"/>
  <c r="AS86" i="42"/>
  <c r="AI88" i="42"/>
  <c r="AU88" i="42" s="1"/>
  <c r="AB90" i="42"/>
  <c r="AR96" i="42"/>
  <c r="AH100" i="42"/>
  <c r="AZ97" i="42"/>
  <c r="AZ100" i="42" s="1"/>
  <c r="AR113" i="42"/>
  <c r="AD114" i="42"/>
  <c r="AV114" i="42"/>
  <c r="AZ122" i="42"/>
  <c r="AT119" i="42"/>
  <c r="BA119" i="42" s="1"/>
  <c r="AD120" i="42"/>
  <c r="AX120" i="42" s="1"/>
  <c r="AX122" i="42" s="1"/>
  <c r="AV120" i="42"/>
  <c r="AT125" i="42"/>
  <c r="BA125" i="42" s="1"/>
  <c r="BB134" i="42"/>
  <c r="AT134" i="42"/>
  <c r="BA134" i="42" s="1"/>
  <c r="BA135" i="42" s="1"/>
  <c r="AE139" i="42"/>
  <c r="AV139" i="42"/>
  <c r="AD139" i="42"/>
  <c r="AC139" i="42"/>
  <c r="AD144" i="42"/>
  <c r="AX144" i="42" s="1"/>
  <c r="AV144" i="42"/>
  <c r="AE144" i="42"/>
  <c r="AY144" i="42" s="1"/>
  <c r="AC144" i="42"/>
  <c r="AH185" i="42"/>
  <c r="AZ182" i="42"/>
  <c r="AZ185" i="42" s="1"/>
  <c r="BA97" i="42"/>
  <c r="BA100" i="42" s="1"/>
  <c r="AE106" i="42"/>
  <c r="X113" i="42"/>
  <c r="AS113" i="42"/>
  <c r="AV115" i="42"/>
  <c r="AC115" i="42"/>
  <c r="AV121" i="42"/>
  <c r="AV122" i="42" s="1"/>
  <c r="AC121" i="42"/>
  <c r="BB126" i="42"/>
  <c r="AH132" i="42"/>
  <c r="AZ127" i="42"/>
  <c r="AZ132" i="42" s="1"/>
  <c r="BB135" i="42"/>
  <c r="AR135" i="42"/>
  <c r="X142" i="42"/>
  <c r="X145" i="42"/>
  <c r="AV146" i="42"/>
  <c r="AV148" i="42" s="1"/>
  <c r="X148" i="42"/>
  <c r="AE146" i="42"/>
  <c r="AD146" i="42"/>
  <c r="AC146" i="42"/>
  <c r="BB149" i="42"/>
  <c r="AR153" i="42"/>
  <c r="AT149" i="42"/>
  <c r="BB152" i="42"/>
  <c r="AT152" i="42"/>
  <c r="BA152" i="42" s="1"/>
  <c r="AD159" i="42"/>
  <c r="AX159" i="42" s="1"/>
  <c r="AV159" i="42"/>
  <c r="AE159" i="42"/>
  <c r="AY159" i="42" s="1"/>
  <c r="AC159" i="42"/>
  <c r="AI159" i="42" s="1"/>
  <c r="AU159" i="42" s="1"/>
  <c r="BB170" i="42"/>
  <c r="AT170" i="42"/>
  <c r="BA170" i="42" s="1"/>
  <c r="R185" i="42"/>
  <c r="X181" i="42"/>
  <c r="Z199" i="42"/>
  <c r="W199" i="42"/>
  <c r="AS206" i="42"/>
  <c r="BC67" i="42"/>
  <c r="BC70" i="42" s="1"/>
  <c r="AC81" i="42"/>
  <c r="AI81" i="42" s="1"/>
  <c r="AU81" i="42" s="1"/>
  <c r="AC84" i="42"/>
  <c r="AI84" i="42" s="1"/>
  <c r="AU84" i="42" s="1"/>
  <c r="BB90" i="42"/>
  <c r="BB94" i="42"/>
  <c r="BC100" i="42"/>
  <c r="BB97" i="42"/>
  <c r="BB100" i="42" s="1"/>
  <c r="AC99" i="42"/>
  <c r="AI99" i="42" s="1"/>
  <c r="AU99" i="42" s="1"/>
  <c r="AV99" i="42"/>
  <c r="AB106" i="42"/>
  <c r="BB103" i="42"/>
  <c r="BB106" i="42" s="1"/>
  <c r="AC105" i="42"/>
  <c r="AI105" i="42" s="1"/>
  <c r="AU105" i="42" s="1"/>
  <c r="AV105" i="42"/>
  <c r="AB113" i="42"/>
  <c r="AE108" i="42"/>
  <c r="AY108" i="42" s="1"/>
  <c r="BB109" i="42"/>
  <c r="BB113" i="42" s="1"/>
  <c r="AC111" i="42"/>
  <c r="AI111" i="42" s="1"/>
  <c r="AU111" i="42" s="1"/>
  <c r="AT111" i="42"/>
  <c r="BA111" i="42" s="1"/>
  <c r="AC117" i="42"/>
  <c r="AT117" i="42"/>
  <c r="BC117" i="42"/>
  <c r="BC122" i="42" s="1"/>
  <c r="AC123" i="42"/>
  <c r="AT123" i="42"/>
  <c r="BC123" i="42"/>
  <c r="BC126" i="42" s="1"/>
  <c r="X126" i="42"/>
  <c r="BC132" i="42"/>
  <c r="AD130" i="42"/>
  <c r="AX130" i="42" s="1"/>
  <c r="AC130" i="42"/>
  <c r="AI130" i="42" s="1"/>
  <c r="AU130" i="42" s="1"/>
  <c r="AV130" i="42"/>
  <c r="BC135" i="42"/>
  <c r="BB137" i="42"/>
  <c r="BB138" i="42" s="1"/>
  <c r="AR138" i="42"/>
  <c r="AT137" i="42"/>
  <c r="BA137" i="42" s="1"/>
  <c r="AZ145" i="42"/>
  <c r="AB145" i="42"/>
  <c r="AW140" i="42"/>
  <c r="AW145" i="42" s="1"/>
  <c r="AE116" i="42"/>
  <c r="AD122" i="42"/>
  <c r="AX123" i="42"/>
  <c r="AX126" i="42" s="1"/>
  <c r="AD126" i="42"/>
  <c r="BA127" i="42"/>
  <c r="AV133" i="42"/>
  <c r="AV135" i="42" s="1"/>
  <c r="AE133" i="42"/>
  <c r="AD133" i="42"/>
  <c r="AC133" i="42"/>
  <c r="X135" i="42"/>
  <c r="AV134" i="42"/>
  <c r="AE134" i="42"/>
  <c r="AY134" i="42" s="1"/>
  <c r="AD134" i="42"/>
  <c r="AX134" i="42" s="1"/>
  <c r="AC134" i="42"/>
  <c r="AV149" i="42"/>
  <c r="AC149" i="42"/>
  <c r="X153" i="42"/>
  <c r="AE149" i="42"/>
  <c r="AD149" i="42"/>
  <c r="AV152" i="42"/>
  <c r="AC152" i="42"/>
  <c r="AI152" i="42" s="1"/>
  <c r="AU152" i="42" s="1"/>
  <c r="AE152" i="42"/>
  <c r="AY152" i="42" s="1"/>
  <c r="AD152" i="42"/>
  <c r="AX152" i="42" s="1"/>
  <c r="X154" i="42"/>
  <c r="R156" i="42"/>
  <c r="X162" i="42"/>
  <c r="AV157" i="42"/>
  <c r="AC157" i="42"/>
  <c r="AE157" i="42"/>
  <c r="AD157" i="42"/>
  <c r="BB164" i="42"/>
  <c r="AT164" i="42"/>
  <c r="BA164" i="42" s="1"/>
  <c r="R90" i="42"/>
  <c r="AD89" i="42"/>
  <c r="AX89" i="42" s="1"/>
  <c r="AV89" i="42"/>
  <c r="AV90" i="42" s="1"/>
  <c r="AD92" i="42"/>
  <c r="AX92" i="42" s="1"/>
  <c r="AV92" i="42"/>
  <c r="AR100" i="42"/>
  <c r="AD101" i="42"/>
  <c r="AI101" i="42" s="1"/>
  <c r="AV101" i="42"/>
  <c r="AR106" i="42"/>
  <c r="AD107" i="42"/>
  <c r="AI107" i="42" s="1"/>
  <c r="AV107" i="42"/>
  <c r="AV112" i="42"/>
  <c r="AC112" i="42"/>
  <c r="AI112" i="42" s="1"/>
  <c r="AU112" i="42" s="1"/>
  <c r="AE115" i="42"/>
  <c r="AY115" i="42" s="1"/>
  <c r="AY116" i="42" s="1"/>
  <c r="X116" i="42"/>
  <c r="AH122" i="42"/>
  <c r="AW122" i="42"/>
  <c r="AV118" i="42"/>
  <c r="AC118" i="42"/>
  <c r="AI118" i="42" s="1"/>
  <c r="AU118" i="42" s="1"/>
  <c r="AE119" i="42"/>
  <c r="AY119" i="42" s="1"/>
  <c r="AY122" i="42" s="1"/>
  <c r="AE121" i="42"/>
  <c r="AY121" i="42" s="1"/>
  <c r="R122" i="42"/>
  <c r="X122" i="42"/>
  <c r="AV124" i="42"/>
  <c r="AC124" i="42"/>
  <c r="AI124" i="42" s="1"/>
  <c r="AU124" i="42" s="1"/>
  <c r="BB124" i="42"/>
  <c r="AR126" i="42"/>
  <c r="AE125" i="42"/>
  <c r="AY125" i="42" s="1"/>
  <c r="AY126" i="42" s="1"/>
  <c r="R132" i="42"/>
  <c r="X127" i="42"/>
  <c r="X206" i="42" s="1"/>
  <c r="AV137" i="42"/>
  <c r="AC137" i="42"/>
  <c r="AE137" i="42"/>
  <c r="AY137" i="42" s="1"/>
  <c r="AD137" i="42"/>
  <c r="AX137" i="42" s="1"/>
  <c r="AC143" i="42"/>
  <c r="AI143" i="42" s="1"/>
  <c r="AU143" i="42" s="1"/>
  <c r="AW132" i="42"/>
  <c r="AV131" i="42"/>
  <c r="AD131" i="42"/>
  <c r="BB131" i="42"/>
  <c r="AT131" i="42"/>
  <c r="BA131" i="42" s="1"/>
  <c r="AB135" i="42"/>
  <c r="AZ135" i="42"/>
  <c r="AS135" i="42"/>
  <c r="AS145" i="42"/>
  <c r="AB153" i="42"/>
  <c r="AW149" i="42"/>
  <c r="AW153" i="42" s="1"/>
  <c r="AT162" i="42"/>
  <c r="BB162" i="42"/>
  <c r="X163" i="42"/>
  <c r="R166" i="42"/>
  <c r="AT163" i="42"/>
  <c r="BB165" i="42"/>
  <c r="AX167" i="42"/>
  <c r="AW167" i="42"/>
  <c r="AW172" i="42" s="1"/>
  <c r="AC173" i="42"/>
  <c r="AV173" i="42"/>
  <c r="AE173" i="42"/>
  <c r="X179" i="42"/>
  <c r="AD173" i="42"/>
  <c r="AE178" i="42"/>
  <c r="AY178" i="42" s="1"/>
  <c r="AC178" i="42"/>
  <c r="AI178" i="42" s="1"/>
  <c r="AU178" i="42" s="1"/>
  <c r="AV178" i="42"/>
  <c r="AD178" i="42"/>
  <c r="AX178" i="42" s="1"/>
  <c r="AM199" i="42"/>
  <c r="AT129" i="42"/>
  <c r="BA129" i="42" s="1"/>
  <c r="AR132" i="42"/>
  <c r="BC145" i="42"/>
  <c r="AH145" i="42"/>
  <c r="BC153" i="42"/>
  <c r="AT150" i="42"/>
  <c r="BA150" i="42" s="1"/>
  <c r="BB150" i="42"/>
  <c r="AV160" i="42"/>
  <c r="AC160" i="42"/>
  <c r="AC161" i="42"/>
  <c r="AI161" i="42" s="1"/>
  <c r="AU161" i="42" s="1"/>
  <c r="AW166" i="42"/>
  <c r="AV169" i="42"/>
  <c r="AE169" i="42"/>
  <c r="AY169" i="42" s="1"/>
  <c r="BC169" i="42"/>
  <c r="BC172" i="42" s="1"/>
  <c r="AT169" i="42"/>
  <c r="BA169" i="42" s="1"/>
  <c r="AA199" i="42"/>
  <c r="AW173" i="42"/>
  <c r="AW179" i="42" s="1"/>
  <c r="AB179" i="42"/>
  <c r="AW180" i="42"/>
  <c r="AW185" i="42" s="1"/>
  <c r="AB185" i="42"/>
  <c r="AD187" i="42"/>
  <c r="AX187" i="42" s="1"/>
  <c r="AV187" i="42"/>
  <c r="AE187" i="42"/>
  <c r="AY187" i="42" s="1"/>
  <c r="AC187" i="42"/>
  <c r="AI187" i="42" s="1"/>
  <c r="AU187" i="42" s="1"/>
  <c r="T199" i="42"/>
  <c r="AS132" i="42"/>
  <c r="R138" i="42"/>
  <c r="X136" i="42"/>
  <c r="AT138" i="42"/>
  <c r="BA136" i="42"/>
  <c r="BB155" i="42"/>
  <c r="BB156" i="42" s="1"/>
  <c r="AT155" i="42"/>
  <c r="BA155" i="42" s="1"/>
  <c r="AR156" i="42"/>
  <c r="AW162" i="42"/>
  <c r="AV158" i="42"/>
  <c r="AE158" i="42"/>
  <c r="AY158" i="42" s="1"/>
  <c r="AE175" i="42"/>
  <c r="AY175" i="42" s="1"/>
  <c r="AV175" i="42"/>
  <c r="AC175" i="42"/>
  <c r="AC180" i="42"/>
  <c r="BC183" i="42"/>
  <c r="AT183" i="42"/>
  <c r="BA183" i="42" s="1"/>
  <c r="R191" i="42"/>
  <c r="R199" i="42" s="1"/>
  <c r="X186" i="42"/>
  <c r="AG199" i="42"/>
  <c r="AB126" i="42"/>
  <c r="AC128" i="42"/>
  <c r="AI128" i="42" s="1"/>
  <c r="AU128" i="42" s="1"/>
  <c r="AC129" i="42"/>
  <c r="AI129" i="42" s="1"/>
  <c r="AU129" i="42" s="1"/>
  <c r="BB129" i="42"/>
  <c r="BB132" i="42" s="1"/>
  <c r="AE131" i="42"/>
  <c r="AY131" i="42" s="1"/>
  <c r="AB138" i="42"/>
  <c r="BC136" i="42"/>
  <c r="BC138" i="42" s="1"/>
  <c r="BB140" i="42"/>
  <c r="AT140" i="42"/>
  <c r="BB143" i="42"/>
  <c r="AT143" i="42"/>
  <c r="BA143" i="42" s="1"/>
  <c r="AC147" i="42"/>
  <c r="AI147" i="42" s="1"/>
  <c r="AU147" i="42" s="1"/>
  <c r="AS148" i="42"/>
  <c r="AD150" i="42"/>
  <c r="AX150" i="42" s="1"/>
  <c r="AC150" i="42"/>
  <c r="AV150" i="42"/>
  <c r="BC151" i="42"/>
  <c r="BC210" i="42" s="1"/>
  <c r="AW156" i="42"/>
  <c r="AD160" i="42"/>
  <c r="AX160" i="42" s="1"/>
  <c r="AZ166" i="42"/>
  <c r="AR172" i="42"/>
  <c r="BB167" i="42"/>
  <c r="BB172" i="42" s="1"/>
  <c r="AC169" i="42"/>
  <c r="AI169" i="42" s="1"/>
  <c r="AU169" i="42" s="1"/>
  <c r="AD171" i="42"/>
  <c r="AX171" i="42" s="1"/>
  <c r="AC171" i="42"/>
  <c r="AE171" i="42"/>
  <c r="AY171" i="42" s="1"/>
  <c r="AV171" i="42"/>
  <c r="AR179" i="42"/>
  <c r="BB173" i="42"/>
  <c r="AT173" i="42"/>
  <c r="AC174" i="42"/>
  <c r="AI174" i="42" s="1"/>
  <c r="AU174" i="42" s="1"/>
  <c r="AT174" i="42"/>
  <c r="BA174" i="42" s="1"/>
  <c r="AD189" i="42"/>
  <c r="AX189" i="42" s="1"/>
  <c r="AC189" i="42"/>
  <c r="AI189" i="42" s="1"/>
  <c r="AU189" i="42" s="1"/>
  <c r="AV189" i="42"/>
  <c r="AE189" i="42"/>
  <c r="AY189" i="42" s="1"/>
  <c r="AW198" i="42"/>
  <c r="I201" i="42"/>
  <c r="BA156" i="42"/>
  <c r="AV161" i="42"/>
  <c r="AE161" i="42"/>
  <c r="AY161" i="42" s="1"/>
  <c r="AS166" i="42"/>
  <c r="BA167" i="42"/>
  <c r="BA172" i="42" s="1"/>
  <c r="AH172" i="42"/>
  <c r="AZ179" i="42"/>
  <c r="AP199" i="42"/>
  <c r="AT192" i="42"/>
  <c r="AR198" i="42"/>
  <c r="BB192" i="42"/>
  <c r="AW194" i="42"/>
  <c r="AC194" i="42"/>
  <c r="AI194" i="42" s="1"/>
  <c r="AU194" i="42" s="1"/>
  <c r="AB198" i="42"/>
  <c r="AB201" i="42"/>
  <c r="AH153" i="42"/>
  <c r="AB156" i="42"/>
  <c r="AS162" i="42"/>
  <c r="AZ162" i="42"/>
  <c r="AV164" i="42"/>
  <c r="AE164" i="42"/>
  <c r="AY164" i="42" s="1"/>
  <c r="AC164" i="42"/>
  <c r="AD165" i="42"/>
  <c r="AX165" i="42" s="1"/>
  <c r="AC165" i="42"/>
  <c r="AV167" i="42"/>
  <c r="AE167" i="42"/>
  <c r="X172" i="42"/>
  <c r="AC167" i="42"/>
  <c r="R172" i="42"/>
  <c r="X168" i="42"/>
  <c r="AV170" i="42"/>
  <c r="AE170" i="42"/>
  <c r="AY170" i="42" s="1"/>
  <c r="AD170" i="42"/>
  <c r="AX170" i="42" s="1"/>
  <c r="AC170" i="42"/>
  <c r="AC176" i="42"/>
  <c r="AV176" i="42"/>
  <c r="AE176" i="42"/>
  <c r="AY176" i="42" s="1"/>
  <c r="AD176" i="42"/>
  <c r="AX176" i="42" s="1"/>
  <c r="AD190" i="42"/>
  <c r="AX190" i="42" s="1"/>
  <c r="AV190" i="42"/>
  <c r="AE190" i="42"/>
  <c r="AY190" i="42" s="1"/>
  <c r="AC190" i="42"/>
  <c r="AF199" i="42"/>
  <c r="AH200" i="42" s="1"/>
  <c r="Y199" i="42"/>
  <c r="AO199" i="42"/>
  <c r="AR201" i="42"/>
  <c r="AR145" i="42"/>
  <c r="AT141" i="42"/>
  <c r="BA141" i="42" s="1"/>
  <c r="AT144" i="42"/>
  <c r="BA144" i="42" s="1"/>
  <c r="AR148" i="42"/>
  <c r="BB146" i="42"/>
  <c r="BB148" i="42" s="1"/>
  <c r="AZ153" i="42"/>
  <c r="AD155" i="42"/>
  <c r="AX155" i="42" s="1"/>
  <c r="BC157" i="42"/>
  <c r="BC162" i="42" s="1"/>
  <c r="AR162" i="42"/>
  <c r="AR166" i="42"/>
  <c r="BB176" i="42"/>
  <c r="AT176" i="42"/>
  <c r="BA176" i="42" s="1"/>
  <c r="AS191" i="42"/>
  <c r="BC186" i="42"/>
  <c r="BC191" i="42" s="1"/>
  <c r="S199" i="42"/>
  <c r="O201" i="42"/>
  <c r="R179" i="42"/>
  <c r="AX180" i="42"/>
  <c r="BB184" i="42"/>
  <c r="AW186" i="42"/>
  <c r="AW191" i="42" s="1"/>
  <c r="BC187" i="42"/>
  <c r="BC190" i="42"/>
  <c r="AD192" i="42"/>
  <c r="X198" i="42"/>
  <c r="AV192" i="42"/>
  <c r="AE192" i="42"/>
  <c r="AT193" i="42"/>
  <c r="BA193" i="42" s="1"/>
  <c r="X195" i="42"/>
  <c r="AQ199" i="42"/>
  <c r="T202" i="42"/>
  <c r="AA202" i="42"/>
  <c r="AK202" i="42"/>
  <c r="AS201" i="42" s="1"/>
  <c r="AI182" i="42"/>
  <c r="AU182" i="42" s="1"/>
  <c r="AZ186" i="42"/>
  <c r="AZ191" i="42" s="1"/>
  <c r="AH191" i="42"/>
  <c r="AC193" i="42"/>
  <c r="AI193" i="42" s="1"/>
  <c r="AU193" i="42" s="1"/>
  <c r="AV193" i="42"/>
  <c r="AL199" i="42"/>
  <c r="U202" i="42"/>
  <c r="BC179" i="42"/>
  <c r="BB177" i="42"/>
  <c r="AT182" i="42"/>
  <c r="BA182" i="42" s="1"/>
  <c r="BA185" i="42" s="1"/>
  <c r="AC192" i="42"/>
  <c r="AD193" i="42"/>
  <c r="AX193" i="42" s="1"/>
  <c r="AT196" i="42"/>
  <c r="BA196" i="42" s="1"/>
  <c r="BC197" i="42"/>
  <c r="I202" i="42"/>
  <c r="O202" i="42"/>
  <c r="AS185" i="42"/>
  <c r="BC180" i="42"/>
  <c r="BC185" i="42" s="1"/>
  <c r="BB180" i="42"/>
  <c r="BB185" i="42" s="1"/>
  <c r="AD182" i="42"/>
  <c r="AX182" i="42" s="1"/>
  <c r="AT188" i="42"/>
  <c r="BA188" i="42" s="1"/>
  <c r="U199" i="42"/>
  <c r="AZ198" i="42"/>
  <c r="AV194" i="42"/>
  <c r="AD194" i="42"/>
  <c r="AX194" i="42" s="1"/>
  <c r="BB194" i="42"/>
  <c r="AT194" i="42"/>
  <c r="BA194" i="42" s="1"/>
  <c r="AC196" i="42"/>
  <c r="AI196" i="42" s="1"/>
  <c r="AU196" i="42" s="1"/>
  <c r="AV196" i="42"/>
  <c r="AC197" i="42"/>
  <c r="AI197" i="42" s="1"/>
  <c r="AU197" i="42" s="1"/>
  <c r="AH198" i="42"/>
  <c r="AN199" i="42"/>
  <c r="AS198" i="42"/>
  <c r="BC192" i="42"/>
  <c r="BB195" i="42"/>
  <c r="V199" i="42"/>
  <c r="AJ199" i="42"/>
  <c r="AT186" i="42"/>
  <c r="AT189" i="42"/>
  <c r="BA189" i="42" s="1"/>
  <c r="BB186" i="42"/>
  <c r="AC188" i="42"/>
  <c r="AI188" i="42" s="1"/>
  <c r="AU188" i="42" s="1"/>
  <c r="BB189" i="42"/>
  <c r="AE14" i="41"/>
  <c r="AY14" i="41" s="1"/>
  <c r="AD14" i="41"/>
  <c r="AX14" i="41" s="1"/>
  <c r="AC14" i="41"/>
  <c r="AI14" i="41" s="1"/>
  <c r="AU14" i="41" s="1"/>
  <c r="AV14" i="41"/>
  <c r="AV27" i="41"/>
  <c r="AI25" i="41"/>
  <c r="AU25" i="41" s="1"/>
  <c r="AD26" i="41"/>
  <c r="AX26" i="41" s="1"/>
  <c r="AC26" i="41"/>
  <c r="AV26" i="41"/>
  <c r="AE26" i="41"/>
  <c r="AY26" i="41" s="1"/>
  <c r="BA30" i="41"/>
  <c r="BA32" i="41" s="1"/>
  <c r="AT32" i="41"/>
  <c r="X16" i="41"/>
  <c r="AW16" i="41"/>
  <c r="AC27" i="41"/>
  <c r="AD23" i="41"/>
  <c r="AX23" i="41" s="1"/>
  <c r="AC23" i="41"/>
  <c r="AV23" i="41"/>
  <c r="AE23" i="41"/>
  <c r="AY23" i="41" s="1"/>
  <c r="AZ27" i="41"/>
  <c r="AD34" i="41"/>
  <c r="AX34" i="41" s="1"/>
  <c r="AV34" i="41"/>
  <c r="AV40" i="41" s="1"/>
  <c r="AE34" i="41"/>
  <c r="AY34" i="41" s="1"/>
  <c r="AC34" i="41"/>
  <c r="BA27" i="41"/>
  <c r="AD37" i="41"/>
  <c r="AX37" i="41" s="1"/>
  <c r="AV37" i="41"/>
  <c r="AE37" i="41"/>
  <c r="AY37" i="41" s="1"/>
  <c r="AC37" i="41"/>
  <c r="AD50" i="41"/>
  <c r="AX50" i="41" s="1"/>
  <c r="AC50" i="41"/>
  <c r="AE50" i="41"/>
  <c r="AY50" i="41" s="1"/>
  <c r="AV50" i="41"/>
  <c r="X21" i="41"/>
  <c r="X19" i="41"/>
  <c r="AR157" i="41"/>
  <c r="AT19" i="41"/>
  <c r="AE22" i="41"/>
  <c r="AD24" i="41"/>
  <c r="AX24" i="41" s="1"/>
  <c r="AT24" i="41"/>
  <c r="BA24" i="41" s="1"/>
  <c r="AE25" i="41"/>
  <c r="AY25" i="41" s="1"/>
  <c r="AV25" i="41"/>
  <c r="X28" i="41"/>
  <c r="AR158" i="41"/>
  <c r="AR29" i="41"/>
  <c r="AT28" i="41"/>
  <c r="AS29" i="41"/>
  <c r="AR32" i="41"/>
  <c r="BB30" i="41"/>
  <c r="BB32" i="41" s="1"/>
  <c r="AC33" i="41"/>
  <c r="AZ40" i="41"/>
  <c r="AD35" i="41"/>
  <c r="AT35" i="41"/>
  <c r="BB153" i="41"/>
  <c r="AE36" i="41"/>
  <c r="AY36" i="41" s="1"/>
  <c r="T156" i="41"/>
  <c r="T40" i="41"/>
  <c r="AC39" i="41"/>
  <c r="AC41" i="41"/>
  <c r="BC44" i="41"/>
  <c r="BC47" i="41" s="1"/>
  <c r="BB54" i="41"/>
  <c r="BC54" i="41"/>
  <c r="AT49" i="41"/>
  <c r="BA49" i="41" s="1"/>
  <c r="BB49" i="41"/>
  <c r="AR54" i="41"/>
  <c r="AI53" i="41"/>
  <c r="AU53" i="41" s="1"/>
  <c r="AT53" i="41"/>
  <c r="BA53" i="41" s="1"/>
  <c r="AU63" i="41"/>
  <c r="AU65" i="41" s="1"/>
  <c r="AI65" i="41"/>
  <c r="BC76" i="41"/>
  <c r="AY77" i="41"/>
  <c r="AV12" i="41"/>
  <c r="AV15" i="41"/>
  <c r="AC17" i="41"/>
  <c r="AS157" i="41"/>
  <c r="AC20" i="41"/>
  <c r="AB21" i="41"/>
  <c r="BC24" i="41"/>
  <c r="BC27" i="41" s="1"/>
  <c r="AC30" i="41"/>
  <c r="AC31" i="41"/>
  <c r="AI31" i="41" s="1"/>
  <c r="AU31" i="41" s="1"/>
  <c r="BB31" i="41"/>
  <c r="AH32" i="41"/>
  <c r="AT33" i="41"/>
  <c r="BC34" i="41"/>
  <c r="BC40" i="41" s="1"/>
  <c r="AY35" i="41"/>
  <c r="BC35" i="41"/>
  <c r="AD38" i="41"/>
  <c r="AX38" i="41" s="1"/>
  <c r="X40" i="41"/>
  <c r="AR40" i="41"/>
  <c r="AC44" i="41"/>
  <c r="AI44" i="41" s="1"/>
  <c r="AU44" i="41" s="1"/>
  <c r="AV48" i="41"/>
  <c r="AC48" i="41"/>
  <c r="AD48" i="41"/>
  <c r="AS54" i="41"/>
  <c r="R54" i="41"/>
  <c r="X51" i="41"/>
  <c r="T54" i="41"/>
  <c r="AD71" i="41"/>
  <c r="AX71" i="41" s="1"/>
  <c r="AV71" i="41"/>
  <c r="AE71" i="41"/>
  <c r="AY71" i="41" s="1"/>
  <c r="AY76" i="41" s="1"/>
  <c r="AC71" i="41"/>
  <c r="AC76" i="41" s="1"/>
  <c r="AB150" i="41"/>
  <c r="AB16" i="41"/>
  <c r="AR150" i="41"/>
  <c r="BB12" i="41"/>
  <c r="AY12" i="41"/>
  <c r="AB156" i="41"/>
  <c r="AR156" i="41"/>
  <c r="BB15" i="41"/>
  <c r="AD17" i="41"/>
  <c r="AT17" i="41"/>
  <c r="AD20" i="41"/>
  <c r="AX20" i="41" s="1"/>
  <c r="AT20" i="41"/>
  <c r="BA20" i="41" s="1"/>
  <c r="R27" i="41"/>
  <c r="AI22" i="41"/>
  <c r="AB29" i="41"/>
  <c r="BB29" i="41"/>
  <c r="AD30" i="41"/>
  <c r="AE31" i="41"/>
  <c r="AY31" i="41" s="1"/>
  <c r="AV31" i="41"/>
  <c r="AV32" i="41" s="1"/>
  <c r="AH153" i="41"/>
  <c r="AV35" i="41"/>
  <c r="BB37" i="41"/>
  <c r="AE38" i="41"/>
  <c r="AY38" i="41" s="1"/>
  <c r="AE39" i="41"/>
  <c r="AY39" i="41" s="1"/>
  <c r="R40" i="41"/>
  <c r="AH47" i="41"/>
  <c r="AV42" i="41"/>
  <c r="AV47" i="41" s="1"/>
  <c r="AC42" i="41"/>
  <c r="AI42" i="41" s="1"/>
  <c r="AU42" i="41" s="1"/>
  <c r="AE44" i="41"/>
  <c r="AY44" i="41" s="1"/>
  <c r="AY47" i="41" s="1"/>
  <c r="AV44" i="41"/>
  <c r="X47" i="41"/>
  <c r="AE47" i="41"/>
  <c r="X49" i="41"/>
  <c r="BA69" i="41"/>
  <c r="AI70" i="41"/>
  <c r="AC72" i="41"/>
  <c r="AV72" i="41"/>
  <c r="AE72" i="41"/>
  <c r="AY72" i="41" s="1"/>
  <c r="AD72" i="41"/>
  <c r="AX72" i="41" s="1"/>
  <c r="AC85" i="41"/>
  <c r="AV85" i="41"/>
  <c r="AD85" i="41"/>
  <c r="AX85" i="41" s="1"/>
  <c r="AE85" i="41"/>
  <c r="AY85" i="41" s="1"/>
  <c r="AC12" i="41"/>
  <c r="AZ16" i="41"/>
  <c r="AC13" i="41"/>
  <c r="BB13" i="41"/>
  <c r="AC15" i="41"/>
  <c r="AE17" i="41"/>
  <c r="BB21" i="41"/>
  <c r="AT18" i="41"/>
  <c r="BA18" i="41" s="1"/>
  <c r="BC19" i="41"/>
  <c r="AE20" i="41"/>
  <c r="AY20" i="41" s="1"/>
  <c r="X27" i="41"/>
  <c r="AD22" i="41"/>
  <c r="AH27" i="41"/>
  <c r="AT27" i="41"/>
  <c r="BC29" i="41"/>
  <c r="AE30" i="41"/>
  <c r="X32" i="41"/>
  <c r="AW33" i="41"/>
  <c r="AW40" i="41" s="1"/>
  <c r="AV38" i="41"/>
  <c r="AB47" i="41"/>
  <c r="AT42" i="41"/>
  <c r="BA42" i="41" s="1"/>
  <c r="AD46" i="41"/>
  <c r="AX46" i="41" s="1"/>
  <c r="AC46" i="41"/>
  <c r="AE48" i="41"/>
  <c r="AD52" i="41"/>
  <c r="AX52" i="41" s="1"/>
  <c r="X55" i="41"/>
  <c r="X150" i="41" s="1"/>
  <c r="X69" i="41"/>
  <c r="AV66" i="41"/>
  <c r="AV69" i="41" s="1"/>
  <c r="AE66" i="41"/>
  <c r="AD66" i="41"/>
  <c r="AC66" i="41"/>
  <c r="AZ76" i="41"/>
  <c r="AE90" i="41"/>
  <c r="AY90" i="41" s="1"/>
  <c r="AC90" i="41"/>
  <c r="AD90" i="41"/>
  <c r="AX90" i="41" s="1"/>
  <c r="AV90" i="41"/>
  <c r="AD12" i="41"/>
  <c r="AT12" i="41"/>
  <c r="AE13" i="41"/>
  <c r="AY13" i="41" s="1"/>
  <c r="AV13" i="41"/>
  <c r="AD15" i="41"/>
  <c r="AT15" i="41"/>
  <c r="R151" i="41"/>
  <c r="R21" i="41"/>
  <c r="AH151" i="41"/>
  <c r="AV17" i="41"/>
  <c r="BC17" i="41"/>
  <c r="AH157" i="41"/>
  <c r="AZ19" i="41"/>
  <c r="AW19" i="41"/>
  <c r="AR21" i="41"/>
  <c r="AH158" i="41"/>
  <c r="AZ28" i="41"/>
  <c r="AW28" i="41"/>
  <c r="R29" i="41"/>
  <c r="AT34" i="41"/>
  <c r="BA34" i="41" s="1"/>
  <c r="AI36" i="41"/>
  <c r="AU36" i="41" s="1"/>
  <c r="AR47" i="41"/>
  <c r="AZ47" i="41"/>
  <c r="AD43" i="41"/>
  <c r="AC43" i="41"/>
  <c r="AI43" i="41" s="1"/>
  <c r="AU43" i="41" s="1"/>
  <c r="AH54" i="41"/>
  <c r="AE52" i="41"/>
  <c r="AY52" i="41" s="1"/>
  <c r="AV52" i="41"/>
  <c r="AW76" i="41"/>
  <c r="AC74" i="41"/>
  <c r="AD74" i="41"/>
  <c r="AX74" i="41" s="1"/>
  <c r="AV74" i="41"/>
  <c r="AE74" i="41"/>
  <c r="AY74" i="41" s="1"/>
  <c r="BB40" i="41"/>
  <c r="AS47" i="41"/>
  <c r="AT41" i="41"/>
  <c r="AD57" i="41"/>
  <c r="AX57" i="41" s="1"/>
  <c r="AC57" i="41"/>
  <c r="AI57" i="41" s="1"/>
  <c r="AU57" i="41" s="1"/>
  <c r="AV57" i="41"/>
  <c r="AE57" i="41"/>
  <c r="AY57" i="41" s="1"/>
  <c r="R150" i="41"/>
  <c r="AH150" i="41"/>
  <c r="AH149" i="41" s="1"/>
  <c r="R156" i="41"/>
  <c r="AH156" i="41"/>
  <c r="AH16" i="41"/>
  <c r="AB151" i="41"/>
  <c r="AR151" i="41"/>
  <c r="AH40" i="41"/>
  <c r="AB153" i="41"/>
  <c r="AR153" i="41"/>
  <c r="AC45" i="41"/>
  <c r="AI45" i="41" s="1"/>
  <c r="AU45" i="41" s="1"/>
  <c r="AT48" i="41"/>
  <c r="AD56" i="41"/>
  <c r="AX56" i="41" s="1"/>
  <c r="AT56" i="41"/>
  <c r="BA56" i="41" s="1"/>
  <c r="AV60" i="41"/>
  <c r="BC60" i="41"/>
  <c r="AE61" i="41"/>
  <c r="AY61" i="41" s="1"/>
  <c r="AR62" i="41"/>
  <c r="AB65" i="41"/>
  <c r="AY63" i="41"/>
  <c r="AY65" i="41" s="1"/>
  <c r="AS65" i="41"/>
  <c r="AZ66" i="41"/>
  <c r="AZ69" i="41" s="1"/>
  <c r="AT69" i="41"/>
  <c r="AT72" i="41"/>
  <c r="BA72" i="41" s="1"/>
  <c r="BB74" i="41"/>
  <c r="BB157" i="41" s="1"/>
  <c r="AE75" i="41"/>
  <c r="AY75" i="41" s="1"/>
  <c r="AV75" i="41"/>
  <c r="AH76" i="41"/>
  <c r="AW77" i="41"/>
  <c r="AW83" i="41" s="1"/>
  <c r="AC78" i="41"/>
  <c r="AI78" i="41" s="1"/>
  <c r="AU78" i="41" s="1"/>
  <c r="AV78" i="41"/>
  <c r="AE79" i="41"/>
  <c r="AY79" i="41" s="1"/>
  <c r="AV79" i="41"/>
  <c r="BC79" i="41"/>
  <c r="AC86" i="41"/>
  <c r="AD86" i="41"/>
  <c r="AX86" i="41" s="1"/>
  <c r="AV86" i="41"/>
  <c r="AW92" i="41"/>
  <c r="AW97" i="41" s="1"/>
  <c r="AB97" i="41"/>
  <c r="X94" i="41"/>
  <c r="R97" i="41"/>
  <c r="R159" i="41"/>
  <c r="X98" i="41"/>
  <c r="R99" i="41"/>
  <c r="AE104" i="41"/>
  <c r="AC104" i="41"/>
  <c r="X107" i="41"/>
  <c r="AV104" i="41"/>
  <c r="AV107" i="41" s="1"/>
  <c r="AD104" i="41"/>
  <c r="X58" i="41"/>
  <c r="BA70" i="41"/>
  <c r="BB80" i="41"/>
  <c r="AT80" i="41"/>
  <c r="BA80" i="41" s="1"/>
  <c r="AC87" i="41"/>
  <c r="BB93" i="41"/>
  <c r="AT93" i="41"/>
  <c r="BA93" i="41" s="1"/>
  <c r="BA97" i="41" s="1"/>
  <c r="BB110" i="41"/>
  <c r="AT110" i="41"/>
  <c r="BA110" i="41" s="1"/>
  <c r="AE112" i="41"/>
  <c r="AY112" i="41" s="1"/>
  <c r="AC112" i="41"/>
  <c r="AV112" i="41"/>
  <c r="AD112" i="41"/>
  <c r="AX112" i="41" s="1"/>
  <c r="BB119" i="41"/>
  <c r="AT119" i="41"/>
  <c r="BA119" i="41" s="1"/>
  <c r="AT63" i="41"/>
  <c r="AB76" i="41"/>
  <c r="AC80" i="41"/>
  <c r="AI80" i="41" s="1"/>
  <c r="AU80" i="41" s="1"/>
  <c r="AV80" i="41"/>
  <c r="AD80" i="41"/>
  <c r="AX80" i="41" s="1"/>
  <c r="BC81" i="41"/>
  <c r="AW88" i="41"/>
  <c r="AW91" i="41" s="1"/>
  <c r="AB91" i="41"/>
  <c r="BB90" i="41"/>
  <c r="BB91" i="41" s="1"/>
  <c r="AT90" i="41"/>
  <c r="BA90" i="41" s="1"/>
  <c r="AZ97" i="41"/>
  <c r="AH97" i="41"/>
  <c r="AC60" i="41"/>
  <c r="AT64" i="41"/>
  <c r="BA64" i="41" s="1"/>
  <c r="AC65" i="41"/>
  <c r="BC67" i="41"/>
  <c r="BC69" i="41" s="1"/>
  <c r="R69" i="41"/>
  <c r="AE73" i="41"/>
  <c r="AY73" i="41" s="1"/>
  <c r="AV73" i="41"/>
  <c r="AS76" i="41"/>
  <c r="BB77" i="41"/>
  <c r="BB83" i="41" s="1"/>
  <c r="AR83" i="41"/>
  <c r="AT77" i="41"/>
  <c r="AC82" i="41"/>
  <c r="AD82" i="41"/>
  <c r="AX82" i="41" s="1"/>
  <c r="AE93" i="41"/>
  <c r="AY93" i="41" s="1"/>
  <c r="AC93" i="41"/>
  <c r="X97" i="41"/>
  <c r="AV93" i="41"/>
  <c r="AZ103" i="41"/>
  <c r="AT107" i="41"/>
  <c r="AT43" i="41"/>
  <c r="BA43" i="41" s="1"/>
  <c r="AT46" i="41"/>
  <c r="BA46" i="41" s="1"/>
  <c r="AN156" i="41"/>
  <c r="AN54" i="41"/>
  <c r="AZ55" i="41"/>
  <c r="AZ62" i="41" s="1"/>
  <c r="AS58" i="41"/>
  <c r="AC59" i="41"/>
  <c r="BB59" i="41"/>
  <c r="AD60" i="41"/>
  <c r="AX60" i="41" s="1"/>
  <c r="AC61" i="41"/>
  <c r="AI61" i="41" s="1"/>
  <c r="AU61" i="41" s="1"/>
  <c r="AV63" i="41"/>
  <c r="AV65" i="41" s="1"/>
  <c r="AD65" i="41"/>
  <c r="X76" i="41"/>
  <c r="AV70" i="41"/>
  <c r="AX70" i="41"/>
  <c r="AT71" i="41"/>
  <c r="BA71" i="41" s="1"/>
  <c r="AC75" i="41"/>
  <c r="AI75" i="41" s="1"/>
  <c r="AU75" i="41" s="1"/>
  <c r="AT75" i="41"/>
  <c r="BA75" i="41" s="1"/>
  <c r="X83" i="41"/>
  <c r="AC77" i="41"/>
  <c r="AV77" i="41"/>
  <c r="AD77" i="41"/>
  <c r="BC78" i="41"/>
  <c r="BC83" i="41" s="1"/>
  <c r="AT78" i="41"/>
  <c r="BA78" i="41" s="1"/>
  <c r="AE80" i="41"/>
  <c r="AY80" i="41" s="1"/>
  <c r="AC81" i="41"/>
  <c r="AV81" i="41"/>
  <c r="BB85" i="41"/>
  <c r="BB87" i="41" s="1"/>
  <c r="AT86" i="41"/>
  <c r="BB86" i="41"/>
  <c r="AH87" i="41"/>
  <c r="AZ88" i="41"/>
  <c r="AZ91" i="41" s="1"/>
  <c r="AZ54" i="41"/>
  <c r="AT51" i="41"/>
  <c r="BA51" i="41" s="1"/>
  <c r="BA55" i="41"/>
  <c r="AC56" i="41"/>
  <c r="BB57" i="41"/>
  <c r="BB62" i="41" s="1"/>
  <c r="AE59" i="41"/>
  <c r="AY59" i="41" s="1"/>
  <c r="AV59" i="41"/>
  <c r="AD61" i="41"/>
  <c r="AX61" i="41" s="1"/>
  <c r="AT61" i="41"/>
  <c r="BA61" i="41" s="1"/>
  <c r="AR65" i="41"/>
  <c r="AR76" i="41"/>
  <c r="BB70" i="41"/>
  <c r="BB76" i="41" s="1"/>
  <c r="AC73" i="41"/>
  <c r="AI73" i="41" s="1"/>
  <c r="AU73" i="41" s="1"/>
  <c r="AT73" i="41"/>
  <c r="BA73" i="41" s="1"/>
  <c r="AE81" i="41"/>
  <c r="AY81" i="41" s="1"/>
  <c r="AE82" i="41"/>
  <c r="AY82" i="41" s="1"/>
  <c r="AV82" i="41"/>
  <c r="AE84" i="41"/>
  <c r="AI84" i="41" s="1"/>
  <c r="AV84" i="41"/>
  <c r="AV87" i="41" s="1"/>
  <c r="AD84" i="41"/>
  <c r="BC86" i="41"/>
  <c r="BC87" i="41" s="1"/>
  <c r="AS87" i="41"/>
  <c r="AD93" i="41"/>
  <c r="AX93" i="41" s="1"/>
  <c r="AW108" i="41"/>
  <c r="AW114" i="41" s="1"/>
  <c r="AB114" i="41"/>
  <c r="AZ77" i="41"/>
  <c r="AZ83" i="41" s="1"/>
  <c r="X88" i="41"/>
  <c r="AE92" i="41"/>
  <c r="AV92" i="41"/>
  <c r="BB98" i="41"/>
  <c r="AV100" i="41"/>
  <c r="AV103" i="41" s="1"/>
  <c r="AD100" i="41"/>
  <c r="AE101" i="41"/>
  <c r="AY101" i="41" s="1"/>
  <c r="AC101" i="41"/>
  <c r="R107" i="41"/>
  <c r="BB108" i="41"/>
  <c r="AE110" i="41"/>
  <c r="AY110" i="41" s="1"/>
  <c r="AC110" i="41"/>
  <c r="AI110" i="41" s="1"/>
  <c r="AU110" i="41" s="1"/>
  <c r="AV110" i="41"/>
  <c r="AZ121" i="41"/>
  <c r="AZ116" i="41"/>
  <c r="AZ151" i="41" s="1"/>
  <c r="BB117" i="41"/>
  <c r="BB121" i="41" s="1"/>
  <c r="AR121" i="41"/>
  <c r="AE118" i="41"/>
  <c r="AY118" i="41" s="1"/>
  <c r="AD118" i="41"/>
  <c r="AX118" i="41" s="1"/>
  <c r="AC118" i="41"/>
  <c r="BB125" i="41"/>
  <c r="AZ133" i="41"/>
  <c r="AC136" i="41"/>
  <c r="AE136" i="41"/>
  <c r="AY136" i="41" s="1"/>
  <c r="AD136" i="41"/>
  <c r="AX136" i="41" s="1"/>
  <c r="AV136" i="41"/>
  <c r="AT159" i="41"/>
  <c r="BA98" i="41"/>
  <c r="AT99" i="41"/>
  <c r="AW103" i="41"/>
  <c r="BA100" i="41"/>
  <c r="BA103" i="41" s="1"/>
  <c r="AT103" i="41"/>
  <c r="AB103" i="41"/>
  <c r="AH107" i="41"/>
  <c r="BA108" i="41"/>
  <c r="BA114" i="41" s="1"/>
  <c r="AT114" i="41"/>
  <c r="AR114" i="41"/>
  <c r="AD119" i="41"/>
  <c r="AX119" i="41" s="1"/>
  <c r="AC119" i="41"/>
  <c r="AE119" i="41"/>
  <c r="AY119" i="41" s="1"/>
  <c r="X122" i="41"/>
  <c r="R129" i="41"/>
  <c r="BB129" i="41"/>
  <c r="AX130" i="41"/>
  <c r="AC131" i="41"/>
  <c r="AE131" i="41"/>
  <c r="AY131" i="41" s="1"/>
  <c r="AD131" i="41"/>
  <c r="AX131" i="41" s="1"/>
  <c r="AV131" i="41"/>
  <c r="BA88" i="41"/>
  <c r="AR97" i="41"/>
  <c r="AT95" i="41"/>
  <c r="BA95" i="41" s="1"/>
  <c r="AS97" i="41"/>
  <c r="AC100" i="41"/>
  <c r="AC106" i="41"/>
  <c r="AI106" i="41" s="1"/>
  <c r="AU106" i="41" s="1"/>
  <c r="BB111" i="41"/>
  <c r="AE113" i="41"/>
  <c r="AY113" i="41" s="1"/>
  <c r="AC113" i="41"/>
  <c r="AD113" i="41"/>
  <c r="AX113" i="41" s="1"/>
  <c r="AV113" i="41"/>
  <c r="AE120" i="41"/>
  <c r="AY120" i="41" s="1"/>
  <c r="AV120" i="41"/>
  <c r="AD120" i="41"/>
  <c r="AX120" i="41" s="1"/>
  <c r="AC120" i="41"/>
  <c r="AC124" i="41"/>
  <c r="AV124" i="41"/>
  <c r="AE124" i="41"/>
  <c r="AY124" i="41" s="1"/>
  <c r="AD124" i="41"/>
  <c r="AX124" i="41" s="1"/>
  <c r="BC97" i="41"/>
  <c r="AC95" i="41"/>
  <c r="AI95" i="41" s="1"/>
  <c r="AU95" i="41" s="1"/>
  <c r="AV95" i="41"/>
  <c r="AC96" i="41"/>
  <c r="AH159" i="41"/>
  <c r="AZ98" i="41"/>
  <c r="AK146" i="41"/>
  <c r="AE103" i="41"/>
  <c r="AY100" i="41"/>
  <c r="AD102" i="41"/>
  <c r="AX102" i="41" s="1"/>
  <c r="R103" i="41"/>
  <c r="X103" i="41"/>
  <c r="AC117" i="41"/>
  <c r="AI117" i="41" s="1"/>
  <c r="AU117" i="41" s="1"/>
  <c r="AV117" i="41"/>
  <c r="AE117" i="41"/>
  <c r="AY117" i="41" s="1"/>
  <c r="AD117" i="41"/>
  <c r="AX117" i="41" s="1"/>
  <c r="AH129" i="41"/>
  <c r="AZ122" i="41"/>
  <c r="AZ129" i="41" s="1"/>
  <c r="AD125" i="41"/>
  <c r="AX125" i="41" s="1"/>
  <c r="AC125" i="41"/>
  <c r="BB92" i="41"/>
  <c r="AT94" i="41"/>
  <c r="BA94" i="41" s="1"/>
  <c r="AD96" i="41"/>
  <c r="AX96" i="41" s="1"/>
  <c r="BC99" i="41"/>
  <c r="BA107" i="41"/>
  <c r="AC105" i="41"/>
  <c r="AI105" i="41" s="1"/>
  <c r="AU105" i="41" s="1"/>
  <c r="AV105" i="41"/>
  <c r="AE105" i="41"/>
  <c r="AY105" i="41" s="1"/>
  <c r="AC111" i="41"/>
  <c r="AE111" i="41"/>
  <c r="AY111" i="41" s="1"/>
  <c r="AV111" i="41"/>
  <c r="AW115" i="41"/>
  <c r="AW121" i="41" s="1"/>
  <c r="AB121" i="41"/>
  <c r="AE116" i="41"/>
  <c r="AY116" i="41" s="1"/>
  <c r="AC116" i="41"/>
  <c r="AI116" i="41" s="1"/>
  <c r="AU116" i="41" s="1"/>
  <c r="AV116" i="41"/>
  <c r="AB129" i="41"/>
  <c r="AG146" i="41"/>
  <c r="AS159" i="41"/>
  <c r="AS99" i="41"/>
  <c r="X108" i="41"/>
  <c r="R114" i="41"/>
  <c r="AE109" i="41"/>
  <c r="AY109" i="41" s="1"/>
  <c r="AC109" i="41"/>
  <c r="BA115" i="41"/>
  <c r="BC120" i="41"/>
  <c r="AT120" i="41"/>
  <c r="BA120" i="41" s="1"/>
  <c r="AS129" i="41"/>
  <c r="BC122" i="41"/>
  <c r="BC129" i="41" s="1"/>
  <c r="AT122" i="41"/>
  <c r="AO146" i="41"/>
  <c r="AW133" i="41"/>
  <c r="AL146" i="41"/>
  <c r="AY134" i="41"/>
  <c r="Y146" i="41"/>
  <c r="AB148" i="41"/>
  <c r="AX139" i="41"/>
  <c r="AX145" i="41" s="1"/>
  <c r="X138" i="41"/>
  <c r="X115" i="41"/>
  <c r="R121" i="41"/>
  <c r="BB118" i="41"/>
  <c r="AZ135" i="41"/>
  <c r="AZ138" i="41" s="1"/>
  <c r="AH138" i="41"/>
  <c r="AH146" i="41" s="1"/>
  <c r="AC126" i="41"/>
  <c r="AI126" i="41" s="1"/>
  <c r="AU126" i="41" s="1"/>
  <c r="AV126" i="41"/>
  <c r="AE126" i="41"/>
  <c r="AY126" i="41" s="1"/>
  <c r="AD126" i="41"/>
  <c r="AX126" i="41" s="1"/>
  <c r="AC128" i="41"/>
  <c r="AI128" i="41" s="1"/>
  <c r="AU128" i="41" s="1"/>
  <c r="AE128" i="41"/>
  <c r="AY128" i="41" s="1"/>
  <c r="AD128" i="41"/>
  <c r="AX128" i="41" s="1"/>
  <c r="AV128" i="41"/>
  <c r="BA130" i="41"/>
  <c r="BA133" i="41" s="1"/>
  <c r="AT133" i="41"/>
  <c r="T146" i="41"/>
  <c r="AR148" i="41"/>
  <c r="AS148" i="41"/>
  <c r="AH148" i="41"/>
  <c r="AS121" i="41"/>
  <c r="AW129" i="41"/>
  <c r="AE135" i="41"/>
  <c r="AY135" i="41" s="1"/>
  <c r="AC135" i="41"/>
  <c r="Z146" i="41"/>
  <c r="AQ146" i="41"/>
  <c r="AF146" i="41"/>
  <c r="AH147" i="41" s="1"/>
  <c r="AC123" i="41"/>
  <c r="AI123" i="41" s="1"/>
  <c r="AU123" i="41" s="1"/>
  <c r="AE123" i="41"/>
  <c r="AY123" i="41" s="1"/>
  <c r="W146" i="41"/>
  <c r="AI134" i="41"/>
  <c r="AB138" i="41"/>
  <c r="AT137" i="41"/>
  <c r="BA137" i="41" s="1"/>
  <c r="BB137" i="41"/>
  <c r="AA146" i="41"/>
  <c r="BB145" i="41"/>
  <c r="AE141" i="41"/>
  <c r="AV141" i="41"/>
  <c r="AV145" i="41" s="1"/>
  <c r="AD141" i="41"/>
  <c r="AX141" i="41" s="1"/>
  <c r="AC141" i="41"/>
  <c r="AC142" i="41"/>
  <c r="AE142" i="41"/>
  <c r="AY142" i="41" s="1"/>
  <c r="AV142" i="41"/>
  <c r="AD142" i="41"/>
  <c r="AX142" i="41" s="1"/>
  <c r="R145" i="41"/>
  <c r="X145" i="41"/>
  <c r="AE127" i="41"/>
  <c r="AY127" i="41" s="1"/>
  <c r="AV127" i="41"/>
  <c r="AE130" i="41"/>
  <c r="X133" i="41"/>
  <c r="AV130" i="41"/>
  <c r="AV133" i="41" s="1"/>
  <c r="AS133" i="41"/>
  <c r="BC130" i="41"/>
  <c r="BC133" i="41" s="1"/>
  <c r="AX134" i="41"/>
  <c r="AD135" i="41"/>
  <c r="AX135" i="41" s="1"/>
  <c r="AW138" i="41"/>
  <c r="U146" i="41"/>
  <c r="AM146" i="41"/>
  <c r="BC145" i="41"/>
  <c r="S146" i="41"/>
  <c r="I148" i="41"/>
  <c r="AN149" i="41"/>
  <c r="BC115" i="41"/>
  <c r="BC121" i="41" s="1"/>
  <c r="AR129" i="41"/>
  <c r="AT124" i="41"/>
  <c r="BA124" i="41" s="1"/>
  <c r="AC127" i="41"/>
  <c r="AI127" i="41" s="1"/>
  <c r="AU127" i="41" s="1"/>
  <c r="AN129" i="41"/>
  <c r="AC130" i="41"/>
  <c r="AE132" i="41"/>
  <c r="AY132" i="41" s="1"/>
  <c r="AV132" i="41"/>
  <c r="BC138" i="41"/>
  <c r="BB136" i="41"/>
  <c r="BB138" i="41" s="1"/>
  <c r="AT136" i="41"/>
  <c r="BA136" i="41" s="1"/>
  <c r="AC137" i="41"/>
  <c r="AV137" i="41"/>
  <c r="AE137" i="41"/>
  <c r="AY137" i="41" s="1"/>
  <c r="AD137" i="41"/>
  <c r="AX137" i="41" s="1"/>
  <c r="AT142" i="41"/>
  <c r="BA142" i="41" s="1"/>
  <c r="BB142" i="41"/>
  <c r="AW144" i="41"/>
  <c r="AW145" i="41" s="1"/>
  <c r="AC144" i="41"/>
  <c r="AI144" i="41" s="1"/>
  <c r="AU144" i="41" s="1"/>
  <c r="R133" i="41"/>
  <c r="AR145" i="41"/>
  <c r="AT141" i="41"/>
  <c r="BA141" i="41" s="1"/>
  <c r="BA145" i="41" s="1"/>
  <c r="AT143" i="41"/>
  <c r="BA143" i="41" s="1"/>
  <c r="V146" i="41"/>
  <c r="AB145" i="41"/>
  <c r="AJ146" i="41"/>
  <c r="AR147" i="41" s="1"/>
  <c r="AP146" i="41"/>
  <c r="N149" i="41"/>
  <c r="AL149" i="41"/>
  <c r="AT135" i="41"/>
  <c r="BA135" i="41" s="1"/>
  <c r="BA138" i="41" s="1"/>
  <c r="R138" i="41"/>
  <c r="AS145" i="41"/>
  <c r="AZ139" i="41"/>
  <c r="AZ145" i="41" s="1"/>
  <c r="I149" i="41"/>
  <c r="O149" i="41"/>
  <c r="AN146" i="41"/>
  <c r="AI139" i="41"/>
  <c r="AC143" i="41"/>
  <c r="AI143" i="41" s="1"/>
  <c r="AU143" i="41" s="1"/>
  <c r="T149" i="41"/>
  <c r="AE34" i="40"/>
  <c r="AY34" i="40" s="1"/>
  <c r="AV34" i="40"/>
  <c r="AD34" i="40"/>
  <c r="AX34" i="40" s="1"/>
  <c r="AC34" i="40"/>
  <c r="AC35" i="40"/>
  <c r="AD35" i="40"/>
  <c r="AX35" i="40" s="1"/>
  <c r="AV35" i="40"/>
  <c r="AE35" i="40"/>
  <c r="AY35" i="40" s="1"/>
  <c r="AE40" i="40"/>
  <c r="AY40" i="40" s="1"/>
  <c r="AD40" i="40"/>
  <c r="AX40" i="40" s="1"/>
  <c r="AC40" i="40"/>
  <c r="AV40" i="40"/>
  <c r="AC41" i="40"/>
  <c r="AD41" i="40"/>
  <c r="AX41" i="40" s="1"/>
  <c r="AV41" i="40"/>
  <c r="AE41" i="40"/>
  <c r="AY41" i="40" s="1"/>
  <c r="AC29" i="40"/>
  <c r="AD29" i="40"/>
  <c r="AX29" i="40" s="1"/>
  <c r="AV29" i="40"/>
  <c r="AE29" i="40"/>
  <c r="AY29" i="40" s="1"/>
  <c r="AE13" i="40"/>
  <c r="AY13" i="40" s="1"/>
  <c r="AV13" i="40"/>
  <c r="AD13" i="40"/>
  <c r="AX13" i="40" s="1"/>
  <c r="AC13" i="40"/>
  <c r="BB19" i="40"/>
  <c r="AE31" i="40"/>
  <c r="AY31" i="40" s="1"/>
  <c r="AD31" i="40"/>
  <c r="AX31" i="40" s="1"/>
  <c r="AV31" i="40"/>
  <c r="AC31" i="40"/>
  <c r="AZ38" i="40"/>
  <c r="BB44" i="40"/>
  <c r="AC17" i="40"/>
  <c r="AD17" i="40"/>
  <c r="AX17" i="40" s="1"/>
  <c r="AV17" i="40"/>
  <c r="AE17" i="40"/>
  <c r="AY17" i="40" s="1"/>
  <c r="AD50" i="40"/>
  <c r="AX50" i="40" s="1"/>
  <c r="AC50" i="40"/>
  <c r="AV50" i="40"/>
  <c r="AE50" i="40"/>
  <c r="AY50" i="40" s="1"/>
  <c r="AE37" i="40"/>
  <c r="AY37" i="40" s="1"/>
  <c r="AV37" i="40"/>
  <c r="AD37" i="40"/>
  <c r="AX37" i="40" s="1"/>
  <c r="AC37" i="40"/>
  <c r="AE43" i="40"/>
  <c r="AY43" i="40" s="1"/>
  <c r="AD43" i="40"/>
  <c r="AX43" i="40" s="1"/>
  <c r="AC43" i="40"/>
  <c r="AV43" i="40"/>
  <c r="AV18" i="40"/>
  <c r="AE18" i="40"/>
  <c r="AY18" i="40" s="1"/>
  <c r="AD18" i="40"/>
  <c r="AX18" i="40" s="1"/>
  <c r="AC18" i="40"/>
  <c r="AC20" i="40"/>
  <c r="AV20" i="40"/>
  <c r="AE20" i="40"/>
  <c r="AD20" i="40"/>
  <c r="AW23" i="40"/>
  <c r="AV21" i="40"/>
  <c r="AE21" i="40"/>
  <c r="AY21" i="40" s="1"/>
  <c r="AD21" i="40"/>
  <c r="AX21" i="40" s="1"/>
  <c r="AC21" i="40"/>
  <c r="AE22" i="40"/>
  <c r="AY22" i="40" s="1"/>
  <c r="AD22" i="40"/>
  <c r="AX22" i="40" s="1"/>
  <c r="AV22" i="40"/>
  <c r="AC22" i="40"/>
  <c r="AV27" i="40"/>
  <c r="AE27" i="40"/>
  <c r="AY27" i="40" s="1"/>
  <c r="AD27" i="40"/>
  <c r="AX27" i="40" s="1"/>
  <c r="AC27" i="40"/>
  <c r="AW51" i="40"/>
  <c r="AZ175" i="40"/>
  <c r="AD94" i="40"/>
  <c r="AX94" i="40" s="1"/>
  <c r="AV94" i="40"/>
  <c r="AS169" i="40"/>
  <c r="AS15" i="40"/>
  <c r="AW16" i="40"/>
  <c r="AW19" i="40" s="1"/>
  <c r="BC16" i="40"/>
  <c r="BC19" i="40" s="1"/>
  <c r="BA20" i="40"/>
  <c r="BA26" i="40"/>
  <c r="AW28" i="40"/>
  <c r="AW173" i="40" s="1"/>
  <c r="BC28" i="40"/>
  <c r="BC173" i="40" s="1"/>
  <c r="AS176" i="40"/>
  <c r="AC33" i="40"/>
  <c r="AS171" i="40"/>
  <c r="AC36" i="40"/>
  <c r="AC39" i="40"/>
  <c r="BC40" i="40"/>
  <c r="BC44" i="40" s="1"/>
  <c r="AC42" i="40"/>
  <c r="AD45" i="40"/>
  <c r="AI45" i="40" s="1"/>
  <c r="AT45" i="40"/>
  <c r="AZ45" i="40"/>
  <c r="AZ51" i="40" s="1"/>
  <c r="AC48" i="40"/>
  <c r="AC49" i="40"/>
  <c r="AB177" i="40"/>
  <c r="AB53" i="40"/>
  <c r="BC54" i="40"/>
  <c r="AV66" i="40"/>
  <c r="AE66" i="40"/>
  <c r="AY66" i="40" s="1"/>
  <c r="AD66" i="40"/>
  <c r="AX66" i="40" s="1"/>
  <c r="AC66" i="40"/>
  <c r="AV69" i="40"/>
  <c r="AE69" i="40"/>
  <c r="AY69" i="40" s="1"/>
  <c r="AD69" i="40"/>
  <c r="AX69" i="40" s="1"/>
  <c r="AC69" i="40"/>
  <c r="BB88" i="40"/>
  <c r="AD85" i="40"/>
  <c r="AX85" i="40" s="1"/>
  <c r="AC85" i="40"/>
  <c r="AV85" i="40"/>
  <c r="AB92" i="40"/>
  <c r="AW90" i="40"/>
  <c r="AW92" i="40" s="1"/>
  <c r="AT101" i="40"/>
  <c r="BA101" i="40" s="1"/>
  <c r="BC101" i="40"/>
  <c r="AW130" i="40"/>
  <c r="AZ144" i="40"/>
  <c r="AW156" i="40"/>
  <c r="AW160" i="40" s="1"/>
  <c r="AC156" i="40"/>
  <c r="AI156" i="40" s="1"/>
  <c r="AU156" i="40" s="1"/>
  <c r="AT12" i="40"/>
  <c r="AZ12" i="40"/>
  <c r="R175" i="40"/>
  <c r="AH175" i="40"/>
  <c r="AB15" i="40"/>
  <c r="AT18" i="40"/>
  <c r="BA18" i="40" s="1"/>
  <c r="BB20" i="40"/>
  <c r="BB23" i="40" s="1"/>
  <c r="AT21" i="40"/>
  <c r="BA21" i="40" s="1"/>
  <c r="R23" i="40"/>
  <c r="AT24" i="40"/>
  <c r="AR25" i="40"/>
  <c r="R170" i="40"/>
  <c r="AH170" i="40"/>
  <c r="AT27" i="40"/>
  <c r="BA27" i="40" s="1"/>
  <c r="AT30" i="40"/>
  <c r="R32" i="40"/>
  <c r="AD33" i="40"/>
  <c r="AT33" i="40"/>
  <c r="AD36" i="40"/>
  <c r="AX36" i="40" s="1"/>
  <c r="AT36" i="40"/>
  <c r="BA36" i="40" s="1"/>
  <c r="AD39" i="40"/>
  <c r="AT39" i="40"/>
  <c r="AD42" i="40"/>
  <c r="AX42" i="40" s="1"/>
  <c r="AT42" i="40"/>
  <c r="BA42" i="40" s="1"/>
  <c r="AC46" i="40"/>
  <c r="AC47" i="40"/>
  <c r="BB47" i="40"/>
  <c r="AD48" i="40"/>
  <c r="AX48" i="40" s="1"/>
  <c r="AB51" i="40"/>
  <c r="AW177" i="40"/>
  <c r="AW53" i="40"/>
  <c r="AV54" i="40"/>
  <c r="AE54" i="40"/>
  <c r="AD54" i="40"/>
  <c r="BA54" i="40"/>
  <c r="BC57" i="40"/>
  <c r="AE82" i="40"/>
  <c r="AD91" i="40"/>
  <c r="AX91" i="40" s="1"/>
  <c r="AC91" i="40"/>
  <c r="AV91" i="40"/>
  <c r="AH98" i="40"/>
  <c r="AB124" i="40"/>
  <c r="AW120" i="40"/>
  <c r="AW124" i="40" s="1"/>
  <c r="AY138" i="40"/>
  <c r="AB32" i="40"/>
  <c r="AH38" i="40"/>
  <c r="BC14" i="40"/>
  <c r="BC15" i="40" s="1"/>
  <c r="BC20" i="40"/>
  <c r="BC23" i="40" s="1"/>
  <c r="AE33" i="40"/>
  <c r="BC35" i="40"/>
  <c r="BC38" i="40" s="1"/>
  <c r="AE36" i="40"/>
  <c r="AY36" i="40" s="1"/>
  <c r="AE39" i="40"/>
  <c r="AE42" i="40"/>
  <c r="AY42" i="40" s="1"/>
  <c r="AR44" i="40"/>
  <c r="R51" i="40"/>
  <c r="AD46" i="40"/>
  <c r="AX46" i="40" s="1"/>
  <c r="AT46" i="40"/>
  <c r="BA46" i="40" s="1"/>
  <c r="AE47" i="40"/>
  <c r="AY47" i="40" s="1"/>
  <c r="AV47" i="40"/>
  <c r="AE48" i="40"/>
  <c r="AY48" i="40" s="1"/>
  <c r="AT50" i="40"/>
  <c r="BA50" i="40" s="1"/>
  <c r="AD55" i="40"/>
  <c r="AC55" i="40"/>
  <c r="AV55" i="40"/>
  <c r="AV72" i="40"/>
  <c r="AE72" i="40"/>
  <c r="AY72" i="40" s="1"/>
  <c r="AD72" i="40"/>
  <c r="AX72" i="40" s="1"/>
  <c r="AC72" i="40"/>
  <c r="AV75" i="40"/>
  <c r="AE75" i="40"/>
  <c r="AD75" i="40"/>
  <c r="AC75" i="40"/>
  <c r="AD79" i="40"/>
  <c r="AX79" i="40" s="1"/>
  <c r="AV79" i="40"/>
  <c r="AE79" i="40"/>
  <c r="AY79" i="40" s="1"/>
  <c r="AC79" i="40"/>
  <c r="BC99" i="40"/>
  <c r="BA119" i="40"/>
  <c r="AR15" i="40"/>
  <c r="AB23" i="40"/>
  <c r="AH23" i="40"/>
  <c r="AH32" i="40"/>
  <c r="AB38" i="40"/>
  <c r="AT79" i="40"/>
  <c r="BA79" i="40" s="1"/>
  <c r="AR81" i="40"/>
  <c r="BB79" i="40"/>
  <c r="BB81" i="40" s="1"/>
  <c r="AY89" i="40"/>
  <c r="AY92" i="40" s="1"/>
  <c r="AV112" i="40"/>
  <c r="AD112" i="40"/>
  <c r="AX112" i="40" s="1"/>
  <c r="AE112" i="40"/>
  <c r="AY112" i="40" s="1"/>
  <c r="AC112" i="40"/>
  <c r="R169" i="40"/>
  <c r="AH169" i="40"/>
  <c r="BB12" i="40"/>
  <c r="AB175" i="40"/>
  <c r="AR175" i="40"/>
  <c r="R15" i="40"/>
  <c r="AZ16" i="40"/>
  <c r="AZ19" i="40" s="1"/>
  <c r="BB24" i="40"/>
  <c r="AB25" i="40"/>
  <c r="AH25" i="40"/>
  <c r="AZ25" i="40"/>
  <c r="AB170" i="40"/>
  <c r="AR170" i="40"/>
  <c r="AZ28" i="40"/>
  <c r="AZ173" i="40" s="1"/>
  <c r="R176" i="40"/>
  <c r="AH176" i="40"/>
  <c r="BB30" i="40"/>
  <c r="AR32" i="40"/>
  <c r="R171" i="40"/>
  <c r="AH171" i="40"/>
  <c r="BB33" i="40"/>
  <c r="AR38" i="40"/>
  <c r="AZ40" i="40"/>
  <c r="AZ44" i="40" s="1"/>
  <c r="BC45" i="40"/>
  <c r="BC51" i="40" s="1"/>
  <c r="AE46" i="40"/>
  <c r="AY46" i="40" s="1"/>
  <c r="AC54" i="40"/>
  <c r="AV57" i="40"/>
  <c r="AE57" i="40"/>
  <c r="AY57" i="40" s="1"/>
  <c r="AD57" i="40"/>
  <c r="AX57" i="40" s="1"/>
  <c r="AD58" i="40"/>
  <c r="AX58" i="40" s="1"/>
  <c r="AC58" i="40"/>
  <c r="AV58" i="40"/>
  <c r="AV61" i="40"/>
  <c r="T165" i="40"/>
  <c r="M20" i="47" s="1"/>
  <c r="BC98" i="40"/>
  <c r="AS98" i="40"/>
  <c r="BC95" i="40"/>
  <c r="AT95" i="40"/>
  <c r="BA95" i="40" s="1"/>
  <c r="BA103" i="40"/>
  <c r="AZ115" i="40"/>
  <c r="AZ118" i="40" s="1"/>
  <c r="AC123" i="40"/>
  <c r="AE123" i="40"/>
  <c r="AY123" i="40" s="1"/>
  <c r="AD123" i="40"/>
  <c r="AX123" i="40" s="1"/>
  <c r="AV123" i="40"/>
  <c r="AV134" i="40"/>
  <c r="AE134" i="40"/>
  <c r="AY134" i="40" s="1"/>
  <c r="AD134" i="40"/>
  <c r="AX134" i="40" s="1"/>
  <c r="AC134" i="40"/>
  <c r="X177" i="40"/>
  <c r="AD52" i="40"/>
  <c r="AC52" i="40"/>
  <c r="AV52" i="40"/>
  <c r="AD82" i="40"/>
  <c r="AC82" i="40"/>
  <c r="X12" i="40"/>
  <c r="X15" i="40" s="1"/>
  <c r="AW12" i="40"/>
  <c r="AW24" i="40"/>
  <c r="AS170" i="40"/>
  <c r="BA28" i="40"/>
  <c r="BA173" i="40" s="1"/>
  <c r="AW30" i="40"/>
  <c r="AS32" i="40"/>
  <c r="X171" i="40"/>
  <c r="AW33" i="40"/>
  <c r="AW39" i="40"/>
  <c r="AW44" i="40" s="1"/>
  <c r="AR51" i="40"/>
  <c r="AD49" i="40"/>
  <c r="AX49" i="40" s="1"/>
  <c r="AV49" i="40"/>
  <c r="AT49" i="40"/>
  <c r="BA49" i="40" s="1"/>
  <c r="BB49" i="40"/>
  <c r="AY55" i="40"/>
  <c r="AS60" i="40"/>
  <c r="AV63" i="40"/>
  <c r="AE63" i="40"/>
  <c r="AY63" i="40" s="1"/>
  <c r="AD63" i="40"/>
  <c r="AX63" i="40" s="1"/>
  <c r="AC63" i="40"/>
  <c r="AV78" i="40"/>
  <c r="AE78" i="40"/>
  <c r="AY78" i="40" s="1"/>
  <c r="AD78" i="40"/>
  <c r="AX78" i="40" s="1"/>
  <c r="AC78" i="40"/>
  <c r="AV80" i="40"/>
  <c r="AE80" i="40"/>
  <c r="AY80" i="40" s="1"/>
  <c r="AD80" i="40"/>
  <c r="AX80" i="40" s="1"/>
  <c r="AC80" i="40"/>
  <c r="AS92" i="40"/>
  <c r="BC90" i="40"/>
  <c r="BC92" i="40" s="1"/>
  <c r="R154" i="40"/>
  <c r="BB52" i="40"/>
  <c r="AH53" i="40"/>
  <c r="AZ53" i="40"/>
  <c r="R172" i="40"/>
  <c r="AH172" i="40"/>
  <c r="BB55" i="40"/>
  <c r="AD56" i="40"/>
  <c r="AX56" i="40" s="1"/>
  <c r="AT56" i="40"/>
  <c r="BA56" i="40" s="1"/>
  <c r="AD59" i="40"/>
  <c r="AX59" i="40" s="1"/>
  <c r="AT59" i="40"/>
  <c r="BA59" i="40" s="1"/>
  <c r="BB61" i="40"/>
  <c r="BB67" i="40" s="1"/>
  <c r="AD62" i="40"/>
  <c r="AX62" i="40" s="1"/>
  <c r="AT62" i="40"/>
  <c r="BA62" i="40" s="1"/>
  <c r="AZ62" i="40"/>
  <c r="AZ67" i="40" s="1"/>
  <c r="AV64" i="40"/>
  <c r="AD65" i="40"/>
  <c r="AX65" i="40" s="1"/>
  <c r="AT65" i="40"/>
  <c r="BA65" i="40" s="1"/>
  <c r="AD68" i="40"/>
  <c r="AT68" i="40"/>
  <c r="AZ68" i="40"/>
  <c r="AZ74" i="40" s="1"/>
  <c r="AV70" i="40"/>
  <c r="AD71" i="40"/>
  <c r="AX71" i="40" s="1"/>
  <c r="AT71" i="40"/>
  <c r="BA71" i="40" s="1"/>
  <c r="AV73" i="40"/>
  <c r="AV76" i="40"/>
  <c r="AD77" i="40"/>
  <c r="AX77" i="40" s="1"/>
  <c r="AT77" i="40"/>
  <c r="BA77" i="40" s="1"/>
  <c r="AH88" i="40"/>
  <c r="AZ82" i="40"/>
  <c r="AZ88" i="40" s="1"/>
  <c r="AW82" i="40"/>
  <c r="AV83" i="40"/>
  <c r="BC83" i="40"/>
  <c r="AE84" i="40"/>
  <c r="AY84" i="40" s="1"/>
  <c r="AV86" i="40"/>
  <c r="BC86" i="40"/>
  <c r="AE87" i="40"/>
  <c r="AY87" i="40" s="1"/>
  <c r="AC89" i="40"/>
  <c r="AH92" i="40"/>
  <c r="AD95" i="40"/>
  <c r="AX95" i="40" s="1"/>
  <c r="BC103" i="40"/>
  <c r="AD105" i="40"/>
  <c r="AV105" i="40"/>
  <c r="AT105" i="40"/>
  <c r="BA105" i="40" s="1"/>
  <c r="AV107" i="40"/>
  <c r="AD107" i="40"/>
  <c r="AE119" i="40"/>
  <c r="AE125" i="40"/>
  <c r="AV125" i="40"/>
  <c r="AD125" i="40"/>
  <c r="BA125" i="40"/>
  <c r="BA127" i="40" s="1"/>
  <c r="AV126" i="40"/>
  <c r="AC126" i="40"/>
  <c r="AC127" i="40" s="1"/>
  <c r="AE126" i="40"/>
  <c r="AY126" i="40" s="1"/>
  <c r="AE136" i="40"/>
  <c r="AY136" i="40" s="1"/>
  <c r="AV136" i="40"/>
  <c r="AD136" i="40"/>
  <c r="AX136" i="40" s="1"/>
  <c r="BC136" i="40"/>
  <c r="AT136" i="40"/>
  <c r="BA136" i="40" s="1"/>
  <c r="AC140" i="40"/>
  <c r="AV140" i="40"/>
  <c r="AD140" i="40"/>
  <c r="AX140" i="40" s="1"/>
  <c r="BB143" i="40"/>
  <c r="BC153" i="40"/>
  <c r="BC154" i="40" s="1"/>
  <c r="AS154" i="40"/>
  <c r="S165" i="40"/>
  <c r="L20" i="47" s="1"/>
  <c r="Z165" i="40"/>
  <c r="S20" i="47" s="1"/>
  <c r="BA162" i="40"/>
  <c r="R88" i="40"/>
  <c r="AX89" i="40"/>
  <c r="AD93" i="40"/>
  <c r="AV93" i="40"/>
  <c r="AT93" i="40"/>
  <c r="AR98" i="40"/>
  <c r="BB93" i="40"/>
  <c r="AV100" i="40"/>
  <c r="AD100" i="40"/>
  <c r="AX100" i="40" s="1"/>
  <c r="AV109" i="40"/>
  <c r="AV110" i="40" s="1"/>
  <c r="AD109" i="40"/>
  <c r="BC115" i="40"/>
  <c r="BC118" i="40" s="1"/>
  <c r="AT115" i="40"/>
  <c r="AC117" i="40"/>
  <c r="AV117" i="40"/>
  <c r="AD117" i="40"/>
  <c r="AX117" i="40" s="1"/>
  <c r="R118" i="40"/>
  <c r="W165" i="40"/>
  <c r="P20" i="47" s="1"/>
  <c r="BC137" i="40"/>
  <c r="AE139" i="40"/>
  <c r="AY139" i="40" s="1"/>
  <c r="AV139" i="40"/>
  <c r="AD139" i="40"/>
  <c r="AX139" i="40" s="1"/>
  <c r="AO165" i="40"/>
  <c r="AH20" i="47" s="1"/>
  <c r="BC151" i="40"/>
  <c r="AE148" i="40"/>
  <c r="AY148" i="40" s="1"/>
  <c r="AV148" i="40"/>
  <c r="AD148" i="40"/>
  <c r="AX148" i="40" s="1"/>
  <c r="AC148" i="40"/>
  <c r="AC149" i="40"/>
  <c r="AV149" i="40"/>
  <c r="AE149" i="40"/>
  <c r="AY149" i="40" s="1"/>
  <c r="AV150" i="40"/>
  <c r="AE150" i="40"/>
  <c r="AY150" i="40" s="1"/>
  <c r="AD150" i="40"/>
  <c r="AX150" i="40" s="1"/>
  <c r="AB60" i="40"/>
  <c r="AV68" i="40"/>
  <c r="BB68" i="40"/>
  <c r="BB74" i="40" s="1"/>
  <c r="AT75" i="40"/>
  <c r="AT78" i="40"/>
  <c r="BA78" i="40" s="1"/>
  <c r="AR88" i="40"/>
  <c r="AT82" i="40"/>
  <c r="AT85" i="40"/>
  <c r="BA85" i="40" s="1"/>
  <c r="AT91" i="40"/>
  <c r="BA91" i="40" s="1"/>
  <c r="AV104" i="40"/>
  <c r="AD104" i="40"/>
  <c r="BC107" i="40"/>
  <c r="AD111" i="40"/>
  <c r="AV111" i="40"/>
  <c r="AT111" i="40"/>
  <c r="AV113" i="40"/>
  <c r="AD113" i="40"/>
  <c r="AW115" i="40"/>
  <c r="AW118" i="40" s="1"/>
  <c r="AC115" i="40"/>
  <c r="AE116" i="40"/>
  <c r="AY116" i="40" s="1"/>
  <c r="AV116" i="40"/>
  <c r="AV118" i="40" s="1"/>
  <c r="AD116" i="40"/>
  <c r="AX116" i="40" s="1"/>
  <c r="AZ125" i="40"/>
  <c r="AZ127" i="40" s="1"/>
  <c r="BC128" i="40"/>
  <c r="BC130" i="40" s="1"/>
  <c r="BB141" i="40"/>
  <c r="AT141" i="40"/>
  <c r="BA141" i="40" s="1"/>
  <c r="AR144" i="40"/>
  <c r="AV153" i="40"/>
  <c r="AE153" i="40"/>
  <c r="AY153" i="40" s="1"/>
  <c r="AD153" i="40"/>
  <c r="AX153" i="40" s="1"/>
  <c r="AC153" i="40"/>
  <c r="AC158" i="40"/>
  <c r="AD158" i="40"/>
  <c r="AX158" i="40" s="1"/>
  <c r="AV158" i="40"/>
  <c r="AE158" i="40"/>
  <c r="AY158" i="40" s="1"/>
  <c r="U165" i="40"/>
  <c r="N20" i="47" s="1"/>
  <c r="AF165" i="40"/>
  <c r="Y20" i="47" s="1"/>
  <c r="AS172" i="40"/>
  <c r="AC64" i="40"/>
  <c r="AI64" i="40" s="1"/>
  <c r="AU64" i="40" s="1"/>
  <c r="AS67" i="40"/>
  <c r="AC70" i="40"/>
  <c r="AI70" i="40" s="1"/>
  <c r="AU70" i="40" s="1"/>
  <c r="AC73" i="40"/>
  <c r="AI73" i="40" s="1"/>
  <c r="AU73" i="40" s="1"/>
  <c r="AC76" i="40"/>
  <c r="AI76" i="40" s="1"/>
  <c r="AU76" i="40" s="1"/>
  <c r="AC83" i="40"/>
  <c r="AI83" i="40" s="1"/>
  <c r="AU83" i="40" s="1"/>
  <c r="AC86" i="40"/>
  <c r="AI86" i="40" s="1"/>
  <c r="AU86" i="40" s="1"/>
  <c r="R92" i="40"/>
  <c r="AC93" i="40"/>
  <c r="AZ98" i="40"/>
  <c r="AD96" i="40"/>
  <c r="AX96" i="40" s="1"/>
  <c r="AV96" i="40"/>
  <c r="AT96" i="40"/>
  <c r="BA96" i="40" s="1"/>
  <c r="BB96" i="40"/>
  <c r="AC97" i="40"/>
  <c r="AI97" i="40" s="1"/>
  <c r="AU97" i="40" s="1"/>
  <c r="AC100" i="40"/>
  <c r="AV106" i="40"/>
  <c r="AD106" i="40"/>
  <c r="AX106" i="40" s="1"/>
  <c r="AC109" i="40"/>
  <c r="BC111" i="40"/>
  <c r="AE117" i="40"/>
  <c r="AY117" i="40" s="1"/>
  <c r="AH124" i="40"/>
  <c r="AZ119" i="40"/>
  <c r="AZ124" i="40" s="1"/>
  <c r="AS137" i="40"/>
  <c r="AT131" i="40"/>
  <c r="AV132" i="40"/>
  <c r="AD132" i="40"/>
  <c r="AX132" i="40" s="1"/>
  <c r="AC132" i="40"/>
  <c r="AW144" i="40"/>
  <c r="AC139" i="40"/>
  <c r="AZ151" i="40"/>
  <c r="AD149" i="40"/>
  <c r="AX149" i="40" s="1"/>
  <c r="AC150" i="40"/>
  <c r="AK165" i="40"/>
  <c r="AW163" i="40"/>
  <c r="AW164" i="40" s="1"/>
  <c r="AC163" i="40"/>
  <c r="AT52" i="40"/>
  <c r="AR53" i="40"/>
  <c r="AT55" i="40"/>
  <c r="AZ172" i="40"/>
  <c r="R81" i="40"/>
  <c r="AV89" i="40"/>
  <c r="AD90" i="40"/>
  <c r="AX90" i="40" s="1"/>
  <c r="AV90" i="40"/>
  <c r="AT90" i="40"/>
  <c r="BB90" i="40"/>
  <c r="BB92" i="40" s="1"/>
  <c r="AE93" i="40"/>
  <c r="AE97" i="40"/>
  <c r="AY97" i="40" s="1"/>
  <c r="AV97" i="40"/>
  <c r="AV99" i="40"/>
  <c r="AT99" i="40"/>
  <c r="AE100" i="40"/>
  <c r="AY100" i="40" s="1"/>
  <c r="AV101" i="40"/>
  <c r="AD101" i="40"/>
  <c r="AX101" i="40" s="1"/>
  <c r="BC104" i="40"/>
  <c r="AE109" i="40"/>
  <c r="BC113" i="40"/>
  <c r="AR124" i="40"/>
  <c r="AC120" i="40"/>
  <c r="AD120" i="40"/>
  <c r="AX120" i="40" s="1"/>
  <c r="AV120" i="40"/>
  <c r="AE122" i="40"/>
  <c r="AY122" i="40" s="1"/>
  <c r="BB126" i="40"/>
  <c r="BB127" i="40" s="1"/>
  <c r="AR127" i="40"/>
  <c r="BA128" i="40"/>
  <c r="AV129" i="40"/>
  <c r="AD129" i="40"/>
  <c r="AC129" i="40"/>
  <c r="AS130" i="40"/>
  <c r="AW137" i="40"/>
  <c r="AD141" i="40"/>
  <c r="AX141" i="40" s="1"/>
  <c r="AC141" i="40"/>
  <c r="AI141" i="40" s="1"/>
  <c r="AU141" i="40" s="1"/>
  <c r="AV141" i="40"/>
  <c r="AB144" i="40"/>
  <c r="AX145" i="40"/>
  <c r="AC146" i="40"/>
  <c r="AE146" i="40"/>
  <c r="AY146" i="40" s="1"/>
  <c r="AH160" i="40"/>
  <c r="BC156" i="40"/>
  <c r="AS160" i="40"/>
  <c r="AT156" i="40"/>
  <c r="BA156" i="40" s="1"/>
  <c r="BB99" i="40"/>
  <c r="BB102" i="40" s="1"/>
  <c r="AZ100" i="40"/>
  <c r="AZ102" i="40" s="1"/>
  <c r="AZ103" i="40"/>
  <c r="AZ108" i="40" s="1"/>
  <c r="BB105" i="40"/>
  <c r="AT109" i="40"/>
  <c r="AZ109" i="40"/>
  <c r="AZ110" i="40" s="1"/>
  <c r="BB111" i="40"/>
  <c r="BB114" i="40" s="1"/>
  <c r="AZ112" i="40"/>
  <c r="AZ114" i="40" s="1"/>
  <c r="AR137" i="40"/>
  <c r="AC133" i="40"/>
  <c r="AV133" i="40"/>
  <c r="BB135" i="40"/>
  <c r="AT135" i="40"/>
  <c r="BA135" i="40" s="1"/>
  <c r="AC138" i="40"/>
  <c r="BC138" i="40"/>
  <c r="BC144" i="40" s="1"/>
  <c r="AS144" i="40"/>
  <c r="AH151" i="40"/>
  <c r="AR154" i="40"/>
  <c r="BB152" i="40"/>
  <c r="AT152" i="40"/>
  <c r="AQ165" i="40"/>
  <c r="AJ20" i="47" s="1"/>
  <c r="BB158" i="40"/>
  <c r="AA165" i="40"/>
  <c r="T20" i="47" s="1"/>
  <c r="AJ165" i="40"/>
  <c r="AC20" i="47" s="1"/>
  <c r="AP165" i="40"/>
  <c r="AI20" i="47" s="1"/>
  <c r="I166" i="40"/>
  <c r="K168" i="40"/>
  <c r="AR102" i="40"/>
  <c r="AR108" i="40"/>
  <c r="AR114" i="40"/>
  <c r="AV128" i="40"/>
  <c r="AE128" i="40"/>
  <c r="BB132" i="40"/>
  <c r="AT132" i="40"/>
  <c r="BA132" i="40" s="1"/>
  <c r="AD135" i="40"/>
  <c r="AX135" i="40" s="1"/>
  <c r="AC135" i="40"/>
  <c r="AV135" i="40"/>
  <c r="AX138" i="40"/>
  <c r="AE142" i="40"/>
  <c r="AY142" i="40" s="1"/>
  <c r="AV142" i="40"/>
  <c r="AD142" i="40"/>
  <c r="AX142" i="40" s="1"/>
  <c r="AC143" i="40"/>
  <c r="AV143" i="40"/>
  <c r="R151" i="40"/>
  <c r="AS151" i="40"/>
  <c r="AV147" i="40"/>
  <c r="AE147" i="40"/>
  <c r="AY147" i="40" s="1"/>
  <c r="AC147" i="40"/>
  <c r="BB150" i="40"/>
  <c r="BB153" i="40"/>
  <c r="AT153" i="40"/>
  <c r="BA153" i="40" s="1"/>
  <c r="AZ155" i="40"/>
  <c r="AZ160" i="40" s="1"/>
  <c r="R164" i="40"/>
  <c r="AI162" i="40"/>
  <c r="AU162" i="40" s="1"/>
  <c r="AB164" i="40"/>
  <c r="BC160" i="40"/>
  <c r="V165" i="40"/>
  <c r="O20" i="47" s="1"/>
  <c r="AC128" i="40"/>
  <c r="BB129" i="40"/>
  <c r="BB130" i="40" s="1"/>
  <c r="AR130" i="40"/>
  <c r="AT129" i="40"/>
  <c r="BA129" i="40" s="1"/>
  <c r="AE135" i="40"/>
  <c r="AY135" i="40" s="1"/>
  <c r="AH137" i="40"/>
  <c r="AC142" i="40"/>
  <c r="AD143" i="40"/>
  <c r="AX143" i="40" s="1"/>
  <c r="AH144" i="40"/>
  <c r="AD147" i="40"/>
  <c r="AX147" i="40" s="1"/>
  <c r="BB148" i="40"/>
  <c r="BB151" i="40" s="1"/>
  <c r="AT148" i="40"/>
  <c r="BA148" i="40" s="1"/>
  <c r="AZ154" i="40"/>
  <c r="AR160" i="40"/>
  <c r="BB155" i="40"/>
  <c r="AT155" i="40"/>
  <c r="Y165" i="40"/>
  <c r="R20" i="47" s="1"/>
  <c r="AR151" i="40"/>
  <c r="AC155" i="40"/>
  <c r="AB160" i="40"/>
  <c r="AE162" i="40"/>
  <c r="AY162" i="40" s="1"/>
  <c r="BB163" i="40"/>
  <c r="BB164" i="40" s="1"/>
  <c r="M168" i="40"/>
  <c r="R144" i="40"/>
  <c r="AL165" i="40"/>
  <c r="AE20" i="47" s="1"/>
  <c r="N168" i="40"/>
  <c r="AM165" i="40"/>
  <c r="AF20" i="47" s="1"/>
  <c r="I168" i="40"/>
  <c r="O168" i="40"/>
  <c r="Z168" i="40"/>
  <c r="AC145" i="40"/>
  <c r="AT145" i="40"/>
  <c r="AC157" i="40"/>
  <c r="AI157" i="40" s="1"/>
  <c r="AU157" i="40" s="1"/>
  <c r="AC159" i="40"/>
  <c r="AG165" i="40"/>
  <c r="Z20" i="47" s="1"/>
  <c r="AE163" i="40"/>
  <c r="AY163" i="40" s="1"/>
  <c r="AD163" i="40"/>
  <c r="AX163" i="40" s="1"/>
  <c r="AV163" i="40"/>
  <c r="AN165" i="40"/>
  <c r="AG20" i="47" s="1"/>
  <c r="AR164" i="40"/>
  <c r="S168" i="40"/>
  <c r="AC28" i="39"/>
  <c r="AV28" i="39"/>
  <c r="AE28" i="39"/>
  <c r="AY28" i="39" s="1"/>
  <c r="AD28" i="39"/>
  <c r="AX28" i="39" s="1"/>
  <c r="AV29" i="39"/>
  <c r="AE29" i="39"/>
  <c r="AY29" i="39" s="1"/>
  <c r="AD29" i="39"/>
  <c r="AX29" i="39" s="1"/>
  <c r="AC29" i="39"/>
  <c r="AC40" i="39"/>
  <c r="AE40" i="39"/>
  <c r="AY40" i="39" s="1"/>
  <c r="AV40" i="39"/>
  <c r="AD40" i="39"/>
  <c r="AX40" i="39" s="1"/>
  <c r="AV13" i="39"/>
  <c r="AC31" i="39"/>
  <c r="AV31" i="39"/>
  <c r="AV36" i="39" s="1"/>
  <c r="AE31" i="39"/>
  <c r="X36" i="39"/>
  <c r="AD31" i="39"/>
  <c r="BC36" i="39"/>
  <c r="AV38" i="39"/>
  <c r="AE38" i="39"/>
  <c r="AY38" i="39" s="1"/>
  <c r="AD38" i="39"/>
  <c r="AX38" i="39" s="1"/>
  <c r="AC38" i="39"/>
  <c r="AV32" i="39"/>
  <c r="AE32" i="39"/>
  <c r="AY32" i="39" s="1"/>
  <c r="AD32" i="39"/>
  <c r="AX32" i="39" s="1"/>
  <c r="AC32" i="39"/>
  <c r="AI32" i="39" s="1"/>
  <c r="AU32" i="39" s="1"/>
  <c r="AC34" i="39"/>
  <c r="AV34" i="39"/>
  <c r="AE34" i="39"/>
  <c r="AY34" i="39" s="1"/>
  <c r="AD34" i="39"/>
  <c r="AX34" i="39" s="1"/>
  <c r="AE20" i="39"/>
  <c r="AY20" i="39" s="1"/>
  <c r="AD20" i="39"/>
  <c r="AX20" i="39" s="1"/>
  <c r="AC20" i="39"/>
  <c r="AV20" i="39"/>
  <c r="AV35" i="39"/>
  <c r="AE35" i="39"/>
  <c r="AY35" i="39" s="1"/>
  <c r="AD35" i="39"/>
  <c r="AX35" i="39" s="1"/>
  <c r="AC35" i="39"/>
  <c r="AI35" i="39" s="1"/>
  <c r="AU35" i="39" s="1"/>
  <c r="AV26" i="39"/>
  <c r="AE26" i="39"/>
  <c r="AY26" i="39" s="1"/>
  <c r="AD26" i="39"/>
  <c r="AX26" i="39" s="1"/>
  <c r="AC26" i="39"/>
  <c r="AV23" i="39"/>
  <c r="AE23" i="39"/>
  <c r="AY23" i="39" s="1"/>
  <c r="AD23" i="39"/>
  <c r="AX23" i="39" s="1"/>
  <c r="AC23" i="39"/>
  <c r="AE41" i="39"/>
  <c r="AY41" i="39" s="1"/>
  <c r="AC41" i="39"/>
  <c r="AV41" i="39"/>
  <c r="AD41" i="39"/>
  <c r="AX41" i="39" s="1"/>
  <c r="AC16" i="39"/>
  <c r="AV16" i="39"/>
  <c r="AE16" i="39"/>
  <c r="AY16" i="39" s="1"/>
  <c r="AD16" i="39"/>
  <c r="AX16" i="39" s="1"/>
  <c r="AH127" i="39"/>
  <c r="AT15" i="39"/>
  <c r="BA15" i="39" s="1"/>
  <c r="AT21" i="39"/>
  <c r="BA21" i="39" s="1"/>
  <c r="X14" i="39"/>
  <c r="X17" i="39"/>
  <c r="BC133" i="39"/>
  <c r="BB12" i="39"/>
  <c r="AB13" i="39"/>
  <c r="AH13" i="39"/>
  <c r="AZ13" i="39"/>
  <c r="AB127" i="39"/>
  <c r="AB126" i="39" s="1"/>
  <c r="AR127" i="39"/>
  <c r="AR126" i="39" s="1"/>
  <c r="AV15" i="39"/>
  <c r="BB15" i="39"/>
  <c r="AB133" i="39"/>
  <c r="AR133" i="39"/>
  <c r="BB18" i="39"/>
  <c r="AT19" i="39"/>
  <c r="AZ19" i="39"/>
  <c r="AT22" i="39"/>
  <c r="AZ22" i="39"/>
  <c r="AZ134" i="39" s="1"/>
  <c r="R24" i="39"/>
  <c r="BB24" i="39"/>
  <c r="AT25" i="39"/>
  <c r="AZ25" i="39"/>
  <c r="AV27" i="39"/>
  <c r="BB27" i="39"/>
  <c r="BB30" i="39" s="1"/>
  <c r="R30" i="39"/>
  <c r="AT31" i="39"/>
  <c r="AZ31" i="39"/>
  <c r="AZ36" i="39" s="1"/>
  <c r="AV33" i="39"/>
  <c r="BB33" i="39"/>
  <c r="BB36" i="39" s="1"/>
  <c r="R36" i="39"/>
  <c r="AT37" i="39"/>
  <c r="AZ37" i="39"/>
  <c r="AV39" i="39"/>
  <c r="BB39" i="39"/>
  <c r="BB129" i="39" s="1"/>
  <c r="AB42" i="39"/>
  <c r="R50" i="39"/>
  <c r="X51" i="39"/>
  <c r="R56" i="39"/>
  <c r="AH65" i="39"/>
  <c r="AZ60" i="39"/>
  <c r="AT12" i="39"/>
  <c r="AR13" i="39"/>
  <c r="AB18" i="39"/>
  <c r="AH18" i="39"/>
  <c r="AT18" i="39"/>
  <c r="AW12" i="39"/>
  <c r="AS127" i="39"/>
  <c r="BC18" i="39"/>
  <c r="AW21" i="39"/>
  <c r="AW133" i="39" s="1"/>
  <c r="R46" i="39"/>
  <c r="X45" i="39"/>
  <c r="AY47" i="39"/>
  <c r="AY50" i="39" s="1"/>
  <c r="R58" i="39"/>
  <c r="X57" i="39"/>
  <c r="AH58" i="39"/>
  <c r="AR30" i="39"/>
  <c r="R42" i="39"/>
  <c r="BB42" i="39"/>
  <c r="AB50" i="39"/>
  <c r="AW47" i="39"/>
  <c r="AW50" i="39" s="1"/>
  <c r="AH56" i="39"/>
  <c r="AZ51" i="39"/>
  <c r="AZ56" i="39" s="1"/>
  <c r="AI55" i="39"/>
  <c r="AU55" i="39" s="1"/>
  <c r="AY59" i="39"/>
  <c r="AR24" i="39"/>
  <c r="AC12" i="39"/>
  <c r="AY12" i="39"/>
  <c r="BC13" i="39"/>
  <c r="BA17" i="39"/>
  <c r="AS18" i="39"/>
  <c r="X19" i="39"/>
  <c r="AW19" i="39"/>
  <c r="BC19" i="39"/>
  <c r="X22" i="39"/>
  <c r="AW22" i="39"/>
  <c r="AW134" i="39" s="1"/>
  <c r="BC22" i="39"/>
  <c r="AS24" i="39"/>
  <c r="X25" i="39"/>
  <c r="AW25" i="39"/>
  <c r="AC27" i="39"/>
  <c r="AI27" i="39" s="1"/>
  <c r="AU27" i="39" s="1"/>
  <c r="AS30" i="39"/>
  <c r="AW31" i="39"/>
  <c r="AW36" i="39" s="1"/>
  <c r="AC33" i="39"/>
  <c r="AI33" i="39" s="1"/>
  <c r="AU33" i="39" s="1"/>
  <c r="X37" i="39"/>
  <c r="AW37" i="39"/>
  <c r="BC129" i="39"/>
  <c r="BC42" i="39"/>
  <c r="AC39" i="39"/>
  <c r="AR42" i="39"/>
  <c r="AT135" i="39"/>
  <c r="AT44" i="39"/>
  <c r="BA43" i="39"/>
  <c r="AC48" i="39"/>
  <c r="AE48" i="39"/>
  <c r="AY48" i="39" s="1"/>
  <c r="AD48" i="39"/>
  <c r="AX48" i="39" s="1"/>
  <c r="AT56" i="39"/>
  <c r="BA51" i="39"/>
  <c r="BA56" i="39" s="1"/>
  <c r="AB65" i="39"/>
  <c r="AW59" i="39"/>
  <c r="AW65" i="39" s="1"/>
  <c r="AC63" i="39"/>
  <c r="AE63" i="39"/>
  <c r="AY63" i="39" s="1"/>
  <c r="AD63" i="39"/>
  <c r="AX63" i="39" s="1"/>
  <c r="R127" i="39"/>
  <c r="AB24" i="39"/>
  <c r="AH24" i="39"/>
  <c r="AB30" i="39"/>
  <c r="AH30" i="39"/>
  <c r="AD39" i="39"/>
  <c r="AX39" i="39" s="1"/>
  <c r="BB40" i="39"/>
  <c r="BB134" i="39" s="1"/>
  <c r="AZ135" i="39"/>
  <c r="AZ44" i="39"/>
  <c r="AT47" i="39"/>
  <c r="BB47" i="39"/>
  <c r="BB50" i="39" s="1"/>
  <c r="AR50" i="39"/>
  <c r="AC54" i="39"/>
  <c r="AE54" i="39"/>
  <c r="AY54" i="39" s="1"/>
  <c r="AD54" i="39"/>
  <c r="AX54" i="39" s="1"/>
  <c r="AC60" i="39"/>
  <c r="AI60" i="39" s="1"/>
  <c r="AU60" i="39" s="1"/>
  <c r="AE60" i="39"/>
  <c r="AY60" i="39" s="1"/>
  <c r="AD60" i="39"/>
  <c r="AX60" i="39" s="1"/>
  <c r="AT62" i="39"/>
  <c r="BA62" i="39" s="1"/>
  <c r="BB62" i="39"/>
  <c r="AX13" i="39"/>
  <c r="AS129" i="39"/>
  <c r="AS42" i="39"/>
  <c r="AH42" i="39"/>
  <c r="AH50" i="39"/>
  <c r="AZ48" i="39"/>
  <c r="AZ50" i="39" s="1"/>
  <c r="AT53" i="39"/>
  <c r="BA53" i="39" s="1"/>
  <c r="BB53" i="39"/>
  <c r="BB56" i="39" s="1"/>
  <c r="AR56" i="39"/>
  <c r="AR65" i="39"/>
  <c r="AT59" i="39"/>
  <c r="BB59" i="39"/>
  <c r="BB65" i="39" s="1"/>
  <c r="AT45" i="39"/>
  <c r="AV47" i="39"/>
  <c r="AV50" i="39" s="1"/>
  <c r="X50" i="39"/>
  <c r="AV53" i="39"/>
  <c r="AT57" i="39"/>
  <c r="AV59" i="39"/>
  <c r="AV65" i="39" s="1"/>
  <c r="AV62" i="39"/>
  <c r="X65" i="39"/>
  <c r="AW72" i="39"/>
  <c r="AV69" i="39"/>
  <c r="AD69" i="39"/>
  <c r="AX69" i="39" s="1"/>
  <c r="AC69" i="39"/>
  <c r="AI69" i="39" s="1"/>
  <c r="AU69" i="39" s="1"/>
  <c r="AC71" i="39"/>
  <c r="AV71" i="39"/>
  <c r="AE71" i="39"/>
  <c r="AY71" i="39" s="1"/>
  <c r="AD71" i="39"/>
  <c r="AX71" i="39" s="1"/>
  <c r="BC79" i="39"/>
  <c r="AV75" i="39"/>
  <c r="AD75" i="39"/>
  <c r="AX75" i="39" s="1"/>
  <c r="AC75" i="39"/>
  <c r="AI75" i="39" s="1"/>
  <c r="AU75" i="39" s="1"/>
  <c r="AY87" i="39"/>
  <c r="AW93" i="39"/>
  <c r="AS46" i="39"/>
  <c r="AY66" i="39"/>
  <c r="AE67" i="39"/>
  <c r="AY67" i="39" s="1"/>
  <c r="AD67" i="39"/>
  <c r="AX67" i="39" s="1"/>
  <c r="AV67" i="39"/>
  <c r="AE73" i="39"/>
  <c r="AD73" i="39"/>
  <c r="X79" i="39"/>
  <c r="AV73" i="39"/>
  <c r="AC77" i="39"/>
  <c r="AV77" i="39"/>
  <c r="AE77" i="39"/>
  <c r="AY77" i="39" s="1"/>
  <c r="AD77" i="39"/>
  <c r="AX77" i="39" s="1"/>
  <c r="AT85" i="39"/>
  <c r="BA85" i="39" s="1"/>
  <c r="AX94" i="39"/>
  <c r="AD100" i="39"/>
  <c r="AO123" i="39"/>
  <c r="AC83" i="39"/>
  <c r="AV83" i="39"/>
  <c r="AE83" i="39"/>
  <c r="AY83" i="39" s="1"/>
  <c r="AD83" i="39"/>
  <c r="AX83" i="39" s="1"/>
  <c r="AV98" i="39"/>
  <c r="AD98" i="39"/>
  <c r="AX98" i="39" s="1"/>
  <c r="AC98" i="39"/>
  <c r="AI98" i="39" s="1"/>
  <c r="AU98" i="39" s="1"/>
  <c r="AE98" i="39"/>
  <c r="AY98" i="39" s="1"/>
  <c r="AH114" i="39"/>
  <c r="AZ108" i="39"/>
  <c r="AZ114" i="39" s="1"/>
  <c r="AS44" i="39"/>
  <c r="AC47" i="39"/>
  <c r="AE49" i="39"/>
  <c r="AY49" i="39" s="1"/>
  <c r="AW51" i="39"/>
  <c r="AW56" i="39" s="1"/>
  <c r="BC51" i="39"/>
  <c r="BC56" i="39" s="1"/>
  <c r="AE52" i="39"/>
  <c r="AY52" i="39" s="1"/>
  <c r="AC53" i="39"/>
  <c r="AE55" i="39"/>
  <c r="AY55" i="39" s="1"/>
  <c r="AC59" i="39"/>
  <c r="AS65" i="39"/>
  <c r="AE61" i="39"/>
  <c r="AY61" i="39" s="1"/>
  <c r="AC62" i="39"/>
  <c r="AC67" i="39"/>
  <c r="AC68" i="39"/>
  <c r="AV68" i="39"/>
  <c r="AE68" i="39"/>
  <c r="AY68" i="39" s="1"/>
  <c r="AD68" i="39"/>
  <c r="AX68" i="39" s="1"/>
  <c r="AC73" i="39"/>
  <c r="AC74" i="39"/>
  <c r="AV74" i="39"/>
  <c r="AE74" i="39"/>
  <c r="AY74" i="39" s="1"/>
  <c r="AD74" i="39"/>
  <c r="AX74" i="39" s="1"/>
  <c r="AC92" i="39"/>
  <c r="AV92" i="39"/>
  <c r="AE92" i="39"/>
  <c r="AY92" i="39" s="1"/>
  <c r="AD92" i="39"/>
  <c r="AX92" i="39" s="1"/>
  <c r="AI96" i="39"/>
  <c r="AU96" i="39" s="1"/>
  <c r="AF123" i="39"/>
  <c r="BC122" i="39"/>
  <c r="R135" i="39"/>
  <c r="AH135" i="39"/>
  <c r="BB43" i="39"/>
  <c r="AB44" i="39"/>
  <c r="AH44" i="39"/>
  <c r="AD47" i="39"/>
  <c r="AD53" i="39"/>
  <c r="AX53" i="39" s="1"/>
  <c r="AD59" i="39"/>
  <c r="AZ65" i="39"/>
  <c r="AD62" i="39"/>
  <c r="AX62" i="39" s="1"/>
  <c r="BC72" i="39"/>
  <c r="AE70" i="39"/>
  <c r="AY70" i="39" s="1"/>
  <c r="AD70" i="39"/>
  <c r="AX70" i="39" s="1"/>
  <c r="AV70" i="39"/>
  <c r="AV78" i="39"/>
  <c r="AD78" i="39"/>
  <c r="AX78" i="39" s="1"/>
  <c r="AC78" i="39"/>
  <c r="AS86" i="39"/>
  <c r="AI85" i="39"/>
  <c r="AU85" i="39" s="1"/>
  <c r="AT93" i="39"/>
  <c r="AC89" i="39"/>
  <c r="AV89" i="39"/>
  <c r="AE89" i="39"/>
  <c r="AY89" i="39" s="1"/>
  <c r="AD89" i="39"/>
  <c r="AX89" i="39" s="1"/>
  <c r="AW95" i="39"/>
  <c r="AW100" i="39" s="1"/>
  <c r="AB100" i="39"/>
  <c r="X43" i="39"/>
  <c r="AW43" i="39"/>
  <c r="BC43" i="39"/>
  <c r="X72" i="39"/>
  <c r="BA73" i="39"/>
  <c r="BA79" i="39" s="1"/>
  <c r="AT79" i="39"/>
  <c r="AC80" i="39"/>
  <c r="X86" i="39"/>
  <c r="AV80" i="39"/>
  <c r="AE80" i="39"/>
  <c r="AD80" i="39"/>
  <c r="AD93" i="39"/>
  <c r="BA94" i="39"/>
  <c r="Z123" i="39"/>
  <c r="AL123" i="39"/>
  <c r="BB67" i="39"/>
  <c r="BB72" i="39" s="1"/>
  <c r="BB70" i="39"/>
  <c r="AR72" i="39"/>
  <c r="BB73" i="39"/>
  <c r="BB79" i="39" s="1"/>
  <c r="AV76" i="39"/>
  <c r="BB76" i="39"/>
  <c r="R79" i="39"/>
  <c r="AT80" i="39"/>
  <c r="AZ80" i="39"/>
  <c r="AZ86" i="39" s="1"/>
  <c r="AV82" i="39"/>
  <c r="BB82" i="39"/>
  <c r="BB86" i="39" s="1"/>
  <c r="AV85" i="39"/>
  <c r="BB85" i="39"/>
  <c r="AX87" i="39"/>
  <c r="AX93" i="39" s="1"/>
  <c r="AV88" i="39"/>
  <c r="BB88" i="39"/>
  <c r="BB93" i="39" s="1"/>
  <c r="AZ89" i="39"/>
  <c r="AZ93" i="39" s="1"/>
  <c r="AV91" i="39"/>
  <c r="BB91" i="39"/>
  <c r="R100" i="39"/>
  <c r="BB95" i="39"/>
  <c r="AT95" i="39"/>
  <c r="BA95" i="39" s="1"/>
  <c r="AE99" i="39"/>
  <c r="AY99" i="39" s="1"/>
  <c r="AD99" i="39"/>
  <c r="AX99" i="39" s="1"/>
  <c r="AV99" i="39"/>
  <c r="AH107" i="39"/>
  <c r="AH117" i="39"/>
  <c r="AH123" i="39" s="1"/>
  <c r="AZ115" i="39"/>
  <c r="AZ117" i="39" s="1"/>
  <c r="K126" i="39"/>
  <c r="Q126" i="39"/>
  <c r="O125" i="39" s="1"/>
  <c r="AC66" i="39"/>
  <c r="AS72" i="39"/>
  <c r="AW73" i="39"/>
  <c r="AW79" i="39" s="1"/>
  <c r="AC81" i="39"/>
  <c r="AI81" i="39" s="1"/>
  <c r="AU81" i="39" s="1"/>
  <c r="AC84" i="39"/>
  <c r="AI84" i="39" s="1"/>
  <c r="AU84" i="39" s="1"/>
  <c r="AC87" i="39"/>
  <c r="AW88" i="39"/>
  <c r="AC90" i="39"/>
  <c r="AI90" i="39" s="1"/>
  <c r="AU90" i="39" s="1"/>
  <c r="AC94" i="39"/>
  <c r="X100" i="39"/>
  <c r="AV94" i="39"/>
  <c r="BB98" i="39"/>
  <c r="AT98" i="39"/>
  <c r="BA98" i="39" s="1"/>
  <c r="BB101" i="39"/>
  <c r="BB107" i="39" s="1"/>
  <c r="AT101" i="39"/>
  <c r="BB104" i="39"/>
  <c r="AT104" i="39"/>
  <c r="BA104" i="39" s="1"/>
  <c r="R114" i="39"/>
  <c r="X108" i="39"/>
  <c r="AR114" i="39"/>
  <c r="AV110" i="39"/>
  <c r="AE110" i="39"/>
  <c r="AY110" i="39" s="1"/>
  <c r="AD110" i="39"/>
  <c r="AX110" i="39" s="1"/>
  <c r="AC110" i="39"/>
  <c r="T123" i="39"/>
  <c r="R123" i="39"/>
  <c r="AS125" i="39"/>
  <c r="AD66" i="39"/>
  <c r="AT66" i="39"/>
  <c r="AZ66" i="39"/>
  <c r="AZ72" i="39" s="1"/>
  <c r="AB72" i="39"/>
  <c r="AR79" i="39"/>
  <c r="AV95" i="39"/>
  <c r="AD95" i="39"/>
  <c r="AX95" i="39" s="1"/>
  <c r="AC95" i="39"/>
  <c r="AI95" i="39" s="1"/>
  <c r="AU95" i="39" s="1"/>
  <c r="AW114" i="39"/>
  <c r="AB114" i="39"/>
  <c r="AE118" i="39"/>
  <c r="AV118" i="39"/>
  <c r="AD118" i="39"/>
  <c r="AC118" i="39"/>
  <c r="X122" i="39"/>
  <c r="W123" i="39"/>
  <c r="AV66" i="39"/>
  <c r="AV72" i="39" s="1"/>
  <c r="AZ73" i="39"/>
  <c r="AZ79" i="39" s="1"/>
  <c r="AD76" i="39"/>
  <c r="AX76" i="39" s="1"/>
  <c r="AV87" i="39"/>
  <c r="AE94" i="39"/>
  <c r="AE95" i="39"/>
  <c r="AY95" i="39" s="1"/>
  <c r="AT96" i="39"/>
  <c r="BA96" i="39" s="1"/>
  <c r="BC96" i="39"/>
  <c r="BC100" i="39" s="1"/>
  <c r="AC97" i="39"/>
  <c r="AV97" i="39"/>
  <c r="AE97" i="39"/>
  <c r="AY97" i="39" s="1"/>
  <c r="AT99" i="39"/>
  <c r="BA99" i="39" s="1"/>
  <c r="X107" i="39"/>
  <c r="AV101" i="39"/>
  <c r="AE101" i="39"/>
  <c r="AD101" i="39"/>
  <c r="AC101" i="39"/>
  <c r="AE102" i="39"/>
  <c r="AY102" i="39" s="1"/>
  <c r="AD102" i="39"/>
  <c r="AX102" i="39" s="1"/>
  <c r="AC102" i="39"/>
  <c r="AV104" i="39"/>
  <c r="AE104" i="39"/>
  <c r="AY104" i="39" s="1"/>
  <c r="AD104" i="39"/>
  <c r="AX104" i="39" s="1"/>
  <c r="AC104" i="39"/>
  <c r="Y123" i="39"/>
  <c r="AK123" i="39"/>
  <c r="BB110" i="39"/>
  <c r="AT110" i="39"/>
  <c r="BA110" i="39" s="1"/>
  <c r="AE112" i="39"/>
  <c r="AY112" i="39" s="1"/>
  <c r="AV112" i="39"/>
  <c r="AD112" i="39"/>
  <c r="AX112" i="39" s="1"/>
  <c r="AE115" i="39"/>
  <c r="AV115" i="39"/>
  <c r="AD115" i="39"/>
  <c r="AC115" i="39"/>
  <c r="AC119" i="39"/>
  <c r="AI119" i="39" s="1"/>
  <c r="AU119" i="39" s="1"/>
  <c r="AV119" i="39"/>
  <c r="AE119" i="39"/>
  <c r="AY119" i="39" s="1"/>
  <c r="AD119" i="39"/>
  <c r="AX119" i="39" s="1"/>
  <c r="AE121" i="39"/>
  <c r="AY121" i="39" s="1"/>
  <c r="AD121" i="39"/>
  <c r="AX121" i="39" s="1"/>
  <c r="AC121" i="39"/>
  <c r="AI121" i="39" s="1"/>
  <c r="AU121" i="39" s="1"/>
  <c r="AV121" i="39"/>
  <c r="S123" i="39"/>
  <c r="AE96" i="39"/>
  <c r="AY96" i="39" s="1"/>
  <c r="AD96" i="39"/>
  <c r="AX96" i="39" s="1"/>
  <c r="AV96" i="39"/>
  <c r="AW101" i="39"/>
  <c r="AW107" i="39" s="1"/>
  <c r="AB107" i="39"/>
  <c r="AE105" i="39"/>
  <c r="AY105" i="39" s="1"/>
  <c r="AD105" i="39"/>
  <c r="AX105" i="39" s="1"/>
  <c r="AC105" i="39"/>
  <c r="AC116" i="39"/>
  <c r="AI116" i="39" s="1"/>
  <c r="AU116" i="39" s="1"/>
  <c r="AV116" i="39"/>
  <c r="AE116" i="39"/>
  <c r="AY116" i="39" s="1"/>
  <c r="AD116" i="39"/>
  <c r="AX116" i="39" s="1"/>
  <c r="AR122" i="39"/>
  <c r="AR123" i="39" s="1"/>
  <c r="BB118" i="39"/>
  <c r="AT118" i="39"/>
  <c r="AB122" i="39"/>
  <c r="AW119" i="39"/>
  <c r="AW122" i="39" s="1"/>
  <c r="AQ123" i="39"/>
  <c r="AO126" i="39"/>
  <c r="AR125" i="39" s="1"/>
  <c r="AF126" i="39"/>
  <c r="AH125" i="39" s="1"/>
  <c r="BC102" i="39"/>
  <c r="BC107" i="39" s="1"/>
  <c r="AE103" i="39"/>
  <c r="AY103" i="39" s="1"/>
  <c r="BC105" i="39"/>
  <c r="AE106" i="39"/>
  <c r="AY106" i="39" s="1"/>
  <c r="AS107" i="39"/>
  <c r="BC108" i="39"/>
  <c r="BC114" i="39" s="1"/>
  <c r="AE109" i="39"/>
  <c r="AY109" i="39" s="1"/>
  <c r="AC111" i="39"/>
  <c r="AI111" i="39" s="1"/>
  <c r="AU111" i="39" s="1"/>
  <c r="AT111" i="39"/>
  <c r="BA111" i="39" s="1"/>
  <c r="AV113" i="39"/>
  <c r="AS122" i="39"/>
  <c r="AZ118" i="39"/>
  <c r="AZ122" i="39" s="1"/>
  <c r="AE120" i="39"/>
  <c r="AY120" i="39" s="1"/>
  <c r="AJ123" i="39"/>
  <c r="AR124" i="39" s="1"/>
  <c r="AP123" i="39"/>
  <c r="Z126" i="39"/>
  <c r="AB125" i="39" s="1"/>
  <c r="BB94" i="39"/>
  <c r="BB100" i="39" s="1"/>
  <c r="AZ101" i="39"/>
  <c r="AZ107" i="39" s="1"/>
  <c r="AV103" i="39"/>
  <c r="AV106" i="39"/>
  <c r="AV109" i="39"/>
  <c r="BB109" i="39"/>
  <c r="BB114" i="39" s="1"/>
  <c r="AG123" i="39"/>
  <c r="AM123" i="39"/>
  <c r="AS117" i="39"/>
  <c r="T126" i="39"/>
  <c r="U123" i="39"/>
  <c r="AA123" i="39"/>
  <c r="N126" i="39"/>
  <c r="I125" i="39" s="1"/>
  <c r="R107" i="39"/>
  <c r="AT108" i="39"/>
  <c r="AT115" i="39"/>
  <c r="I126" i="39"/>
  <c r="O126" i="39"/>
  <c r="AD113" i="39"/>
  <c r="AX113" i="39" s="1"/>
  <c r="AC120" i="39"/>
  <c r="AT120" i="39"/>
  <c r="BA120" i="39" s="1"/>
  <c r="AT121" i="39"/>
  <c r="BA121" i="39" s="1"/>
  <c r="BB121" i="39"/>
  <c r="V123" i="39"/>
  <c r="AN123" i="39"/>
  <c r="BA144" i="40" l="1"/>
  <c r="AT127" i="40"/>
  <c r="AW176" i="40"/>
  <c r="AI47" i="40"/>
  <c r="AU47" i="40" s="1"/>
  <c r="AZ177" i="40"/>
  <c r="AV33" i="40"/>
  <c r="X38" i="40"/>
  <c r="O167" i="40"/>
  <c r="AV103" i="40"/>
  <c r="X108" i="40"/>
  <c r="AE61" i="40"/>
  <c r="AY61" i="40" s="1"/>
  <c r="AY67" i="40" s="1"/>
  <c r="X67" i="40"/>
  <c r="X151" i="40"/>
  <c r="BB144" i="40"/>
  <c r="AI35" i="40"/>
  <c r="AU35" i="40" s="1"/>
  <c r="BB60" i="40"/>
  <c r="X137" i="40"/>
  <c r="AV38" i="40"/>
  <c r="AI143" i="40"/>
  <c r="AU143" i="40" s="1"/>
  <c r="AW88" i="40"/>
  <c r="BB32" i="40"/>
  <c r="AC119" i="40"/>
  <c r="X124" i="40"/>
  <c r="AS167" i="40"/>
  <c r="BA164" i="40"/>
  <c r="AE52" i="40"/>
  <c r="X53" i="40"/>
  <c r="BC127" i="40"/>
  <c r="AV39" i="40"/>
  <c r="AV44" i="40" s="1"/>
  <c r="X44" i="40"/>
  <c r="AD99" i="40"/>
  <c r="X102" i="40"/>
  <c r="AV82" i="40"/>
  <c r="X98" i="40"/>
  <c r="AY118" i="40"/>
  <c r="AC103" i="40"/>
  <c r="AW175" i="40"/>
  <c r="AD159" i="40"/>
  <c r="AX159" i="40" s="1"/>
  <c r="AX160" i="40" s="1"/>
  <c r="AD122" i="40"/>
  <c r="AX122" i="40" s="1"/>
  <c r="BC67" i="40"/>
  <c r="AV146" i="40"/>
  <c r="AT60" i="40"/>
  <c r="AY160" i="40"/>
  <c r="AT164" i="40"/>
  <c r="AV121" i="40"/>
  <c r="BC88" i="40"/>
  <c r="AC61" i="40"/>
  <c r="BC172" i="40"/>
  <c r="BB137" i="40"/>
  <c r="I167" i="40"/>
  <c r="AS165" i="40"/>
  <c r="AL20" i="47" s="1"/>
  <c r="AT144" i="40"/>
  <c r="AC121" i="40"/>
  <c r="AI121" i="40" s="1"/>
  <c r="AU121" i="40" s="1"/>
  <c r="AV88" i="40"/>
  <c r="BA67" i="40"/>
  <c r="AD61" i="40"/>
  <c r="BA19" i="40"/>
  <c r="AE103" i="40"/>
  <c r="AD133" i="40"/>
  <c r="AX133" i="40" s="1"/>
  <c r="AS166" i="40"/>
  <c r="AD20" i="47"/>
  <c r="AC131" i="40"/>
  <c r="AD131" i="40"/>
  <c r="AX131" i="40" s="1"/>
  <c r="AE99" i="40"/>
  <c r="AY99" i="40" s="1"/>
  <c r="AC99" i="40"/>
  <c r="AI99" i="40" s="1"/>
  <c r="AU99" i="40" s="1"/>
  <c r="AB167" i="40"/>
  <c r="AE131" i="40"/>
  <c r="AE137" i="40" s="1"/>
  <c r="AX118" i="40"/>
  <c r="AV144" i="40"/>
  <c r="AD119" i="40"/>
  <c r="BA124" i="40"/>
  <c r="X172" i="40"/>
  <c r="AD103" i="40"/>
  <c r="BC25" i="40"/>
  <c r="AC94" i="40"/>
  <c r="AC111" i="40"/>
  <c r="AE111" i="40"/>
  <c r="AY111" i="40" s="1"/>
  <c r="AY114" i="40" s="1"/>
  <c r="AE68" i="40"/>
  <c r="AY68" i="40" s="1"/>
  <c r="AY74" i="40" s="1"/>
  <c r="AC68" i="40"/>
  <c r="AC74" i="40" s="1"/>
  <c r="AV159" i="40"/>
  <c r="AV160" i="40" s="1"/>
  <c r="AE160" i="40"/>
  <c r="AV131" i="40"/>
  <c r="AH165" i="40"/>
  <c r="AA20" i="47" s="1"/>
  <c r="AC122" i="40"/>
  <c r="AI122" i="40" s="1"/>
  <c r="AU122" i="40" s="1"/>
  <c r="AI116" i="40"/>
  <c r="AU116" i="40" s="1"/>
  <c r="AV119" i="40"/>
  <c r="BC176" i="40"/>
  <c r="BA175" i="40"/>
  <c r="AI58" i="40"/>
  <c r="AU58" i="40" s="1"/>
  <c r="AR168" i="40"/>
  <c r="AT19" i="40"/>
  <c r="AE92" i="40"/>
  <c r="AT124" i="40"/>
  <c r="BB51" i="40"/>
  <c r="BC170" i="40"/>
  <c r="AB168" i="40"/>
  <c r="AW60" i="40"/>
  <c r="AH167" i="40"/>
  <c r="AV151" i="40"/>
  <c r="AI146" i="40"/>
  <c r="AU146" i="40" s="1"/>
  <c r="AI153" i="40"/>
  <c r="AU153" i="40" s="1"/>
  <c r="AV51" i="40"/>
  <c r="AI132" i="40"/>
  <c r="AU132" i="40" s="1"/>
  <c r="AI134" i="40"/>
  <c r="AU134" i="40" s="1"/>
  <c r="AI72" i="40"/>
  <c r="AU72" i="40" s="1"/>
  <c r="AI27" i="40"/>
  <c r="AU27" i="40" s="1"/>
  <c r="AY51" i="40"/>
  <c r="AY151" i="40"/>
  <c r="AE118" i="40"/>
  <c r="AI148" i="40"/>
  <c r="AU148" i="40" s="1"/>
  <c r="AI87" i="40"/>
  <c r="AU87" i="40" s="1"/>
  <c r="AI21" i="40"/>
  <c r="AU21" i="40" s="1"/>
  <c r="AI40" i="40"/>
  <c r="AU40" i="40" s="1"/>
  <c r="AI31" i="40"/>
  <c r="AU31" i="40" s="1"/>
  <c r="Y200" i="42"/>
  <c r="X200" i="42"/>
  <c r="AU107" i="42"/>
  <c r="AU101" i="42"/>
  <c r="AR200" i="42"/>
  <c r="AH199" i="42"/>
  <c r="AC195" i="42"/>
  <c r="AV195" i="42"/>
  <c r="AD195" i="42"/>
  <c r="AX195" i="42" s="1"/>
  <c r="AE195" i="42"/>
  <c r="AY195" i="42" s="1"/>
  <c r="R200" i="42"/>
  <c r="AB200" i="42"/>
  <c r="AI176" i="42"/>
  <c r="AU176" i="42" s="1"/>
  <c r="BB198" i="42"/>
  <c r="AT172" i="42"/>
  <c r="BB145" i="42"/>
  <c r="AT185" i="42"/>
  <c r="AY173" i="42"/>
  <c r="AY179" i="42" s="1"/>
  <c r="AE179" i="42"/>
  <c r="BB166" i="42"/>
  <c r="AX149" i="42"/>
  <c r="AX153" i="42" s="1"/>
  <c r="AD153" i="42"/>
  <c r="AI134" i="42"/>
  <c r="AU134" i="42" s="1"/>
  <c r="AX133" i="42"/>
  <c r="AX135" i="42" s="1"/>
  <c r="AD135" i="42"/>
  <c r="AD148" i="42"/>
  <c r="AX146" i="42"/>
  <c r="AX148" i="42" s="1"/>
  <c r="AI144" i="42"/>
  <c r="AU144" i="42" s="1"/>
  <c r="AI120" i="42"/>
  <c r="AU120" i="42" s="1"/>
  <c r="AY48" i="42"/>
  <c r="AT113" i="42"/>
  <c r="BC56" i="42"/>
  <c r="AT56" i="42"/>
  <c r="BA56" i="42" s="1"/>
  <c r="AD90" i="42"/>
  <c r="AX87" i="42"/>
  <c r="AX90" i="42" s="1"/>
  <c r="AW212" i="42"/>
  <c r="AW47" i="42"/>
  <c r="AC30" i="42"/>
  <c r="AI27" i="42"/>
  <c r="AI76" i="42"/>
  <c r="AU76" i="42" s="1"/>
  <c r="AC65" i="42"/>
  <c r="AI60" i="42"/>
  <c r="AI103" i="42"/>
  <c r="AU103" i="42" s="1"/>
  <c r="AY87" i="42"/>
  <c r="AY90" i="42" s="1"/>
  <c r="AE90" i="42"/>
  <c r="AE211" i="42"/>
  <c r="AE79" i="42"/>
  <c r="AY78" i="42"/>
  <c r="AV77" i="42"/>
  <c r="AI57" i="42"/>
  <c r="AU57" i="42" s="1"/>
  <c r="AI94" i="42"/>
  <c r="AU94" i="42" s="1"/>
  <c r="AD77" i="42"/>
  <c r="BB210" i="42"/>
  <c r="AH202" i="42"/>
  <c r="BB70" i="42"/>
  <c r="AX23" i="42"/>
  <c r="AX26" i="42" s="1"/>
  <c r="AD26" i="42"/>
  <c r="AW203" i="42"/>
  <c r="AY45" i="42"/>
  <c r="AE38" i="42"/>
  <c r="AY35" i="42"/>
  <c r="AY38" i="42" s="1"/>
  <c r="AC40" i="42"/>
  <c r="X41" i="42"/>
  <c r="AE40" i="42"/>
  <c r="AD40" i="42"/>
  <c r="AV40" i="42"/>
  <c r="AT209" i="42"/>
  <c r="AI13" i="42"/>
  <c r="AU13" i="42" s="1"/>
  <c r="X212" i="42"/>
  <c r="AC46" i="42"/>
  <c r="X47" i="42"/>
  <c r="AE46" i="42"/>
  <c r="AD46" i="42"/>
  <c r="AV46" i="42"/>
  <c r="AD22" i="42"/>
  <c r="AX19" i="42"/>
  <c r="AX22" i="42" s="1"/>
  <c r="BC203" i="42"/>
  <c r="AI43" i="42"/>
  <c r="AU43" i="42" s="1"/>
  <c r="AI29" i="42"/>
  <c r="AU29" i="42" s="1"/>
  <c r="AI170" i="42"/>
  <c r="AU170" i="42" s="1"/>
  <c r="AI167" i="42"/>
  <c r="AI164" i="42"/>
  <c r="AU164" i="42" s="1"/>
  <c r="AR199" i="42"/>
  <c r="AI171" i="42"/>
  <c r="AU171" i="42" s="1"/>
  <c r="BA138" i="42"/>
  <c r="AI160" i="42"/>
  <c r="AU160" i="42" s="1"/>
  <c r="AV179" i="42"/>
  <c r="BA163" i="42"/>
  <c r="BA166" i="42" s="1"/>
  <c r="AT166" i="42"/>
  <c r="AX107" i="42"/>
  <c r="AX157" i="42"/>
  <c r="AX162" i="42" s="1"/>
  <c r="AD162" i="42"/>
  <c r="AE154" i="42"/>
  <c r="X156" i="42"/>
  <c r="AV154" i="42"/>
  <c r="AV156" i="42" s="1"/>
  <c r="AD154" i="42"/>
  <c r="AC154" i="42"/>
  <c r="AE153" i="42"/>
  <c r="AY149" i="42"/>
  <c r="AY153" i="42" s="1"/>
  <c r="AE135" i="42"/>
  <c r="AY133" i="42"/>
  <c r="AY135" i="42" s="1"/>
  <c r="AT126" i="42"/>
  <c r="BA123" i="42"/>
  <c r="BA126" i="42" s="1"/>
  <c r="AY146" i="42"/>
  <c r="AY148" i="42" s="1"/>
  <c r="AE148" i="42"/>
  <c r="AI121" i="42"/>
  <c r="AU121" i="42" s="1"/>
  <c r="AY139" i="42"/>
  <c r="AI141" i="42"/>
  <c r="AU141" i="42" s="1"/>
  <c r="X96" i="42"/>
  <c r="AD91" i="42"/>
  <c r="AE91" i="42"/>
  <c r="AV91" i="42"/>
  <c r="AV96" i="42" s="1"/>
  <c r="AC91" i="42"/>
  <c r="AE77" i="42"/>
  <c r="AC70" i="42"/>
  <c r="AI66" i="42"/>
  <c r="AY60" i="42"/>
  <c r="AE65" i="42"/>
  <c r="BC209" i="42"/>
  <c r="AI97" i="42"/>
  <c r="AC100" i="42"/>
  <c r="AI80" i="42"/>
  <c r="AC86" i="42"/>
  <c r="AT210" i="42"/>
  <c r="BA51" i="42"/>
  <c r="BA210" i="42" s="1"/>
  <c r="AT86" i="42"/>
  <c r="AC210" i="42"/>
  <c r="AI51" i="42"/>
  <c r="AC45" i="42"/>
  <c r="AI42" i="42"/>
  <c r="AI92" i="42"/>
  <c r="AU92" i="42" s="1"/>
  <c r="BA211" i="42"/>
  <c r="BA79" i="42"/>
  <c r="AI72" i="42"/>
  <c r="AU72" i="42" s="1"/>
  <c r="AI58" i="42"/>
  <c r="AU58" i="42" s="1"/>
  <c r="R202" i="42"/>
  <c r="X201" i="42" s="1"/>
  <c r="AZ209" i="42"/>
  <c r="AS59" i="42"/>
  <c r="AX12" i="42"/>
  <c r="AV38" i="42"/>
  <c r="AI20" i="42"/>
  <c r="AU20" i="42" s="1"/>
  <c r="AI23" i="42"/>
  <c r="AC26" i="42"/>
  <c r="X209" i="42"/>
  <c r="AE17" i="42"/>
  <c r="AC17" i="42"/>
  <c r="AD17" i="42"/>
  <c r="AV17" i="42"/>
  <c r="BA42" i="42"/>
  <c r="BA45" i="42" s="1"/>
  <c r="AT45" i="42"/>
  <c r="AY19" i="42"/>
  <c r="AY22" i="42" s="1"/>
  <c r="AE22" i="42"/>
  <c r="BB203" i="42"/>
  <c r="BB18" i="42"/>
  <c r="AY192" i="42"/>
  <c r="AY198" i="42" s="1"/>
  <c r="AE198" i="42"/>
  <c r="BA192" i="42"/>
  <c r="BA198" i="42" s="1"/>
  <c r="AT198" i="42"/>
  <c r="AT179" i="42"/>
  <c r="BA173" i="42"/>
  <c r="BA179" i="42" s="1"/>
  <c r="AI180" i="42"/>
  <c r="AI173" i="42"/>
  <c r="AC179" i="42"/>
  <c r="AX131" i="42"/>
  <c r="AX210" i="42" s="1"/>
  <c r="AI131" i="42"/>
  <c r="AU131" i="42" s="1"/>
  <c r="AE162" i="42"/>
  <c r="AY157" i="42"/>
  <c r="AY162" i="42" s="1"/>
  <c r="AC126" i="42"/>
  <c r="AI123" i="42"/>
  <c r="AT153" i="42"/>
  <c r="BA149" i="42"/>
  <c r="BA153" i="42" s="1"/>
  <c r="AT116" i="42"/>
  <c r="BA114" i="42"/>
  <c r="BA116" i="42" s="1"/>
  <c r="AV86" i="42"/>
  <c r="AE70" i="42"/>
  <c r="AY66" i="42"/>
  <c r="AY70" i="42" s="1"/>
  <c r="AE86" i="42"/>
  <c r="AY80" i="42"/>
  <c r="AY86" i="42" s="1"/>
  <c r="AD210" i="42"/>
  <c r="AC49" i="42"/>
  <c r="AI49" i="42" s="1"/>
  <c r="AU49" i="42" s="1"/>
  <c r="AV49" i="42"/>
  <c r="AE49" i="42"/>
  <c r="AY49" i="42" s="1"/>
  <c r="AD49" i="42"/>
  <c r="AC41" i="42"/>
  <c r="AI39" i="42"/>
  <c r="AI75" i="42"/>
  <c r="AU75" i="42" s="1"/>
  <c r="BB206" i="42"/>
  <c r="BB65" i="42"/>
  <c r="AI87" i="42"/>
  <c r="AC90" i="42"/>
  <c r="BA71" i="42"/>
  <c r="BA77" i="42" s="1"/>
  <c r="AT77" i="42"/>
  <c r="AT212" i="42"/>
  <c r="BA46" i="42"/>
  <c r="AT47" i="42"/>
  <c r="AX31" i="42"/>
  <c r="AX34" i="42" s="1"/>
  <c r="AD34" i="42"/>
  <c r="AZ212" i="42"/>
  <c r="AZ47" i="42"/>
  <c r="AZ199" i="42" s="1"/>
  <c r="AT203" i="42"/>
  <c r="BA12" i="42"/>
  <c r="AT18" i="42"/>
  <c r="BA31" i="42"/>
  <c r="BA34" i="42" s="1"/>
  <c r="AT34" i="42"/>
  <c r="AE26" i="42"/>
  <c r="AY23" i="42"/>
  <c r="AY26" i="42" s="1"/>
  <c r="AW206" i="42"/>
  <c r="AI19" i="42"/>
  <c r="AC22" i="42"/>
  <c r="AR202" i="42"/>
  <c r="BA36" i="42"/>
  <c r="BA38" i="42" s="1"/>
  <c r="AT38" i="42"/>
  <c r="BA27" i="42"/>
  <c r="BA30" i="42" s="1"/>
  <c r="AT30" i="42"/>
  <c r="BB191" i="42"/>
  <c r="BC198" i="42"/>
  <c r="AI192" i="42"/>
  <c r="AC198" i="42"/>
  <c r="AV198" i="42"/>
  <c r="AI190" i="42"/>
  <c r="AU190" i="42" s="1"/>
  <c r="AE172" i="42"/>
  <c r="AY167" i="42"/>
  <c r="AY172" i="42" s="1"/>
  <c r="AB199" i="42"/>
  <c r="BB179" i="42"/>
  <c r="X191" i="42"/>
  <c r="AD186" i="42"/>
  <c r="AC186" i="42"/>
  <c r="AV186" i="42"/>
  <c r="AV191" i="42" s="1"/>
  <c r="AE186" i="42"/>
  <c r="AI175" i="42"/>
  <c r="AU175" i="42" s="1"/>
  <c r="X138" i="42"/>
  <c r="AD136" i="42"/>
  <c r="AE136" i="42"/>
  <c r="AC136" i="42"/>
  <c r="AC203" i="42" s="1"/>
  <c r="AV136" i="42"/>
  <c r="AV138" i="42" s="1"/>
  <c r="AT156" i="42"/>
  <c r="AE163" i="42"/>
  <c r="X166" i="42"/>
  <c r="AV163" i="42"/>
  <c r="AV166" i="42" s="1"/>
  <c r="AC163" i="42"/>
  <c r="AD163" i="42"/>
  <c r="AI137" i="42"/>
  <c r="AU137" i="42" s="1"/>
  <c r="AV106" i="42"/>
  <c r="AI157" i="42"/>
  <c r="AC162" i="42"/>
  <c r="AC153" i="42"/>
  <c r="AI149" i="42"/>
  <c r="BA132" i="42"/>
  <c r="AI119" i="42"/>
  <c r="AU119" i="42" s="1"/>
  <c r="AE181" i="42"/>
  <c r="AC181" i="42"/>
  <c r="AI181" i="42" s="1"/>
  <c r="AU181" i="42" s="1"/>
  <c r="X185" i="42"/>
  <c r="X199" i="42" s="1"/>
  <c r="AC200" i="42" s="1"/>
  <c r="AV181" i="42"/>
  <c r="AV185" i="42" s="1"/>
  <c r="AD181" i="42"/>
  <c r="AI115" i="42"/>
  <c r="AU115" i="42" s="1"/>
  <c r="AE122" i="42"/>
  <c r="AI184" i="42"/>
  <c r="AU184" i="42" s="1"/>
  <c r="AC116" i="42"/>
  <c r="AI114" i="42"/>
  <c r="BB96" i="42"/>
  <c r="BC205" i="42"/>
  <c r="AI98" i="42"/>
  <c r="AU98" i="42" s="1"/>
  <c r="AI83" i="42"/>
  <c r="AU83" i="42" s="1"/>
  <c r="BC206" i="42"/>
  <c r="AS200" i="42"/>
  <c r="AC77" i="42"/>
  <c r="BB211" i="42"/>
  <c r="BB79" i="42"/>
  <c r="BA66" i="42"/>
  <c r="BA70" i="42" s="1"/>
  <c r="AT70" i="42"/>
  <c r="AI37" i="42"/>
  <c r="AU37" i="42" s="1"/>
  <c r="AY31" i="42"/>
  <c r="AY34" i="42" s="1"/>
  <c r="AE34" i="42"/>
  <c r="AI28" i="42"/>
  <c r="AU28" i="42" s="1"/>
  <c r="BA39" i="42"/>
  <c r="BA41" i="42" s="1"/>
  <c r="AT41" i="42"/>
  <c r="AB202" i="42"/>
  <c r="AI12" i="42"/>
  <c r="AI56" i="42"/>
  <c r="AU56" i="42" s="1"/>
  <c r="AI44" i="42"/>
  <c r="AU44" i="42" s="1"/>
  <c r="AI32" i="42"/>
  <c r="AU32" i="42" s="1"/>
  <c r="X205" i="42"/>
  <c r="AE14" i="42"/>
  <c r="AD14" i="42"/>
  <c r="AD18" i="42" s="1"/>
  <c r="AV14" i="42"/>
  <c r="AV205" i="42" s="1"/>
  <c r="AC14" i="42"/>
  <c r="AC18" i="42" s="1"/>
  <c r="AD86" i="42"/>
  <c r="AI52" i="42"/>
  <c r="AU52" i="42" s="1"/>
  <c r="AE30" i="42"/>
  <c r="AZ18" i="42"/>
  <c r="AS199" i="42"/>
  <c r="AD179" i="42"/>
  <c r="AX173" i="42"/>
  <c r="AX179" i="42" s="1"/>
  <c r="AX101" i="42"/>
  <c r="AX106" i="42" s="1"/>
  <c r="AD106" i="42"/>
  <c r="AV162" i="42"/>
  <c r="AV153" i="42"/>
  <c r="AT132" i="42"/>
  <c r="AT122" i="42"/>
  <c r="BA117" i="42"/>
  <c r="BA122" i="42" s="1"/>
  <c r="BB153" i="42"/>
  <c r="AI139" i="42"/>
  <c r="AV116" i="42"/>
  <c r="BC59" i="42"/>
  <c r="AX98" i="42"/>
  <c r="AX100" i="42" s="1"/>
  <c r="AD100" i="42"/>
  <c r="AT206" i="42"/>
  <c r="AT65" i="42"/>
  <c r="BA60" i="42"/>
  <c r="AW211" i="42"/>
  <c r="AW79" i="42"/>
  <c r="AW199" i="42" s="1"/>
  <c r="AI48" i="42"/>
  <c r="AI82" i="42"/>
  <c r="AU82" i="42" s="1"/>
  <c r="AV211" i="42"/>
  <c r="AV79" i="42"/>
  <c r="AU71" i="42"/>
  <c r="AS209" i="42"/>
  <c r="AS202" i="42" s="1"/>
  <c r="AI89" i="42"/>
  <c r="AU89" i="42" s="1"/>
  <c r="X59" i="42"/>
  <c r="AV54" i="42"/>
  <c r="AV59" i="42" s="1"/>
  <c r="AE54" i="42"/>
  <c r="AD54" i="42"/>
  <c r="AC54" i="42"/>
  <c r="BB204" i="42"/>
  <c r="BB53" i="42"/>
  <c r="AI31" i="42"/>
  <c r="AC34" i="42"/>
  <c r="AT205" i="42"/>
  <c r="AE203" i="42"/>
  <c r="AY12" i="42"/>
  <c r="AE18" i="42"/>
  <c r="AX86" i="42"/>
  <c r="AY30" i="42"/>
  <c r="AT191" i="42"/>
  <c r="BA186" i="42"/>
  <c r="BA191" i="42" s="1"/>
  <c r="AX192" i="42"/>
  <c r="AX198" i="42" s="1"/>
  <c r="AD198" i="42"/>
  <c r="AD168" i="42"/>
  <c r="AC168" i="42"/>
  <c r="AI168" i="42" s="1"/>
  <c r="AU168" i="42" s="1"/>
  <c r="AE168" i="42"/>
  <c r="AY168" i="42" s="1"/>
  <c r="AV168" i="42"/>
  <c r="AV172" i="42" s="1"/>
  <c r="AI165" i="42"/>
  <c r="AU165" i="42" s="1"/>
  <c r="AI150" i="42"/>
  <c r="AU150" i="42" s="1"/>
  <c r="BA140" i="42"/>
  <c r="BA145" i="42" s="1"/>
  <c r="AT145" i="42"/>
  <c r="AT135" i="42"/>
  <c r="AI158" i="42"/>
  <c r="AU158" i="42" s="1"/>
  <c r="AD127" i="42"/>
  <c r="AD206" i="42" s="1"/>
  <c r="X132" i="42"/>
  <c r="AC127" i="42"/>
  <c r="AE127" i="42"/>
  <c r="AV127" i="42"/>
  <c r="AV132" i="42" s="1"/>
  <c r="AC135" i="42"/>
  <c r="AI133" i="42"/>
  <c r="AI125" i="42"/>
  <c r="AU125" i="42" s="1"/>
  <c r="AC122" i="42"/>
  <c r="AI117" i="42"/>
  <c r="AC148" i="42"/>
  <c r="AI146" i="42"/>
  <c r="AE142" i="42"/>
  <c r="AY142" i="42" s="1"/>
  <c r="AV142" i="42"/>
  <c r="AV145" i="42" s="1"/>
  <c r="AD142" i="42"/>
  <c r="AX142" i="42" s="1"/>
  <c r="AC142" i="42"/>
  <c r="AE126" i="42"/>
  <c r="AX139" i="42"/>
  <c r="AX145" i="42" s="1"/>
  <c r="AD145" i="42"/>
  <c r="AX114" i="42"/>
  <c r="AX116" i="42" s="1"/>
  <c r="AD116" i="42"/>
  <c r="AI183" i="42"/>
  <c r="AU183" i="42" s="1"/>
  <c r="AE100" i="42"/>
  <c r="AY97" i="42"/>
  <c r="AY100" i="42" s="1"/>
  <c r="AD110" i="42"/>
  <c r="AX110" i="42" s="1"/>
  <c r="AE110" i="42"/>
  <c r="AV110" i="42"/>
  <c r="AV113" i="42" s="1"/>
  <c r="AC110" i="42"/>
  <c r="AI67" i="42"/>
  <c r="AU67" i="42" s="1"/>
  <c r="AE210" i="42"/>
  <c r="AY51" i="42"/>
  <c r="AY210" i="42" s="1"/>
  <c r="BA113" i="42"/>
  <c r="AV100" i="42"/>
  <c r="AD65" i="42"/>
  <c r="AX60" i="42"/>
  <c r="X53" i="42"/>
  <c r="AT204" i="42"/>
  <c r="BA48" i="42"/>
  <c r="AT53" i="42"/>
  <c r="AD211" i="42"/>
  <c r="AX78" i="42"/>
  <c r="AD79" i="42"/>
  <c r="BA54" i="42"/>
  <c r="BA59" i="42" s="1"/>
  <c r="AT59" i="42"/>
  <c r="BC212" i="42"/>
  <c r="BC47" i="42"/>
  <c r="AV206" i="42"/>
  <c r="AV65" i="42"/>
  <c r="AC211" i="42"/>
  <c r="AC79" i="42"/>
  <c r="AI78" i="42"/>
  <c r="AI73" i="42"/>
  <c r="AU73" i="42" s="1"/>
  <c r="AC113" i="42"/>
  <c r="AV41" i="42"/>
  <c r="BB77" i="42"/>
  <c r="AW204" i="42"/>
  <c r="AW53" i="42"/>
  <c r="AI35" i="42"/>
  <c r="AC38" i="42"/>
  <c r="AV26" i="42"/>
  <c r="AD70" i="42"/>
  <c r="BA209" i="42"/>
  <c r="X203" i="42"/>
  <c r="X202" i="42" s="1"/>
  <c r="AC201" i="42" s="1"/>
  <c r="BC18" i="42"/>
  <c r="AZ203" i="42"/>
  <c r="AZ202" i="42" s="1"/>
  <c r="AU84" i="41"/>
  <c r="AU87" i="41" s="1"/>
  <c r="AU134" i="41"/>
  <c r="AC145" i="41"/>
  <c r="R146" i="41"/>
  <c r="X121" i="41"/>
  <c r="AE115" i="41"/>
  <c r="AD115" i="41"/>
  <c r="AC115" i="41"/>
  <c r="AV115" i="41"/>
  <c r="AV121" i="41" s="1"/>
  <c r="R147" i="41"/>
  <c r="AB147" i="41"/>
  <c r="BA122" i="41"/>
  <c r="BA129" i="41" s="1"/>
  <c r="AT129" i="41"/>
  <c r="AT121" i="41"/>
  <c r="BB97" i="41"/>
  <c r="AY103" i="41"/>
  <c r="AI124" i="41"/>
  <c r="AU124" i="41" s="1"/>
  <c r="AV138" i="41"/>
  <c r="AI118" i="41"/>
  <c r="AU118" i="41" s="1"/>
  <c r="AI101" i="41"/>
  <c r="AU101" i="41" s="1"/>
  <c r="AY92" i="41"/>
  <c r="AD87" i="41"/>
  <c r="AX84" i="41"/>
  <c r="AX87" i="41" s="1"/>
  <c r="AI59" i="41"/>
  <c r="AU59" i="41" s="1"/>
  <c r="AT91" i="41"/>
  <c r="AV58" i="41"/>
  <c r="AD58" i="41"/>
  <c r="AX58" i="41" s="1"/>
  <c r="AC58" i="41"/>
  <c r="AE58" i="41"/>
  <c r="AY58" i="41" s="1"/>
  <c r="AC153" i="41"/>
  <c r="AI90" i="41"/>
  <c r="AU90" i="41" s="1"/>
  <c r="AY66" i="41"/>
  <c r="AY69" i="41" s="1"/>
  <c r="AE69" i="41"/>
  <c r="AI46" i="41"/>
  <c r="AU46" i="41" s="1"/>
  <c r="AY17" i="41"/>
  <c r="AZ150" i="41"/>
  <c r="AI85" i="41"/>
  <c r="AU85" i="41" s="1"/>
  <c r="AX30" i="41"/>
  <c r="AX32" i="41" s="1"/>
  <c r="AD32" i="41"/>
  <c r="AB149" i="41"/>
  <c r="AI48" i="41"/>
  <c r="BC153" i="41"/>
  <c r="AI39" i="41"/>
  <c r="AU39" i="41" s="1"/>
  <c r="AD153" i="41"/>
  <c r="AX35" i="41"/>
  <c r="AX153" i="41" s="1"/>
  <c r="AT158" i="41"/>
  <c r="AT29" i="41"/>
  <c r="BA28" i="41"/>
  <c r="AE16" i="41"/>
  <c r="AE40" i="41"/>
  <c r="AI26" i="41"/>
  <c r="AU26" i="41" s="1"/>
  <c r="AU139" i="41"/>
  <c r="AB146" i="41"/>
  <c r="AI135" i="41"/>
  <c r="AU135" i="41" s="1"/>
  <c r="AY138" i="41"/>
  <c r="AI109" i="41"/>
  <c r="AU109" i="41" s="1"/>
  <c r="AI125" i="41"/>
  <c r="AU125" i="41" s="1"/>
  <c r="AI120" i="41"/>
  <c r="AU120" i="41" s="1"/>
  <c r="AI113" i="41"/>
  <c r="AU113" i="41" s="1"/>
  <c r="AC88" i="41"/>
  <c r="X91" i="41"/>
  <c r="AD88" i="41"/>
  <c r="AV88" i="41"/>
  <c r="AV91" i="41" s="1"/>
  <c r="AE88" i="41"/>
  <c r="AT97" i="41"/>
  <c r="AS62" i="41"/>
  <c r="AS146" i="41" s="1"/>
  <c r="BC58" i="41"/>
  <c r="BC62" i="41" s="1"/>
  <c r="AD107" i="41"/>
  <c r="AX104" i="41"/>
  <c r="AX107" i="41" s="1"/>
  <c r="X159" i="41"/>
  <c r="AE98" i="41"/>
  <c r="X99" i="41"/>
  <c r="AV98" i="41"/>
  <c r="AD98" i="41"/>
  <c r="AC98" i="41"/>
  <c r="AZ153" i="41"/>
  <c r="AE32" i="41"/>
  <c r="AY30" i="41"/>
  <c r="AY32" i="41" s="1"/>
  <c r="AS156" i="41"/>
  <c r="AS149" i="41" s="1"/>
  <c r="AI71" i="41"/>
  <c r="AU71" i="41" s="1"/>
  <c r="AE51" i="41"/>
  <c r="AC51" i="41"/>
  <c r="AV51" i="41"/>
  <c r="AD51" i="41"/>
  <c r="AX51" i="41" s="1"/>
  <c r="AW151" i="41"/>
  <c r="AY40" i="41"/>
  <c r="AD138" i="41"/>
  <c r="AY141" i="41"/>
  <c r="AY145" i="41" s="1"/>
  <c r="AE145" i="41"/>
  <c r="AE138" i="41"/>
  <c r="AS147" i="41"/>
  <c r="AD103" i="41"/>
  <c r="AX100" i="41"/>
  <c r="AX103" i="41" s="1"/>
  <c r="AY84" i="41"/>
  <c r="AY87" i="41" s="1"/>
  <c r="AE87" i="41"/>
  <c r="BA86" i="41"/>
  <c r="BA87" i="41" s="1"/>
  <c r="AT87" i="41"/>
  <c r="R149" i="41"/>
  <c r="X148" i="41" s="1"/>
  <c r="AI74" i="41"/>
  <c r="AU74" i="41" s="1"/>
  <c r="AD47" i="41"/>
  <c r="AX43" i="41"/>
  <c r="AX47" i="41" s="1"/>
  <c r="AW157" i="41"/>
  <c r="AT150" i="41"/>
  <c r="AT16" i="41"/>
  <c r="BA12" i="41"/>
  <c r="BC157" i="41"/>
  <c r="AI15" i="41"/>
  <c r="AC16" i="41"/>
  <c r="AI12" i="41"/>
  <c r="AD49" i="41"/>
  <c r="AX49" i="41" s="1"/>
  <c r="AC49" i="41"/>
  <c r="AC54" i="41" s="1"/>
  <c r="AV49" i="41"/>
  <c r="AV151" i="41" s="1"/>
  <c r="AE49" i="41"/>
  <c r="AY49" i="41" s="1"/>
  <c r="AV153" i="41"/>
  <c r="AY16" i="41"/>
  <c r="AE153" i="41"/>
  <c r="AI30" i="41"/>
  <c r="AC32" i="41"/>
  <c r="AI17" i="41"/>
  <c r="AY83" i="41"/>
  <c r="AC40" i="41"/>
  <c r="AI33" i="41"/>
  <c r="AY22" i="41"/>
  <c r="AY27" i="41" s="1"/>
  <c r="AE27" i="41"/>
  <c r="AI50" i="41"/>
  <c r="AU50" i="41" s="1"/>
  <c r="AI24" i="41"/>
  <c r="AU24" i="41" s="1"/>
  <c r="AT138" i="41"/>
  <c r="AX138" i="41"/>
  <c r="AC138" i="41"/>
  <c r="AD145" i="41"/>
  <c r="AZ159" i="41"/>
  <c r="AZ99" i="41"/>
  <c r="BA91" i="41"/>
  <c r="AI131" i="41"/>
  <c r="AU131" i="41" s="1"/>
  <c r="AI136" i="41"/>
  <c r="AU136" i="41" s="1"/>
  <c r="AT58" i="41"/>
  <c r="AD83" i="41"/>
  <c r="AX77" i="41"/>
  <c r="AX83" i="41" s="1"/>
  <c r="AI82" i="41"/>
  <c r="AU82" i="41" s="1"/>
  <c r="AE76" i="41"/>
  <c r="AI112" i="41"/>
  <c r="AU112" i="41" s="1"/>
  <c r="AI86" i="41"/>
  <c r="AU86" i="41" s="1"/>
  <c r="AT54" i="41"/>
  <c r="BA48" i="41"/>
  <c r="BA54" i="41" s="1"/>
  <c r="AI79" i="41"/>
  <c r="AU79" i="41" s="1"/>
  <c r="BC150" i="41"/>
  <c r="AZ157" i="41"/>
  <c r="AZ21" i="41"/>
  <c r="AD150" i="41"/>
  <c r="AX12" i="41"/>
  <c r="AD16" i="41"/>
  <c r="AT76" i="41"/>
  <c r="AD55" i="41"/>
  <c r="AC55" i="41"/>
  <c r="X62" i="41"/>
  <c r="AV55" i="41"/>
  <c r="AV62" i="41" s="1"/>
  <c r="AE55" i="41"/>
  <c r="AU22" i="41"/>
  <c r="AT151" i="41"/>
  <c r="BA17" i="41"/>
  <c r="AT21" i="41"/>
  <c r="BB150" i="41"/>
  <c r="BB16" i="41"/>
  <c r="AV156" i="41"/>
  <c r="AE83" i="41"/>
  <c r="X158" i="41"/>
  <c r="AD28" i="41"/>
  <c r="X29" i="41"/>
  <c r="AV28" i="41"/>
  <c r="AE28" i="41"/>
  <c r="AC28" i="41"/>
  <c r="AT157" i="41"/>
  <c r="BA19" i="41"/>
  <c r="BA157" i="41" s="1"/>
  <c r="X151" i="41"/>
  <c r="X149" i="41" s="1"/>
  <c r="AC148" i="41" s="1"/>
  <c r="AW150" i="41"/>
  <c r="AW149" i="41" s="1"/>
  <c r="AI142" i="41"/>
  <c r="AU142" i="41" s="1"/>
  <c r="AC108" i="41"/>
  <c r="X114" i="41"/>
  <c r="AE108" i="41"/>
  <c r="AD108" i="41"/>
  <c r="AD151" i="41" s="1"/>
  <c r="AV108" i="41"/>
  <c r="AV114" i="41" s="1"/>
  <c r="AI111" i="41"/>
  <c r="AU111" i="41" s="1"/>
  <c r="AX133" i="41"/>
  <c r="AI119" i="41"/>
  <c r="AU119" i="41" s="1"/>
  <c r="BA159" i="41"/>
  <c r="BA99" i="41"/>
  <c r="BB114" i="41"/>
  <c r="BB146" i="41" s="1"/>
  <c r="BB159" i="41"/>
  <c r="BB99" i="41"/>
  <c r="AV83" i="41"/>
  <c r="AX76" i="41"/>
  <c r="AI60" i="41"/>
  <c r="AU60" i="41" s="1"/>
  <c r="AT65" i="41"/>
  <c r="BA63" i="41"/>
  <c r="BA65" i="41" s="1"/>
  <c r="BA76" i="41"/>
  <c r="AC107" i="41"/>
  <c r="AI104" i="41"/>
  <c r="AV94" i="41"/>
  <c r="AE94" i="41"/>
  <c r="AY94" i="41" s="1"/>
  <c r="AC94" i="41"/>
  <c r="AD94" i="41"/>
  <c r="AT47" i="41"/>
  <c r="BA41" i="41"/>
  <c r="BA47" i="41" s="1"/>
  <c r="AW158" i="41"/>
  <c r="AW29" i="41"/>
  <c r="AW146" i="41" s="1"/>
  <c r="AT156" i="41"/>
  <c r="BA15" i="41"/>
  <c r="AI66" i="41"/>
  <c r="AC69" i="41"/>
  <c r="AI13" i="41"/>
  <c r="AU13" i="41" s="1"/>
  <c r="AI72" i="41"/>
  <c r="AU72" i="41" s="1"/>
  <c r="AX17" i="41"/>
  <c r="AR149" i="41"/>
  <c r="AT148" i="41" s="1"/>
  <c r="AD54" i="41"/>
  <c r="AX48" i="41"/>
  <c r="AX54" i="41" s="1"/>
  <c r="AT40" i="41"/>
  <c r="BA33" i="41"/>
  <c r="X156" i="41"/>
  <c r="AI41" i="41"/>
  <c r="AC47" i="41"/>
  <c r="BC156" i="41"/>
  <c r="AI37" i="41"/>
  <c r="AU37" i="41" s="1"/>
  <c r="AI38" i="41"/>
  <c r="AU38" i="41" s="1"/>
  <c r="AE133" i="41"/>
  <c r="AY130" i="41"/>
  <c r="AY133" i="41" s="1"/>
  <c r="AE122" i="41"/>
  <c r="AD122" i="41"/>
  <c r="X129" i="41"/>
  <c r="AV122" i="41"/>
  <c r="AV129" i="41" s="1"/>
  <c r="AC122" i="41"/>
  <c r="AR146" i="41"/>
  <c r="AI137" i="41"/>
  <c r="AU137" i="41" s="1"/>
  <c r="AC133" i="41"/>
  <c r="AI130" i="41"/>
  <c r="X146" i="41"/>
  <c r="AC147" i="41" s="1"/>
  <c r="AI141" i="41"/>
  <c r="AU141" i="41" s="1"/>
  <c r="AI132" i="41"/>
  <c r="AU132" i="41" s="1"/>
  <c r="AT145" i="41"/>
  <c r="BA121" i="41"/>
  <c r="AI96" i="41"/>
  <c r="AU96" i="41" s="1"/>
  <c r="AI100" i="41"/>
  <c r="AC103" i="41"/>
  <c r="AD133" i="41"/>
  <c r="AI102" i="41"/>
  <c r="AU102" i="41" s="1"/>
  <c r="AV97" i="41"/>
  <c r="AI56" i="41"/>
  <c r="AU56" i="41" s="1"/>
  <c r="AI81" i="41"/>
  <c r="AU81" i="41" s="1"/>
  <c r="AI77" i="41"/>
  <c r="AC83" i="41"/>
  <c r="AV76" i="41"/>
  <c r="AI93" i="41"/>
  <c r="AU93" i="41" s="1"/>
  <c r="AT83" i="41"/>
  <c r="BA77" i="41"/>
  <c r="BA83" i="41" s="1"/>
  <c r="AI92" i="41"/>
  <c r="AD76" i="41"/>
  <c r="AY104" i="41"/>
  <c r="AY107" i="41" s="1"/>
  <c r="AE107" i="41"/>
  <c r="AZ158" i="41"/>
  <c r="AZ29" i="41"/>
  <c r="AZ146" i="41" s="1"/>
  <c r="BC151" i="41"/>
  <c r="BC21" i="41"/>
  <c r="BC146" i="41" s="1"/>
  <c r="AX15" i="41"/>
  <c r="AX66" i="41"/>
  <c r="AX69" i="41" s="1"/>
  <c r="AD69" i="41"/>
  <c r="AE54" i="41"/>
  <c r="AY48" i="41"/>
  <c r="AD27" i="41"/>
  <c r="AX22" i="41"/>
  <c r="AX27" i="41" s="1"/>
  <c r="BB151" i="41"/>
  <c r="AI76" i="41"/>
  <c r="AU70" i="41"/>
  <c r="AU76" i="41" s="1"/>
  <c r="AW21" i="41"/>
  <c r="BB156" i="41"/>
  <c r="AI52" i="41"/>
  <c r="AU52" i="41" s="1"/>
  <c r="X54" i="41"/>
  <c r="AI20" i="41"/>
  <c r="AU20" i="41" s="1"/>
  <c r="AV150" i="41"/>
  <c r="AV16" i="41"/>
  <c r="AD40" i="41"/>
  <c r="AT153" i="41"/>
  <c r="BA35" i="41"/>
  <c r="BA153" i="41" s="1"/>
  <c r="X157" i="41"/>
  <c r="AD19" i="41"/>
  <c r="AD21" i="41" s="1"/>
  <c r="AV19" i="41"/>
  <c r="AV157" i="41" s="1"/>
  <c r="AE19" i="41"/>
  <c r="AC19" i="41"/>
  <c r="AE150" i="41"/>
  <c r="AI34" i="41"/>
  <c r="AU34" i="41" s="1"/>
  <c r="AI23" i="41"/>
  <c r="AU23" i="41" s="1"/>
  <c r="AI35" i="41"/>
  <c r="BB169" i="40"/>
  <c r="BB15" i="40"/>
  <c r="AE81" i="40"/>
  <c r="AY75" i="40"/>
  <c r="AY81" i="40" s="1"/>
  <c r="AE171" i="40"/>
  <c r="AE38" i="40"/>
  <c r="AY33" i="40"/>
  <c r="AI56" i="40"/>
  <c r="AU56" i="40" s="1"/>
  <c r="BB175" i="40"/>
  <c r="AE51" i="40"/>
  <c r="AU45" i="40"/>
  <c r="AR165" i="40"/>
  <c r="R166" i="40"/>
  <c r="AB166" i="40"/>
  <c r="AB165" i="40"/>
  <c r="U20" i="47" s="1"/>
  <c r="AI135" i="40"/>
  <c r="AU135" i="40" s="1"/>
  <c r="AV130" i="40"/>
  <c r="AD151" i="40"/>
  <c r="BA130" i="40"/>
  <c r="AV92" i="40"/>
  <c r="AI150" i="40"/>
  <c r="AU150" i="40" s="1"/>
  <c r="AI100" i="40"/>
  <c r="AU100" i="40" s="1"/>
  <c r="AH166" i="40"/>
  <c r="AI158" i="40"/>
  <c r="AU158" i="40" s="1"/>
  <c r="AV114" i="40"/>
  <c r="AY102" i="40"/>
  <c r="BA75" i="40"/>
  <c r="BA81" i="40" s="1"/>
  <c r="AT81" i="40"/>
  <c r="BB98" i="40"/>
  <c r="AI126" i="40"/>
  <c r="AU126" i="40" s="1"/>
  <c r="AV127" i="40"/>
  <c r="AX68" i="40"/>
  <c r="AX74" i="40" s="1"/>
  <c r="AD74" i="40"/>
  <c r="BB172" i="40"/>
  <c r="AC152" i="40"/>
  <c r="AV152" i="40"/>
  <c r="AV154" i="40" s="1"/>
  <c r="AE152" i="40"/>
  <c r="AD152" i="40"/>
  <c r="AI78" i="40"/>
  <c r="AU78" i="40" s="1"/>
  <c r="X169" i="40"/>
  <c r="AV12" i="40"/>
  <c r="AE12" i="40"/>
  <c r="AD12" i="40"/>
  <c r="AC12" i="40"/>
  <c r="AC177" i="40"/>
  <c r="AI52" i="40"/>
  <c r="AC53" i="40"/>
  <c r="AI123" i="40"/>
  <c r="AU123" i="40" s="1"/>
  <c r="AV67" i="40"/>
  <c r="AH168" i="40"/>
  <c r="AI96" i="40"/>
  <c r="AU96" i="40" s="1"/>
  <c r="AZ170" i="40"/>
  <c r="AV81" i="40"/>
  <c r="AV172" i="40"/>
  <c r="X170" i="40"/>
  <c r="AC26" i="40"/>
  <c r="AD26" i="40"/>
  <c r="AV26" i="40"/>
  <c r="AE26" i="40"/>
  <c r="AX137" i="40"/>
  <c r="AI91" i="40"/>
  <c r="AU91" i="40" s="1"/>
  <c r="AI46" i="40"/>
  <c r="AU46" i="40" s="1"/>
  <c r="AI103" i="40"/>
  <c r="AC108" i="40"/>
  <c r="AI85" i="40"/>
  <c r="AU85" i="40" s="1"/>
  <c r="AI62" i="40"/>
  <c r="AU62" i="40" s="1"/>
  <c r="AI49" i="40"/>
  <c r="AU49" i="40" s="1"/>
  <c r="AI42" i="40"/>
  <c r="AU42" i="40" s="1"/>
  <c r="BA23" i="40"/>
  <c r="AI94" i="40"/>
  <c r="AU94" i="40" s="1"/>
  <c r="AW32" i="40"/>
  <c r="AW165" i="40" s="1"/>
  <c r="AP20" i="47" s="1"/>
  <c r="AI20" i="40"/>
  <c r="AC23" i="40"/>
  <c r="AI13" i="40"/>
  <c r="AU13" i="40" s="1"/>
  <c r="AI34" i="40"/>
  <c r="AU34" i="40" s="1"/>
  <c r="AE130" i="40"/>
  <c r="AY128" i="40"/>
  <c r="AY130" i="40" s="1"/>
  <c r="AT114" i="40"/>
  <c r="BA111" i="40"/>
  <c r="BA114" i="40" s="1"/>
  <c r="BA115" i="40"/>
  <c r="BA118" i="40" s="1"/>
  <c r="AT118" i="40"/>
  <c r="AX125" i="40"/>
  <c r="AX127" i="40" s="1"/>
  <c r="AD127" i="40"/>
  <c r="AI89" i="40"/>
  <c r="AC92" i="40"/>
  <c r="BA68" i="40"/>
  <c r="BA74" i="40" s="1"/>
  <c r="AT74" i="40"/>
  <c r="BB177" i="40"/>
  <c r="BB53" i="40"/>
  <c r="AW171" i="40"/>
  <c r="AW38" i="40"/>
  <c r="AW169" i="40"/>
  <c r="AW15" i="40"/>
  <c r="BB178" i="40"/>
  <c r="BB25" i="40"/>
  <c r="AT160" i="40"/>
  <c r="BA155" i="40"/>
  <c r="BA160" i="40" s="1"/>
  <c r="BA152" i="40"/>
  <c r="BA154" i="40" s="1"/>
  <c r="AT154" i="40"/>
  <c r="AI138" i="40"/>
  <c r="AC144" i="40"/>
  <c r="AY131" i="40"/>
  <c r="AY137" i="40" s="1"/>
  <c r="AT110" i="40"/>
  <c r="BA109" i="40"/>
  <c r="BA110" i="40" s="1"/>
  <c r="AX151" i="40"/>
  <c r="AT130" i="40"/>
  <c r="AT102" i="40"/>
  <c r="BA99" i="40"/>
  <c r="BA102" i="40" s="1"/>
  <c r="AE98" i="40"/>
  <c r="AY93" i="40"/>
  <c r="AY98" i="40" s="1"/>
  <c r="AT177" i="40"/>
  <c r="AT53" i="40"/>
  <c r="BA52" i="40"/>
  <c r="AI125" i="40"/>
  <c r="AI115" i="40"/>
  <c r="AC118" i="40"/>
  <c r="AD110" i="40"/>
  <c r="AX109" i="40"/>
  <c r="AX110" i="40" s="1"/>
  <c r="AX92" i="40"/>
  <c r="AE127" i="40"/>
  <c r="AY125" i="40"/>
  <c r="AY127" i="40" s="1"/>
  <c r="AE124" i="40"/>
  <c r="AY119" i="40"/>
  <c r="AY124" i="40" s="1"/>
  <c r="AX105" i="40"/>
  <c r="AI105" i="40"/>
  <c r="AU105" i="40" s="1"/>
  <c r="AI65" i="40"/>
  <c r="AU65" i="40" s="1"/>
  <c r="AW178" i="40"/>
  <c r="AW25" i="40"/>
  <c r="AD177" i="40"/>
  <c r="AD53" i="40"/>
  <c r="AX52" i="40"/>
  <c r="R168" i="40"/>
  <c r="X167" i="40" s="1"/>
  <c r="AI106" i="40"/>
  <c r="AU106" i="40" s="1"/>
  <c r="AC172" i="40"/>
  <c r="AI55" i="40"/>
  <c r="AT176" i="40"/>
  <c r="BA30" i="40"/>
  <c r="BA176" i="40" s="1"/>
  <c r="AZ178" i="40"/>
  <c r="AY103" i="40"/>
  <c r="AY108" i="40" s="1"/>
  <c r="AE108" i="40"/>
  <c r="AI48" i="40"/>
  <c r="AU48" i="40" s="1"/>
  <c r="AW170" i="40"/>
  <c r="AI18" i="40"/>
  <c r="AU18" i="40" s="1"/>
  <c r="AI37" i="40"/>
  <c r="AU37" i="40" s="1"/>
  <c r="AI50" i="40"/>
  <c r="AU50" i="40" s="1"/>
  <c r="AT172" i="40"/>
  <c r="BA55" i="40"/>
  <c r="BA60" i="40" s="1"/>
  <c r="AT67" i="40"/>
  <c r="AC171" i="40"/>
  <c r="AI33" i="40"/>
  <c r="AC38" i="40"/>
  <c r="AC160" i="40"/>
  <c r="AI155" i="40"/>
  <c r="BB160" i="40"/>
  <c r="AR166" i="40"/>
  <c r="BB154" i="40"/>
  <c r="AV137" i="40"/>
  <c r="AE110" i="40"/>
  <c r="AY109" i="40"/>
  <c r="AY110" i="40" s="1"/>
  <c r="AV102" i="40"/>
  <c r="AI163" i="40"/>
  <c r="AU163" i="40" s="1"/>
  <c r="BA131" i="40"/>
  <c r="BA137" i="40" s="1"/>
  <c r="AT137" i="40"/>
  <c r="BC114" i="40"/>
  <c r="AC98" i="40"/>
  <c r="AI93" i="40"/>
  <c r="AX111" i="40"/>
  <c r="AD114" i="40"/>
  <c r="AV74" i="40"/>
  <c r="AT98" i="40"/>
  <c r="BA93" i="40"/>
  <c r="BA98" i="40" s="1"/>
  <c r="AD92" i="40"/>
  <c r="AD118" i="40"/>
  <c r="BC108" i="40"/>
  <c r="AI80" i="40"/>
  <c r="AU80" i="40" s="1"/>
  <c r="AI63" i="40"/>
  <c r="AU63" i="40" s="1"/>
  <c r="AE172" i="40"/>
  <c r="X178" i="40"/>
  <c r="AV24" i="40"/>
  <c r="AE24" i="40"/>
  <c r="AD24" i="40"/>
  <c r="AC24" i="40"/>
  <c r="AI82" i="40"/>
  <c r="AC88" i="40"/>
  <c r="AC67" i="40"/>
  <c r="BB176" i="40"/>
  <c r="AI112" i="40"/>
  <c r="AU112" i="40" s="1"/>
  <c r="AC114" i="40"/>
  <c r="BC102" i="40"/>
  <c r="AI77" i="40"/>
  <c r="AU77" i="40" s="1"/>
  <c r="AD172" i="40"/>
  <c r="AX55" i="40"/>
  <c r="AE44" i="40"/>
  <c r="AY39" i="40"/>
  <c r="AY44" i="40" s="1"/>
  <c r="BC175" i="40"/>
  <c r="AY144" i="40"/>
  <c r="AD60" i="40"/>
  <c r="AX54" i="40"/>
  <c r="AX60" i="40" s="1"/>
  <c r="AZ171" i="40"/>
  <c r="AT178" i="40"/>
  <c r="AT25" i="40"/>
  <c r="BA24" i="40"/>
  <c r="AX103" i="40"/>
  <c r="AD108" i="40"/>
  <c r="AI66" i="40"/>
  <c r="AU66" i="40" s="1"/>
  <c r="AI59" i="40"/>
  <c r="AU59" i="40" s="1"/>
  <c r="AI39" i="40"/>
  <c r="AC44" i="40"/>
  <c r="AX20" i="40"/>
  <c r="AX23" i="40" s="1"/>
  <c r="AD23" i="40"/>
  <c r="AI17" i="40"/>
  <c r="AU17" i="40" s="1"/>
  <c r="AS168" i="40"/>
  <c r="BA145" i="40"/>
  <c r="BA151" i="40" s="1"/>
  <c r="AT151" i="40"/>
  <c r="R165" i="40"/>
  <c r="K20" i="47" s="1"/>
  <c r="AX144" i="40"/>
  <c r="AI129" i="40"/>
  <c r="AU129" i="40" s="1"/>
  <c r="AI120" i="40"/>
  <c r="AU120" i="40" s="1"/>
  <c r="AT92" i="40"/>
  <c r="BA90" i="40"/>
  <c r="BA92" i="40" s="1"/>
  <c r="AI139" i="40"/>
  <c r="AU139" i="40" s="1"/>
  <c r="AC110" i="40"/>
  <c r="AI109" i="40"/>
  <c r="AI119" i="40"/>
  <c r="AX113" i="40"/>
  <c r="AI113" i="40"/>
  <c r="AU113" i="40" s="1"/>
  <c r="AT88" i="40"/>
  <c r="BA82" i="40"/>
  <c r="BA88" i="40" s="1"/>
  <c r="AV98" i="40"/>
  <c r="AX107" i="40"/>
  <c r="AI107" i="40"/>
  <c r="AU107" i="40" s="1"/>
  <c r="AX82" i="40"/>
  <c r="AX88" i="40" s="1"/>
  <c r="AD88" i="40"/>
  <c r="AT170" i="40"/>
  <c r="BA108" i="40"/>
  <c r="AI84" i="40"/>
  <c r="AU84" i="40" s="1"/>
  <c r="AE102" i="40"/>
  <c r="AC81" i="40"/>
  <c r="AI75" i="40"/>
  <c r="X175" i="40"/>
  <c r="AC14" i="40"/>
  <c r="AD14" i="40"/>
  <c r="AV14" i="40"/>
  <c r="AV175" i="40" s="1"/>
  <c r="AE14" i="40"/>
  <c r="AE144" i="40"/>
  <c r="AI101" i="40"/>
  <c r="AU101" i="40" s="1"/>
  <c r="AY82" i="40"/>
  <c r="AY88" i="40" s="1"/>
  <c r="AE88" i="40"/>
  <c r="AY54" i="40"/>
  <c r="AY60" i="40" s="1"/>
  <c r="AE60" i="40"/>
  <c r="AT44" i="40"/>
  <c r="BA39" i="40"/>
  <c r="BA44" i="40" s="1"/>
  <c r="AT171" i="40"/>
  <c r="AT38" i="40"/>
  <c r="BA33" i="40"/>
  <c r="BB170" i="40"/>
  <c r="AI71" i="40"/>
  <c r="AU71" i="40" s="1"/>
  <c r="BC60" i="40"/>
  <c r="AT51" i="40"/>
  <c r="BA45" i="40"/>
  <c r="BA51" i="40" s="1"/>
  <c r="AI36" i="40"/>
  <c r="AU36" i="40" s="1"/>
  <c r="X173" i="40"/>
  <c r="AE28" i="40"/>
  <c r="AD28" i="40"/>
  <c r="AC28" i="40"/>
  <c r="AV28" i="40"/>
  <c r="AV173" i="40" s="1"/>
  <c r="AE16" i="40"/>
  <c r="AD16" i="40"/>
  <c r="AC16" i="40"/>
  <c r="AV16" i="40"/>
  <c r="AV19" i="40" s="1"/>
  <c r="AI57" i="40"/>
  <c r="AU57" i="40" s="1"/>
  <c r="AI22" i="40"/>
  <c r="AU22" i="40" s="1"/>
  <c r="AY20" i="40"/>
  <c r="AY23" i="40" s="1"/>
  <c r="AE23" i="40"/>
  <c r="AI43" i="40"/>
  <c r="AU43" i="40" s="1"/>
  <c r="AT32" i="40"/>
  <c r="AI29" i="40"/>
  <c r="AU29" i="40" s="1"/>
  <c r="AI41" i="40"/>
  <c r="AU41" i="40" s="1"/>
  <c r="AT169" i="40"/>
  <c r="BA12" i="40"/>
  <c r="AT15" i="40"/>
  <c r="AC151" i="40"/>
  <c r="AI145" i="40"/>
  <c r="AE151" i="40"/>
  <c r="AI142" i="40"/>
  <c r="AU142" i="40" s="1"/>
  <c r="AC130" i="40"/>
  <c r="AI128" i="40"/>
  <c r="AC161" i="40"/>
  <c r="AV161" i="40"/>
  <c r="AV164" i="40" s="1"/>
  <c r="AE161" i="40"/>
  <c r="AD161" i="40"/>
  <c r="AI147" i="40"/>
  <c r="AU147" i="40" s="1"/>
  <c r="AD144" i="40"/>
  <c r="AC137" i="40"/>
  <c r="AX129" i="40"/>
  <c r="AX130" i="40" s="1"/>
  <c r="AD130" i="40"/>
  <c r="AX99" i="40"/>
  <c r="AX102" i="40" s="1"/>
  <c r="AD102" i="40"/>
  <c r="AX104" i="40"/>
  <c r="AI104" i="40"/>
  <c r="AU104" i="40" s="1"/>
  <c r="AI149" i="40"/>
  <c r="AU149" i="40" s="1"/>
  <c r="AI117" i="40"/>
  <c r="AU117" i="40" s="1"/>
  <c r="AD98" i="40"/>
  <c r="AX93" i="40"/>
  <c r="AX98" i="40" s="1"/>
  <c r="AI140" i="40"/>
  <c r="AU140" i="40" s="1"/>
  <c r="AD124" i="40"/>
  <c r="AX119" i="40"/>
  <c r="AX124" i="40" s="1"/>
  <c r="BC177" i="40"/>
  <c r="X176" i="40"/>
  <c r="AV30" i="40"/>
  <c r="AV176" i="40" s="1"/>
  <c r="AE30" i="40"/>
  <c r="AD30" i="40"/>
  <c r="AC30" i="40"/>
  <c r="BC169" i="40"/>
  <c r="AV177" i="40"/>
  <c r="AV53" i="40"/>
  <c r="AI136" i="40"/>
  <c r="AU136" i="40" s="1"/>
  <c r="AT108" i="40"/>
  <c r="AC60" i="40"/>
  <c r="AI54" i="40"/>
  <c r="BB171" i="40"/>
  <c r="BB38" i="40"/>
  <c r="AZ32" i="40"/>
  <c r="AT175" i="40"/>
  <c r="AI79" i="40"/>
  <c r="AU79" i="40" s="1"/>
  <c r="AD81" i="40"/>
  <c r="AX75" i="40"/>
  <c r="AX81" i="40" s="1"/>
  <c r="AC51" i="40"/>
  <c r="AI95" i="40"/>
  <c r="AU95" i="40" s="1"/>
  <c r="AV60" i="40"/>
  <c r="AX39" i="40"/>
  <c r="AX44" i="40" s="1"/>
  <c r="AD44" i="40"/>
  <c r="AD171" i="40"/>
  <c r="AX33" i="40"/>
  <c r="AD38" i="40"/>
  <c r="AZ169" i="40"/>
  <c r="AZ15" i="40"/>
  <c r="AZ165" i="40" s="1"/>
  <c r="AS20" i="47" s="1"/>
  <c r="AV108" i="40"/>
  <c r="AI69" i="40"/>
  <c r="AU69" i="40" s="1"/>
  <c r="AD51" i="40"/>
  <c r="AX45" i="40"/>
  <c r="AX51" i="40" s="1"/>
  <c r="AI90" i="40"/>
  <c r="AU90" i="40" s="1"/>
  <c r="AV171" i="40"/>
  <c r="AV23" i="40"/>
  <c r="AT23" i="40"/>
  <c r="BC32" i="40"/>
  <c r="AE177" i="40"/>
  <c r="AW135" i="39"/>
  <c r="AW44" i="39"/>
  <c r="AE79" i="39"/>
  <c r="AY73" i="39"/>
  <c r="AY79" i="39" s="1"/>
  <c r="BA47" i="39"/>
  <c r="BA50" i="39" s="1"/>
  <c r="AT50" i="39"/>
  <c r="X129" i="39"/>
  <c r="AC37" i="39"/>
  <c r="X42" i="39"/>
  <c r="AV37" i="39"/>
  <c r="AE37" i="39"/>
  <c r="AD37" i="39"/>
  <c r="AW130" i="39"/>
  <c r="AW30" i="39"/>
  <c r="BC128" i="39"/>
  <c r="BC24" i="39"/>
  <c r="AY13" i="39"/>
  <c r="AW136" i="39"/>
  <c r="AW13" i="39"/>
  <c r="AZ129" i="39"/>
  <c r="AZ42" i="39"/>
  <c r="AT36" i="39"/>
  <c r="BA31" i="39"/>
  <c r="BA36" i="39" s="1"/>
  <c r="X133" i="39"/>
  <c r="AV17" i="39"/>
  <c r="AV133" i="39" s="1"/>
  <c r="AD17" i="39"/>
  <c r="AE17" i="39"/>
  <c r="AC17" i="39"/>
  <c r="AH126" i="39"/>
  <c r="AI120" i="39"/>
  <c r="AU120" i="39" s="1"/>
  <c r="BB122" i="39"/>
  <c r="AI105" i="39"/>
  <c r="AU105" i="39" s="1"/>
  <c r="AI104" i="39"/>
  <c r="AU104" i="39" s="1"/>
  <c r="AV122" i="39"/>
  <c r="AI99" i="39"/>
  <c r="AU99" i="39" s="1"/>
  <c r="AI110" i="39"/>
  <c r="AU110" i="39" s="1"/>
  <c r="AI66" i="39"/>
  <c r="AC72" i="39"/>
  <c r="AI103" i="39"/>
  <c r="AU103" i="39" s="1"/>
  <c r="BA100" i="39"/>
  <c r="AC86" i="39"/>
  <c r="AI80" i="39"/>
  <c r="X135" i="39"/>
  <c r="AV43" i="39"/>
  <c r="AE43" i="39"/>
  <c r="AC43" i="39"/>
  <c r="X44" i="39"/>
  <c r="AD43" i="39"/>
  <c r="AI89" i="39"/>
  <c r="AU89" i="39" s="1"/>
  <c r="BB135" i="39"/>
  <c r="BB44" i="39"/>
  <c r="AX100" i="39"/>
  <c r="AI77" i="39"/>
  <c r="AU77" i="39" s="1"/>
  <c r="AI71" i="39"/>
  <c r="AU71" i="39" s="1"/>
  <c r="BA45" i="39"/>
  <c r="BA46" i="39" s="1"/>
  <c r="AT46" i="39"/>
  <c r="AI63" i="39"/>
  <c r="AU63" i="39" s="1"/>
  <c r="X130" i="39"/>
  <c r="AC25" i="39"/>
  <c r="AV25" i="39"/>
  <c r="AE25" i="39"/>
  <c r="X30" i="39"/>
  <c r="AD25" i="39"/>
  <c r="AW128" i="39"/>
  <c r="AW24" i="39"/>
  <c r="AC136" i="39"/>
  <c r="AC13" i="39"/>
  <c r="AI12" i="39"/>
  <c r="AC57" i="39"/>
  <c r="X58" i="39"/>
  <c r="AE57" i="39"/>
  <c r="AD57" i="39"/>
  <c r="AV57" i="39"/>
  <c r="AV58" i="39" s="1"/>
  <c r="AC45" i="39"/>
  <c r="X46" i="39"/>
  <c r="AE45" i="39"/>
  <c r="AD45" i="39"/>
  <c r="AV45" i="39"/>
  <c r="X136" i="39"/>
  <c r="AT136" i="39"/>
  <c r="BA12" i="39"/>
  <c r="AT13" i="39"/>
  <c r="AC51" i="39"/>
  <c r="AE51" i="39"/>
  <c r="X56" i="39"/>
  <c r="AD51" i="39"/>
  <c r="AV51" i="39"/>
  <c r="AV56" i="39" s="1"/>
  <c r="AT129" i="39"/>
  <c r="AT42" i="39"/>
  <c r="BA37" i="39"/>
  <c r="BC127" i="39"/>
  <c r="AC36" i="39"/>
  <c r="AI31" i="39"/>
  <c r="BA118" i="39"/>
  <c r="BA122" i="39" s="1"/>
  <c r="AT122" i="39"/>
  <c r="AE108" i="39"/>
  <c r="AD108" i="39"/>
  <c r="AC108" i="39"/>
  <c r="X114" i="39"/>
  <c r="AV108" i="39"/>
  <c r="AV114" i="39" s="1"/>
  <c r="AT124" i="39"/>
  <c r="AC117" i="39"/>
  <c r="AI115" i="39"/>
  <c r="AI101" i="39"/>
  <c r="AC107" i="39"/>
  <c r="AY94" i="39"/>
  <c r="AY100" i="39" s="1"/>
  <c r="AE100" i="39"/>
  <c r="AE122" i="39"/>
  <c r="AY118" i="39"/>
  <c r="AY122" i="39" s="1"/>
  <c r="AT72" i="39"/>
  <c r="BA66" i="39"/>
  <c r="BA72" i="39" s="1"/>
  <c r="AI106" i="39"/>
  <c r="AU106" i="39" s="1"/>
  <c r="AI87" i="39"/>
  <c r="AC93" i="39"/>
  <c r="BA80" i="39"/>
  <c r="BA86" i="39" s="1"/>
  <c r="AT86" i="39"/>
  <c r="AD65" i="39"/>
  <c r="AX59" i="39"/>
  <c r="AX65" i="39" s="1"/>
  <c r="AI68" i="39"/>
  <c r="AU68" i="39" s="1"/>
  <c r="AC65" i="39"/>
  <c r="AI59" i="39"/>
  <c r="AI83" i="39"/>
  <c r="AU83" i="39" s="1"/>
  <c r="AI76" i="39"/>
  <c r="AU76" i="39" s="1"/>
  <c r="AW127" i="39"/>
  <c r="AI54" i="39"/>
  <c r="AU54" i="39" s="1"/>
  <c r="AI61" i="39"/>
  <c r="AU61" i="39" s="1"/>
  <c r="AI39" i="39"/>
  <c r="AU39" i="39" s="1"/>
  <c r="X128" i="39"/>
  <c r="AV19" i="39"/>
  <c r="AE19" i="39"/>
  <c r="X24" i="39"/>
  <c r="AD19" i="39"/>
  <c r="AC19" i="39"/>
  <c r="AT133" i="39"/>
  <c r="X127" i="39"/>
  <c r="AV14" i="39"/>
  <c r="AE14" i="39"/>
  <c r="AC14" i="39"/>
  <c r="AD14" i="39"/>
  <c r="X18" i="39"/>
  <c r="AI41" i="39"/>
  <c r="AU41" i="39" s="1"/>
  <c r="AI26" i="39"/>
  <c r="AU26" i="39" s="1"/>
  <c r="R124" i="39"/>
  <c r="AB124" i="39"/>
  <c r="AX118" i="39"/>
  <c r="AX122" i="39" s="1"/>
  <c r="AD122" i="39"/>
  <c r="AT100" i="39"/>
  <c r="AX115" i="39"/>
  <c r="AX117" i="39" s="1"/>
  <c r="AD117" i="39"/>
  <c r="AV93" i="39"/>
  <c r="AD72" i="39"/>
  <c r="AX66" i="39"/>
  <c r="AX72" i="39" s="1"/>
  <c r="AV100" i="39"/>
  <c r="AX80" i="39"/>
  <c r="AX86" i="39" s="1"/>
  <c r="AD86" i="39"/>
  <c r="AI74" i="39"/>
  <c r="AU74" i="39" s="1"/>
  <c r="AI67" i="39"/>
  <c r="AU67" i="39" s="1"/>
  <c r="AC50" i="39"/>
  <c r="AI47" i="39"/>
  <c r="AV79" i="39"/>
  <c r="AY93" i="39"/>
  <c r="BA57" i="39"/>
  <c r="BA58" i="39" s="1"/>
  <c r="AT58" i="39"/>
  <c r="AT65" i="39"/>
  <c r="BA59" i="39"/>
  <c r="BA65" i="39" s="1"/>
  <c r="AI52" i="39"/>
  <c r="AU52" i="39" s="1"/>
  <c r="R126" i="39"/>
  <c r="X125" i="39" s="1"/>
  <c r="AI48" i="39"/>
  <c r="AU48" i="39" s="1"/>
  <c r="BC134" i="39"/>
  <c r="AZ127" i="39"/>
  <c r="BB130" i="39"/>
  <c r="AI49" i="39"/>
  <c r="AU49" i="39" s="1"/>
  <c r="AT134" i="39"/>
  <c r="BA22" i="39"/>
  <c r="BA134" i="39" s="1"/>
  <c r="AX31" i="39"/>
  <c r="AX36" i="39" s="1"/>
  <c r="AD36" i="39"/>
  <c r="BA18" i="39"/>
  <c r="AS123" i="39"/>
  <c r="AD107" i="39"/>
  <c r="AX101" i="39"/>
  <c r="AX107" i="39" s="1"/>
  <c r="AW123" i="39"/>
  <c r="AV117" i="39"/>
  <c r="AE107" i="39"/>
  <c r="AY101" i="39"/>
  <c r="AY107" i="39" s="1"/>
  <c r="AI97" i="39"/>
  <c r="AU97" i="39" s="1"/>
  <c r="X123" i="39"/>
  <c r="AI113" i="39"/>
  <c r="AU113" i="39" s="1"/>
  <c r="AY80" i="39"/>
  <c r="AY86" i="39" s="1"/>
  <c r="AE86" i="39"/>
  <c r="AD50" i="39"/>
  <c r="AX47" i="39"/>
  <c r="AX50" i="39" s="1"/>
  <c r="AI92" i="39"/>
  <c r="AU92" i="39" s="1"/>
  <c r="AC79" i="39"/>
  <c r="AI73" i="39"/>
  <c r="AI53" i="39"/>
  <c r="AU53" i="39" s="1"/>
  <c r="AI112" i="39"/>
  <c r="AU112" i="39" s="1"/>
  <c r="AY72" i="39"/>
  <c r="AE93" i="39"/>
  <c r="AT127" i="39"/>
  <c r="AT126" i="39" s="1"/>
  <c r="BA44" i="39"/>
  <c r="BA133" i="39"/>
  <c r="AE65" i="39"/>
  <c r="AZ130" i="39"/>
  <c r="AZ30" i="39"/>
  <c r="AZ123" i="39" s="1"/>
  <c r="AZ128" i="39"/>
  <c r="AZ24" i="39"/>
  <c r="BB136" i="39"/>
  <c r="BB13" i="39"/>
  <c r="AI23" i="39"/>
  <c r="AU23" i="39" s="1"/>
  <c r="AI38" i="39"/>
  <c r="AU38" i="39" s="1"/>
  <c r="AI40" i="39"/>
  <c r="AU40" i="39" s="1"/>
  <c r="AT114" i="39"/>
  <c r="BA108" i="39"/>
  <c r="BA114" i="39" s="1"/>
  <c r="BA115" i="39"/>
  <c r="BA117" i="39" s="1"/>
  <c r="AT117" i="39"/>
  <c r="AB123" i="39"/>
  <c r="AE117" i="39"/>
  <c r="AY115" i="39"/>
  <c r="AY117" i="39" s="1"/>
  <c r="AS124" i="39"/>
  <c r="AI102" i="39"/>
  <c r="AU102" i="39" s="1"/>
  <c r="AV107" i="39"/>
  <c r="AI118" i="39"/>
  <c r="AC122" i="39"/>
  <c r="Y124" i="39"/>
  <c r="X124" i="39"/>
  <c r="BA101" i="39"/>
  <c r="BA107" i="39" s="1"/>
  <c r="AT107" i="39"/>
  <c r="AC100" i="39"/>
  <c r="AI94" i="39"/>
  <c r="AV86" i="39"/>
  <c r="BC135" i="39"/>
  <c r="BC44" i="39"/>
  <c r="BC123" i="39" s="1"/>
  <c r="AI78" i="39"/>
  <c r="AU78" i="39" s="1"/>
  <c r="AH124" i="39"/>
  <c r="AI62" i="39"/>
  <c r="AU62" i="39" s="1"/>
  <c r="AI109" i="39"/>
  <c r="AU109" i="39" s="1"/>
  <c r="AX73" i="39"/>
  <c r="AX79" i="39" s="1"/>
  <c r="AD79" i="39"/>
  <c r="AE72" i="39"/>
  <c r="AW129" i="39"/>
  <c r="AW42" i="39"/>
  <c r="BC130" i="39"/>
  <c r="X134" i="39"/>
  <c r="AC22" i="39"/>
  <c r="AV22" i="39"/>
  <c r="AV134" i="39" s="1"/>
  <c r="AE22" i="39"/>
  <c r="AD22" i="39"/>
  <c r="AY65" i="39"/>
  <c r="AI70" i="39"/>
  <c r="AU70" i="39" s="1"/>
  <c r="AE50" i="39"/>
  <c r="AS126" i="39"/>
  <c r="AT125" i="39" s="1"/>
  <c r="BB133" i="39"/>
  <c r="AT130" i="39"/>
  <c r="AT30" i="39"/>
  <c r="BA25" i="39"/>
  <c r="AT128" i="39"/>
  <c r="AT24" i="39"/>
  <c r="BA19" i="39"/>
  <c r="BB127" i="39"/>
  <c r="AI16" i="39"/>
  <c r="AU16" i="39" s="1"/>
  <c r="AI20" i="39"/>
  <c r="AU20" i="39" s="1"/>
  <c r="AI34" i="39"/>
  <c r="AU34" i="39" s="1"/>
  <c r="AY31" i="39"/>
  <c r="AY36" i="39" s="1"/>
  <c r="AE36" i="39"/>
  <c r="AI29" i="39"/>
  <c r="AU29" i="39" s="1"/>
  <c r="AI28" i="39"/>
  <c r="AU28" i="39" s="1"/>
  <c r="BB165" i="40" l="1"/>
  <c r="AU20" i="47" s="1"/>
  <c r="AD137" i="40"/>
  <c r="AI61" i="40"/>
  <c r="AE53" i="40"/>
  <c r="AY52" i="40"/>
  <c r="AY53" i="40" s="1"/>
  <c r="BA32" i="40"/>
  <c r="AC102" i="40"/>
  <c r="AE67" i="40"/>
  <c r="AD67" i="40"/>
  <c r="AX61" i="40"/>
  <c r="AX67" i="40" s="1"/>
  <c r="BC165" i="40"/>
  <c r="AV20" i="47" s="1"/>
  <c r="AT166" i="40"/>
  <c r="AK20" i="47"/>
  <c r="AI159" i="40"/>
  <c r="AU159" i="40" s="1"/>
  <c r="AZ168" i="40"/>
  <c r="AI131" i="40"/>
  <c r="AC124" i="40"/>
  <c r="AI111" i="40"/>
  <c r="AE114" i="40"/>
  <c r="AD160" i="40"/>
  <c r="AT167" i="40"/>
  <c r="AI68" i="40"/>
  <c r="AE74" i="40"/>
  <c r="AV124" i="40"/>
  <c r="AI133" i="40"/>
  <c r="AU133" i="40" s="1"/>
  <c r="AT165" i="40"/>
  <c r="AM20" i="47" s="1"/>
  <c r="BC168" i="40"/>
  <c r="AX108" i="40"/>
  <c r="AY177" i="40"/>
  <c r="BA206" i="42"/>
  <c r="BA65" i="42"/>
  <c r="AU12" i="42"/>
  <c r="AC191" i="42"/>
  <c r="AI186" i="42"/>
  <c r="AT201" i="42"/>
  <c r="AI38" i="42"/>
  <c r="AU35" i="42"/>
  <c r="AU38" i="42" s="1"/>
  <c r="AC59" i="42"/>
  <c r="AI54" i="42"/>
  <c r="AI204" i="42" s="1"/>
  <c r="AU48" i="42"/>
  <c r="AI53" i="42"/>
  <c r="AI145" i="42"/>
  <c r="AU139" i="42"/>
  <c r="AE205" i="42"/>
  <c r="AY14" i="42"/>
  <c r="AY205" i="42" s="1"/>
  <c r="AY181" i="42"/>
  <c r="AY185" i="42" s="1"/>
  <c r="AE185" i="42"/>
  <c r="AI162" i="42"/>
  <c r="AU157" i="42"/>
  <c r="AU162" i="42" s="1"/>
  <c r="AX136" i="42"/>
  <c r="AX138" i="42" s="1"/>
  <c r="AD138" i="42"/>
  <c r="AD191" i="42"/>
  <c r="AX186" i="42"/>
  <c r="AX191" i="42" s="1"/>
  <c r="AU39" i="42"/>
  <c r="AC185" i="42"/>
  <c r="AC209" i="42"/>
  <c r="AI17" i="42"/>
  <c r="AI18" i="42" s="1"/>
  <c r="AI45" i="42"/>
  <c r="AU42" i="42"/>
  <c r="AU45" i="42" s="1"/>
  <c r="AI91" i="42"/>
  <c r="AC96" i="42"/>
  <c r="AE145" i="42"/>
  <c r="AX154" i="42"/>
  <c r="AX156" i="42" s="1"/>
  <c r="AD156" i="42"/>
  <c r="AD113" i="42"/>
  <c r="AC172" i="42"/>
  <c r="AE53" i="42"/>
  <c r="AI106" i="42"/>
  <c r="AI211" i="42"/>
  <c r="AU78" i="42"/>
  <c r="AI79" i="42"/>
  <c r="AI110" i="42"/>
  <c r="AI142" i="42"/>
  <c r="AU142" i="42" s="1"/>
  <c r="AU117" i="42"/>
  <c r="AU122" i="42" s="1"/>
  <c r="AI122" i="42"/>
  <c r="AE132" i="42"/>
  <c r="AY127" i="42"/>
  <c r="AY132" i="42" s="1"/>
  <c r="AX54" i="42"/>
  <c r="AX59" i="42" s="1"/>
  <c r="AD59" i="42"/>
  <c r="AU77" i="42"/>
  <c r="AC53" i="42"/>
  <c r="AC145" i="42"/>
  <c r="AE166" i="42"/>
  <c r="AY163" i="42"/>
  <c r="AY166" i="42" s="1"/>
  <c r="AI22" i="42"/>
  <c r="AU19" i="42"/>
  <c r="AU22" i="42" s="1"/>
  <c r="AU180" i="42"/>
  <c r="AU185" i="42" s="1"/>
  <c r="AI185" i="42"/>
  <c r="AE209" i="42"/>
  <c r="AY17" i="42"/>
  <c r="AY206" i="42"/>
  <c r="AY65" i="42"/>
  <c r="AY145" i="42"/>
  <c r="AX113" i="42"/>
  <c r="AV212" i="42"/>
  <c r="AV47" i="42"/>
  <c r="AI40" i="42"/>
  <c r="AU40" i="42" s="1"/>
  <c r="AE204" i="42"/>
  <c r="BB199" i="42"/>
  <c r="AU106" i="42"/>
  <c r="BA204" i="42"/>
  <c r="BA53" i="42"/>
  <c r="AC132" i="42"/>
  <c r="AI127" i="42"/>
  <c r="AX168" i="42"/>
  <c r="AX172" i="42" s="1"/>
  <c r="AD172" i="42"/>
  <c r="AI34" i="42"/>
  <c r="AU31" i="42"/>
  <c r="AU34" i="42" s="1"/>
  <c r="AE59" i="42"/>
  <c r="AY54" i="42"/>
  <c r="AY59" i="42" s="1"/>
  <c r="AI77" i="42"/>
  <c r="AC204" i="42"/>
  <c r="AC202" i="42" s="1"/>
  <c r="BA205" i="42"/>
  <c r="AX181" i="42"/>
  <c r="AX185" i="42" s="1"/>
  <c r="AD185" i="42"/>
  <c r="BA203" i="42"/>
  <c r="BA18" i="42"/>
  <c r="AU87" i="42"/>
  <c r="AU90" i="42" s="1"/>
  <c r="AI90" i="42"/>
  <c r="AX49" i="42"/>
  <c r="AD53" i="42"/>
  <c r="AD204" i="42"/>
  <c r="AV18" i="42"/>
  <c r="AI210" i="42"/>
  <c r="AU51" i="42"/>
  <c r="AU210" i="42" s="1"/>
  <c r="AI86" i="42"/>
  <c r="AU80" i="42"/>
  <c r="AU86" i="42" s="1"/>
  <c r="AE206" i="42"/>
  <c r="AE96" i="42"/>
  <c r="AY91" i="42"/>
  <c r="AY96" i="42" s="1"/>
  <c r="AD212" i="42"/>
  <c r="AD47" i="42"/>
  <c r="AX46" i="42"/>
  <c r="AI30" i="42"/>
  <c r="AU27" i="42"/>
  <c r="AU30" i="42" s="1"/>
  <c r="AI195" i="42"/>
  <c r="AU195" i="42" s="1"/>
  <c r="AU146" i="42"/>
  <c r="AU148" i="42" s="1"/>
  <c r="AI148" i="42"/>
  <c r="AY110" i="42"/>
  <c r="AY113" i="42" s="1"/>
  <c r="AE113" i="42"/>
  <c r="AD199" i="42"/>
  <c r="AC205" i="42"/>
  <c r="AI14" i="42"/>
  <c r="AU114" i="42"/>
  <c r="AU116" i="42" s="1"/>
  <c r="AI116" i="42"/>
  <c r="AI153" i="42"/>
  <c r="AU149" i="42"/>
  <c r="AU153" i="42" s="1"/>
  <c r="AX163" i="42"/>
  <c r="AX166" i="42" s="1"/>
  <c r="AD166" i="42"/>
  <c r="AY186" i="42"/>
  <c r="AY191" i="42" s="1"/>
  <c r="AE191" i="42"/>
  <c r="AE199" i="42" s="1"/>
  <c r="AU192" i="42"/>
  <c r="AT202" i="42"/>
  <c r="BA212" i="42"/>
  <c r="BA47" i="42"/>
  <c r="BB202" i="42"/>
  <c r="AV203" i="42"/>
  <c r="AD203" i="42"/>
  <c r="AU66" i="42"/>
  <c r="AU70" i="42" s="1"/>
  <c r="AI70" i="42"/>
  <c r="AD96" i="42"/>
  <c r="AX91" i="42"/>
  <c r="AX96" i="42" s="1"/>
  <c r="AY154" i="42"/>
  <c r="AY156" i="42" s="1"/>
  <c r="AE156" i="42"/>
  <c r="AT200" i="42"/>
  <c r="AE212" i="42"/>
  <c r="AE47" i="42"/>
  <c r="AY46" i="42"/>
  <c r="AY211" i="42"/>
  <c r="AY79" i="42"/>
  <c r="AI206" i="42"/>
  <c r="AI65" i="42"/>
  <c r="AU60" i="42"/>
  <c r="AU133" i="42"/>
  <c r="AU135" i="42" s="1"/>
  <c r="AI135" i="42"/>
  <c r="AX127" i="42"/>
  <c r="AX132" i="42" s="1"/>
  <c r="AD132" i="42"/>
  <c r="AY18" i="42"/>
  <c r="AI163" i="42"/>
  <c r="AC166" i="42"/>
  <c r="AC199" i="42" s="1"/>
  <c r="AI136" i="42"/>
  <c r="AC138" i="42"/>
  <c r="BC199" i="42"/>
  <c r="AV204" i="42"/>
  <c r="AV53" i="42"/>
  <c r="AV199" i="42" s="1"/>
  <c r="AU123" i="42"/>
  <c r="AU126" i="42" s="1"/>
  <c r="AI126" i="42"/>
  <c r="AT199" i="42"/>
  <c r="AV209" i="42"/>
  <c r="AI26" i="42"/>
  <c r="AU23" i="42"/>
  <c r="AU26" i="42" s="1"/>
  <c r="AI100" i="42"/>
  <c r="AU97" i="42"/>
  <c r="AU100" i="42" s="1"/>
  <c r="BC202" i="42"/>
  <c r="AX40" i="42"/>
  <c r="AX41" i="42" s="1"/>
  <c r="AD41" i="42"/>
  <c r="AX211" i="42"/>
  <c r="AX79" i="42"/>
  <c r="AX206" i="42"/>
  <c r="AX65" i="42"/>
  <c r="AE202" i="42"/>
  <c r="AD205" i="42"/>
  <c r="AX14" i="42"/>
  <c r="AX205" i="42" s="1"/>
  <c r="AE138" i="42"/>
  <c r="AY136" i="42"/>
  <c r="AY138" i="42" s="1"/>
  <c r="AU173" i="42"/>
  <c r="AU179" i="42" s="1"/>
  <c r="AI179" i="42"/>
  <c r="BA199" i="42"/>
  <c r="AD209" i="42"/>
  <c r="AX17" i="42"/>
  <c r="AX209" i="42" s="1"/>
  <c r="AC156" i="42"/>
  <c r="AI154" i="42"/>
  <c r="AU167" i="42"/>
  <c r="AU172" i="42" s="1"/>
  <c r="AI172" i="42"/>
  <c r="AC212" i="42"/>
  <c r="AC47" i="42"/>
  <c r="AI46" i="42"/>
  <c r="AY40" i="42"/>
  <c r="AY41" i="42" s="1"/>
  <c r="AE41" i="42"/>
  <c r="AW202" i="42"/>
  <c r="AC206" i="42"/>
  <c r="AY53" i="42"/>
  <c r="BA147" i="41"/>
  <c r="AC157" i="41"/>
  <c r="AI19" i="41"/>
  <c r="AX156" i="41"/>
  <c r="BA40" i="41"/>
  <c r="AX94" i="41"/>
  <c r="AX97" i="41" s="1"/>
  <c r="AD97" i="41"/>
  <c r="AI108" i="41"/>
  <c r="AC114" i="41"/>
  <c r="AE157" i="41"/>
  <c r="AY19" i="41"/>
  <c r="AY157" i="41" s="1"/>
  <c r="AD156" i="41"/>
  <c r="AX122" i="41"/>
  <c r="AX129" i="41" s="1"/>
  <c r="AD129" i="41"/>
  <c r="AI94" i="41"/>
  <c r="AU94" i="41" s="1"/>
  <c r="AC97" i="41"/>
  <c r="AC158" i="41"/>
  <c r="AI28" i="41"/>
  <c r="AC29" i="41"/>
  <c r="AC62" i="41"/>
  <c r="AI55" i="41"/>
  <c r="AI150" i="41" s="1"/>
  <c r="BA58" i="41"/>
  <c r="BA62" i="41" s="1"/>
  <c r="BA146" i="41" s="1"/>
  <c r="AT62" i="41"/>
  <c r="AT146" i="41" s="1"/>
  <c r="AU17" i="41"/>
  <c r="AI21" i="41"/>
  <c r="AV54" i="41"/>
  <c r="AV159" i="41"/>
  <c r="AV149" i="41" s="1"/>
  <c r="AV99" i="41"/>
  <c r="AV146" i="41" s="1"/>
  <c r="AE151" i="41"/>
  <c r="AE97" i="41"/>
  <c r="AI153" i="41"/>
  <c r="AU35" i="41"/>
  <c r="AU153" i="41" s="1"/>
  <c r="AT147" i="41"/>
  <c r="AE129" i="41"/>
  <c r="AE146" i="41" s="1"/>
  <c r="AY122" i="41"/>
  <c r="AY129" i="41" s="1"/>
  <c r="AE158" i="41"/>
  <c r="AE29" i="41"/>
  <c r="AY28" i="41"/>
  <c r="AI27" i="41"/>
  <c r="AX55" i="41"/>
  <c r="AX62" i="41" s="1"/>
  <c r="AD62" i="41"/>
  <c r="AC21" i="41"/>
  <c r="AY150" i="41"/>
  <c r="AI16" i="41"/>
  <c r="AU12" i="41"/>
  <c r="BA150" i="41"/>
  <c r="BA16" i="41"/>
  <c r="AI88" i="41"/>
  <c r="AC91" i="41"/>
  <c r="AI115" i="41"/>
  <c r="AC121" i="41"/>
  <c r="AD157" i="41"/>
  <c r="AX19" i="41"/>
  <c r="AX157" i="41" s="1"/>
  <c r="AU92" i="41"/>
  <c r="AU97" i="41" s="1"/>
  <c r="AU77" i="41"/>
  <c r="AU83" i="41" s="1"/>
  <c r="AI83" i="41"/>
  <c r="AD114" i="41"/>
  <c r="AX108" i="41"/>
  <c r="AX114" i="41" s="1"/>
  <c r="AV158" i="41"/>
  <c r="AV29" i="41"/>
  <c r="AU27" i="41"/>
  <c r="BC149" i="41"/>
  <c r="AC151" i="41"/>
  <c r="AE159" i="41"/>
  <c r="AY98" i="41"/>
  <c r="AE99" i="41"/>
  <c r="BA158" i="41"/>
  <c r="BA29" i="41"/>
  <c r="AD121" i="41"/>
  <c r="AD146" i="41" s="1"/>
  <c r="AX115" i="41"/>
  <c r="AX121" i="41" s="1"/>
  <c r="AU138" i="41"/>
  <c r="AI87" i="41"/>
  <c r="AI103" i="41"/>
  <c r="AU100" i="41"/>
  <c r="AU103" i="41" s="1"/>
  <c r="AI122" i="41"/>
  <c r="AC129" i="41"/>
  <c r="AC146" i="41" s="1"/>
  <c r="AI147" i="41" s="1"/>
  <c r="AI47" i="41"/>
  <c r="AU41" i="41"/>
  <c r="AU47" i="41" s="1"/>
  <c r="AI107" i="41"/>
  <c r="AU104" i="41"/>
  <c r="AU107" i="41" s="1"/>
  <c r="AY108" i="41"/>
  <c r="AY114" i="41" s="1"/>
  <c r="AE114" i="41"/>
  <c r="BB149" i="41"/>
  <c r="AY55" i="41"/>
  <c r="AY62" i="41" s="1"/>
  <c r="AE62" i="41"/>
  <c r="AI40" i="41"/>
  <c r="AU33" i="41"/>
  <c r="AU40" i="41" s="1"/>
  <c r="AC150" i="41"/>
  <c r="AT149" i="41"/>
  <c r="AI51" i="41"/>
  <c r="AU51" i="41" s="1"/>
  <c r="AY88" i="41"/>
  <c r="AY91" i="41" s="1"/>
  <c r="AE91" i="41"/>
  <c r="AU145" i="41"/>
  <c r="AZ149" i="41"/>
  <c r="AI58" i="41"/>
  <c r="AU58" i="41" s="1"/>
  <c r="AE121" i="41"/>
  <c r="AY115" i="41"/>
  <c r="AY121" i="41" s="1"/>
  <c r="AI138" i="41"/>
  <c r="AE149" i="41"/>
  <c r="AI133" i="41"/>
  <c r="AU130" i="41"/>
  <c r="AU133" i="41" s="1"/>
  <c r="AX151" i="41"/>
  <c r="AI69" i="41"/>
  <c r="AU66" i="41"/>
  <c r="AU69" i="41" s="1"/>
  <c r="AD158" i="41"/>
  <c r="AX28" i="41"/>
  <c r="AD29" i="41"/>
  <c r="AX16" i="41"/>
  <c r="AU30" i="41"/>
  <c r="AU32" i="41" s="1"/>
  <c r="AI32" i="41"/>
  <c r="AU15" i="41"/>
  <c r="AU156" i="41" s="1"/>
  <c r="AY51" i="41"/>
  <c r="AY156" i="41" s="1"/>
  <c r="AE156" i="41"/>
  <c r="AC159" i="41"/>
  <c r="AC99" i="41"/>
  <c r="AI98" i="41"/>
  <c r="AI145" i="41"/>
  <c r="AU48" i="41"/>
  <c r="AY151" i="41"/>
  <c r="AY21" i="41"/>
  <c r="BA151" i="41"/>
  <c r="BA21" i="41"/>
  <c r="AD149" i="41"/>
  <c r="AI49" i="41"/>
  <c r="AU49" i="41" s="1"/>
  <c r="AC156" i="41"/>
  <c r="AY153" i="41"/>
  <c r="AD159" i="41"/>
  <c r="AD99" i="41"/>
  <c r="AX98" i="41"/>
  <c r="AD91" i="41"/>
  <c r="AX88" i="41"/>
  <c r="AX91" i="41" s="1"/>
  <c r="AE21" i="41"/>
  <c r="AV21" i="41"/>
  <c r="AY97" i="41"/>
  <c r="Y147" i="41"/>
  <c r="X147" i="41"/>
  <c r="AX40" i="41"/>
  <c r="AE175" i="40"/>
  <c r="AY14" i="40"/>
  <c r="AY175" i="40" s="1"/>
  <c r="AE178" i="40"/>
  <c r="AE25" i="40"/>
  <c r="AY24" i="40"/>
  <c r="BA177" i="40"/>
  <c r="BA53" i="40"/>
  <c r="AU89" i="40"/>
  <c r="AU92" i="40" s="1"/>
  <c r="AI92" i="40"/>
  <c r="AD170" i="40"/>
  <c r="AX26" i="40"/>
  <c r="AD32" i="40"/>
  <c r="X168" i="40"/>
  <c r="AC167" i="40" s="1"/>
  <c r="AY171" i="40"/>
  <c r="AY38" i="40"/>
  <c r="BB168" i="40"/>
  <c r="BA167" i="40" s="1"/>
  <c r="AX171" i="40"/>
  <c r="AX38" i="40"/>
  <c r="AE176" i="40"/>
  <c r="AY30" i="40"/>
  <c r="AY176" i="40" s="1"/>
  <c r="AC164" i="40"/>
  <c r="AI161" i="40"/>
  <c r="AY16" i="40"/>
  <c r="AY19" i="40" s="1"/>
  <c r="AE19" i="40"/>
  <c r="BA171" i="40"/>
  <c r="BA38" i="40"/>
  <c r="AU39" i="40"/>
  <c r="AU44" i="40" s="1"/>
  <c r="AI44" i="40"/>
  <c r="BA178" i="40"/>
  <c r="BA25" i="40"/>
  <c r="AU61" i="40"/>
  <c r="AU67" i="40" s="1"/>
  <c r="AI67" i="40"/>
  <c r="AV178" i="40"/>
  <c r="AV25" i="40"/>
  <c r="AU111" i="40"/>
  <c r="AU114" i="40" s="1"/>
  <c r="AI114" i="40"/>
  <c r="AU55" i="40"/>
  <c r="AI23" i="40"/>
  <c r="AU20" i="40"/>
  <c r="AU23" i="40" s="1"/>
  <c r="AC170" i="40"/>
  <c r="AI26" i="40"/>
  <c r="AC32" i="40"/>
  <c r="AC169" i="40"/>
  <c r="AI12" i="40"/>
  <c r="AC15" i="40"/>
  <c r="AI74" i="40"/>
  <c r="AU68" i="40"/>
  <c r="AU74" i="40" s="1"/>
  <c r="AC154" i="40"/>
  <c r="AI152" i="40"/>
  <c r="AU51" i="40"/>
  <c r="AI151" i="40"/>
  <c r="AU145" i="40"/>
  <c r="AU151" i="40" s="1"/>
  <c r="AD175" i="40"/>
  <c r="AX14" i="40"/>
  <c r="AX175" i="40" s="1"/>
  <c r="Y166" i="40"/>
  <c r="X166" i="40"/>
  <c r="AI171" i="40"/>
  <c r="AU33" i="40"/>
  <c r="AI38" i="40"/>
  <c r="AU138" i="40"/>
  <c r="AU144" i="40" s="1"/>
  <c r="AI144" i="40"/>
  <c r="AD169" i="40"/>
  <c r="AD15" i="40"/>
  <c r="AX12" i="40"/>
  <c r="AI51" i="40"/>
  <c r="AU131" i="40"/>
  <c r="AD176" i="40"/>
  <c r="AX30" i="40"/>
  <c r="AX176" i="40" s="1"/>
  <c r="AC175" i="40"/>
  <c r="AI14" i="40"/>
  <c r="AI88" i="40"/>
  <c r="AU82" i="40"/>
  <c r="AU88" i="40" s="1"/>
  <c r="AX114" i="40"/>
  <c r="AE170" i="40"/>
  <c r="AY26" i="40"/>
  <c r="AE32" i="40"/>
  <c r="AE169" i="40"/>
  <c r="AE15" i="40"/>
  <c r="AY12" i="40"/>
  <c r="AD154" i="40"/>
  <c r="AX152" i="40"/>
  <c r="AX154" i="40" s="1"/>
  <c r="AU128" i="40"/>
  <c r="AU130" i="40" s="1"/>
  <c r="AI130" i="40"/>
  <c r="AC173" i="40"/>
  <c r="AI28" i="40"/>
  <c r="AY161" i="40"/>
  <c r="AY164" i="40" s="1"/>
  <c r="AE164" i="40"/>
  <c r="AC19" i="40"/>
  <c r="AI16" i="40"/>
  <c r="AD173" i="40"/>
  <c r="AX28" i="40"/>
  <c r="AX173" i="40" s="1"/>
  <c r="AU119" i="40"/>
  <c r="AU124" i="40" s="1"/>
  <c r="AI124" i="40"/>
  <c r="AC178" i="40"/>
  <c r="AC25" i="40"/>
  <c r="AI24" i="40"/>
  <c r="AU93" i="40"/>
  <c r="AU98" i="40" s="1"/>
  <c r="AI98" i="40"/>
  <c r="AY172" i="40"/>
  <c r="AI118" i="40"/>
  <c r="AU115" i="40"/>
  <c r="AU118" i="40" s="1"/>
  <c r="AW168" i="40"/>
  <c r="AV170" i="40"/>
  <c r="AV32" i="40"/>
  <c r="AV169" i="40"/>
  <c r="AV15" i="40"/>
  <c r="AY152" i="40"/>
  <c r="AY154" i="40" s="1"/>
  <c r="AE154" i="40"/>
  <c r="AU102" i="40"/>
  <c r="AT168" i="40"/>
  <c r="AD19" i="40"/>
  <c r="AX16" i="40"/>
  <c r="AX19" i="40" s="1"/>
  <c r="AX161" i="40"/>
  <c r="AX164" i="40" s="1"/>
  <c r="AD164" i="40"/>
  <c r="AI60" i="40"/>
  <c r="AU54" i="40"/>
  <c r="BA170" i="40"/>
  <c r="AC176" i="40"/>
  <c r="AI30" i="40"/>
  <c r="X165" i="40"/>
  <c r="BA169" i="40"/>
  <c r="BA15" i="40"/>
  <c r="AE173" i="40"/>
  <c r="AY28" i="40"/>
  <c r="AY173" i="40" s="1"/>
  <c r="AU75" i="40"/>
  <c r="AU81" i="40" s="1"/>
  <c r="AI81" i="40"/>
  <c r="AI110" i="40"/>
  <c r="AU109" i="40"/>
  <c r="AU110" i="40" s="1"/>
  <c r="AX172" i="40"/>
  <c r="AD178" i="40"/>
  <c r="AD25" i="40"/>
  <c r="AX24" i="40"/>
  <c r="AU155" i="40"/>
  <c r="BA172" i="40"/>
  <c r="AX177" i="40"/>
  <c r="AX53" i="40"/>
  <c r="AU125" i="40"/>
  <c r="AU127" i="40" s="1"/>
  <c r="AI127" i="40"/>
  <c r="AI108" i="40"/>
  <c r="AU103" i="40"/>
  <c r="AU108" i="40" s="1"/>
  <c r="AI177" i="40"/>
  <c r="AI53" i="40"/>
  <c r="AU52" i="40"/>
  <c r="AI102" i="40"/>
  <c r="BA130" i="39"/>
  <c r="BA30" i="39"/>
  <c r="AT123" i="39"/>
  <c r="AC56" i="39"/>
  <c r="AI51" i="39"/>
  <c r="AE58" i="39"/>
  <c r="AY57" i="39"/>
  <c r="AY58" i="39" s="1"/>
  <c r="AC130" i="39"/>
  <c r="AC30" i="39"/>
  <c r="AI25" i="39"/>
  <c r="BB126" i="39"/>
  <c r="AW126" i="39"/>
  <c r="AD134" i="39"/>
  <c r="AX22" i="39"/>
  <c r="AX134" i="39" s="1"/>
  <c r="AI100" i="39"/>
  <c r="AU94" i="39"/>
  <c r="AU100" i="39" s="1"/>
  <c r="BA135" i="39"/>
  <c r="AI79" i="39"/>
  <c r="AU73" i="39"/>
  <c r="AU79" i="39" s="1"/>
  <c r="AI50" i="39"/>
  <c r="AU47" i="39"/>
  <c r="AU50" i="39" s="1"/>
  <c r="X126" i="39"/>
  <c r="AC125" i="39" s="1"/>
  <c r="AV128" i="39"/>
  <c r="AV24" i="39"/>
  <c r="AI36" i="39"/>
  <c r="AU31" i="39"/>
  <c r="AU36" i="39" s="1"/>
  <c r="BA136" i="39"/>
  <c r="BA13" i="39"/>
  <c r="AC58" i="39"/>
  <c r="AI57" i="39"/>
  <c r="AD130" i="39"/>
  <c r="AX25" i="39"/>
  <c r="AD30" i="39"/>
  <c r="AE135" i="39"/>
  <c r="AE44" i="39"/>
  <c r="AY43" i="39"/>
  <c r="AC133" i="39"/>
  <c r="AI17" i="39"/>
  <c r="AE129" i="39"/>
  <c r="AE42" i="39"/>
  <c r="AY37" i="39"/>
  <c r="AZ126" i="39"/>
  <c r="AI107" i="39"/>
  <c r="AU101" i="39"/>
  <c r="AU107" i="39" s="1"/>
  <c r="AC114" i="39"/>
  <c r="AC123" i="39" s="1"/>
  <c r="AI124" i="39" s="1"/>
  <c r="AI108" i="39"/>
  <c r="AX51" i="39"/>
  <c r="AX56" i="39" s="1"/>
  <c r="AD56" i="39"/>
  <c r="AC46" i="39"/>
  <c r="AI45" i="39"/>
  <c r="AI136" i="39" s="1"/>
  <c r="AI13" i="39"/>
  <c r="AU12" i="39"/>
  <c r="AV135" i="39"/>
  <c r="AV44" i="39"/>
  <c r="AE133" i="39"/>
  <c r="AY17" i="39"/>
  <c r="AY133" i="39" s="1"/>
  <c r="AV129" i="39"/>
  <c r="AV42" i="39"/>
  <c r="AD127" i="39"/>
  <c r="AD18" i="39"/>
  <c r="AX14" i="39"/>
  <c r="AC128" i="39"/>
  <c r="AC24" i="39"/>
  <c r="AI19" i="39"/>
  <c r="AI65" i="39"/>
  <c r="AU59" i="39"/>
  <c r="AU65" i="39" s="1"/>
  <c r="AU115" i="39"/>
  <c r="AU117" i="39" s="1"/>
  <c r="AI117" i="39"/>
  <c r="AD114" i="39"/>
  <c r="AD123" i="39" s="1"/>
  <c r="AX108" i="39"/>
  <c r="AX114" i="39" s="1"/>
  <c r="BC126" i="39"/>
  <c r="AE130" i="39"/>
  <c r="AY25" i="39"/>
  <c r="AE30" i="39"/>
  <c r="AU66" i="39"/>
  <c r="AU72" i="39" s="1"/>
  <c r="AI72" i="39"/>
  <c r="BB123" i="39"/>
  <c r="BA124" i="39" s="1"/>
  <c r="AD133" i="39"/>
  <c r="AX17" i="39"/>
  <c r="AX133" i="39" s="1"/>
  <c r="AU118" i="39"/>
  <c r="AU122" i="39" s="1"/>
  <c r="AI122" i="39"/>
  <c r="AC134" i="39"/>
  <c r="AI22" i="39"/>
  <c r="AC124" i="39"/>
  <c r="AC127" i="39"/>
  <c r="AC18" i="39"/>
  <c r="AI14" i="39"/>
  <c r="AD128" i="39"/>
  <c r="AD24" i="39"/>
  <c r="AX19" i="39"/>
  <c r="AE114" i="39"/>
  <c r="AY108" i="39"/>
  <c r="AY114" i="39" s="1"/>
  <c r="BA129" i="39"/>
  <c r="BA42" i="39"/>
  <c r="BA123" i="39" s="1"/>
  <c r="AY51" i="39"/>
  <c r="AY56" i="39" s="1"/>
  <c r="AE56" i="39"/>
  <c r="AE123" i="39" s="1"/>
  <c r="AV46" i="39"/>
  <c r="AV136" i="39"/>
  <c r="AD58" i="39"/>
  <c r="AX57" i="39"/>
  <c r="AX58" i="39" s="1"/>
  <c r="AV130" i="39"/>
  <c r="AV30" i="39"/>
  <c r="AD135" i="39"/>
  <c r="AD44" i="39"/>
  <c r="AX43" i="39"/>
  <c r="AI86" i="39"/>
  <c r="AU80" i="39"/>
  <c r="AU86" i="39" s="1"/>
  <c r="AC129" i="39"/>
  <c r="AI37" i="39"/>
  <c r="AC42" i="39"/>
  <c r="BA128" i="39"/>
  <c r="BA24" i="39"/>
  <c r="AE134" i="39"/>
  <c r="AY22" i="39"/>
  <c r="AY134" i="39" s="1"/>
  <c r="AE127" i="39"/>
  <c r="AE18" i="39"/>
  <c r="AY14" i="39"/>
  <c r="AI93" i="39"/>
  <c r="AU87" i="39"/>
  <c r="AU93" i="39" s="1"/>
  <c r="AD46" i="39"/>
  <c r="AX45" i="39"/>
  <c r="AD136" i="39"/>
  <c r="AV127" i="39"/>
  <c r="AV126" i="39" s="1"/>
  <c r="AV18" i="39"/>
  <c r="AV123" i="39" s="1"/>
  <c r="AE128" i="39"/>
  <c r="AY19" i="39"/>
  <c r="AE24" i="39"/>
  <c r="AE46" i="39"/>
  <c r="AY45" i="39"/>
  <c r="AE136" i="39"/>
  <c r="AC135" i="39"/>
  <c r="AC44" i="39"/>
  <c r="AI43" i="39"/>
  <c r="AD129" i="39"/>
  <c r="AX37" i="39"/>
  <c r="AD42" i="39"/>
  <c r="BA127" i="39"/>
  <c r="BA126" i="39" s="1"/>
  <c r="BA166" i="40" l="1"/>
  <c r="AU160" i="40"/>
  <c r="AV165" i="40"/>
  <c r="AO20" i="47" s="1"/>
  <c r="AI160" i="40"/>
  <c r="AU137" i="40"/>
  <c r="BA168" i="40"/>
  <c r="AI137" i="40"/>
  <c r="AI172" i="40"/>
  <c r="AC166" i="40"/>
  <c r="Q20" i="47"/>
  <c r="AD165" i="40"/>
  <c r="W20" i="47" s="1"/>
  <c r="AE168" i="40"/>
  <c r="AI200" i="42"/>
  <c r="AI201" i="42"/>
  <c r="AI212" i="42"/>
  <c r="AI47" i="42"/>
  <c r="AU46" i="42"/>
  <c r="AI138" i="42"/>
  <c r="AU136" i="42"/>
  <c r="AU138" i="42" s="1"/>
  <c r="AI166" i="42"/>
  <c r="AU163" i="42"/>
  <c r="AU166" i="42" s="1"/>
  <c r="AU154" i="42"/>
  <c r="AU156" i="42" s="1"/>
  <c r="AI156" i="42"/>
  <c r="AI205" i="42"/>
  <c r="AU14" i="42"/>
  <c r="AU205" i="42" s="1"/>
  <c r="AX18" i="42"/>
  <c r="AU211" i="42"/>
  <c r="AU79" i="42"/>
  <c r="AI41" i="42"/>
  <c r="AU145" i="42"/>
  <c r="AU203" i="42"/>
  <c r="AX203" i="42"/>
  <c r="AU41" i="42"/>
  <c r="AY204" i="42"/>
  <c r="AD202" i="42"/>
  <c r="AI198" i="42"/>
  <c r="AI199" i="42" s="1"/>
  <c r="AY209" i="42"/>
  <c r="AI209" i="42"/>
  <c r="AU17" i="42"/>
  <c r="AI203" i="42"/>
  <c r="AI202" i="42" s="1"/>
  <c r="AV202" i="42"/>
  <c r="AU198" i="42"/>
  <c r="BA202" i="42"/>
  <c r="BA200" i="42"/>
  <c r="AU53" i="42"/>
  <c r="AY212" i="42"/>
  <c r="AY47" i="42"/>
  <c r="AY199" i="42" s="1"/>
  <c r="BA201" i="42"/>
  <c r="AX212" i="42"/>
  <c r="AX47" i="42"/>
  <c r="AU127" i="42"/>
  <c r="AU132" i="42" s="1"/>
  <c r="AI132" i="42"/>
  <c r="AU110" i="42"/>
  <c r="AU113" i="42" s="1"/>
  <c r="AI113" i="42"/>
  <c r="AU186" i="42"/>
  <c r="AU191" i="42" s="1"/>
  <c r="AI191" i="42"/>
  <c r="AY203" i="42"/>
  <c r="AY202" i="42" s="1"/>
  <c r="AU65" i="42"/>
  <c r="AX204" i="42"/>
  <c r="AX53" i="42"/>
  <c r="AX199" i="42" s="1"/>
  <c r="AU200" i="42" s="1"/>
  <c r="AU91" i="42"/>
  <c r="AU96" i="42" s="1"/>
  <c r="AI96" i="42"/>
  <c r="AI59" i="42"/>
  <c r="AU54" i="42"/>
  <c r="AU59" i="42" s="1"/>
  <c r="AX159" i="41"/>
  <c r="AX99" i="41"/>
  <c r="AX146" i="41" s="1"/>
  <c r="AU147" i="41" s="1"/>
  <c r="AI54" i="41"/>
  <c r="AU115" i="41"/>
  <c r="AU121" i="41" s="1"/>
  <c r="AI121" i="41"/>
  <c r="BA156" i="41"/>
  <c r="AI159" i="41"/>
  <c r="AU98" i="41"/>
  <c r="AI99" i="41"/>
  <c r="AI156" i="41"/>
  <c r="AX158" i="41"/>
  <c r="AX29" i="41"/>
  <c r="BA148" i="41"/>
  <c r="AY159" i="41"/>
  <c r="AY99" i="41"/>
  <c r="AY146" i="41" s="1"/>
  <c r="AI97" i="41"/>
  <c r="AI157" i="41"/>
  <c r="AU19" i="41"/>
  <c r="AU157" i="41" s="1"/>
  <c r="AC149" i="41"/>
  <c r="AI148" i="41" s="1"/>
  <c r="AI91" i="41"/>
  <c r="AU88" i="41"/>
  <c r="AU91" i="41" s="1"/>
  <c r="AY158" i="41"/>
  <c r="AY29" i="41"/>
  <c r="AY54" i="41"/>
  <c r="AI151" i="41"/>
  <c r="AI149" i="41" s="1"/>
  <c r="AI114" i="41"/>
  <c r="AU108" i="41"/>
  <c r="AU114" i="41" s="1"/>
  <c r="AU122" i="41"/>
  <c r="AU129" i="41" s="1"/>
  <c r="AI129" i="41"/>
  <c r="AY149" i="41"/>
  <c r="AI158" i="41"/>
  <c r="AI29" i="41"/>
  <c r="AU28" i="41"/>
  <c r="AX150" i="41"/>
  <c r="AX21" i="41"/>
  <c r="BA149" i="41"/>
  <c r="AU54" i="41"/>
  <c r="AU16" i="41"/>
  <c r="AI62" i="41"/>
  <c r="AI146" i="41" s="1"/>
  <c r="AU55" i="41"/>
  <c r="AU62" i="41" s="1"/>
  <c r="AX178" i="40"/>
  <c r="AX25" i="40"/>
  <c r="AI178" i="40"/>
  <c r="AI25" i="40"/>
  <c r="AU24" i="40"/>
  <c r="AI176" i="40"/>
  <c r="AU30" i="40"/>
  <c r="AU176" i="40" s="1"/>
  <c r="AI19" i="40"/>
  <c r="AU16" i="40"/>
  <c r="AU19" i="40" s="1"/>
  <c r="AV168" i="40"/>
  <c r="AX169" i="40"/>
  <c r="AX15" i="40"/>
  <c r="AU171" i="40"/>
  <c r="AU38" i="40"/>
  <c r="AU60" i="40"/>
  <c r="AI164" i="40"/>
  <c r="AU161" i="40"/>
  <c r="AU164" i="40" s="1"/>
  <c r="AI173" i="40"/>
  <c r="AU28" i="40"/>
  <c r="AU173" i="40" s="1"/>
  <c r="AY169" i="40"/>
  <c r="AY15" i="40"/>
  <c r="AD168" i="40"/>
  <c r="AI169" i="40"/>
  <c r="AI15" i="40"/>
  <c r="AU12" i="40"/>
  <c r="AC165" i="40"/>
  <c r="AI154" i="40"/>
  <c r="AU152" i="40"/>
  <c r="AU154" i="40" s="1"/>
  <c r="AC168" i="40"/>
  <c r="AU172" i="40"/>
  <c r="AU177" i="40"/>
  <c r="AU53" i="40"/>
  <c r="BA165" i="40"/>
  <c r="AT20" i="47" s="1"/>
  <c r="AI175" i="40"/>
  <c r="AU14" i="40"/>
  <c r="AU175" i="40" s="1"/>
  <c r="AI170" i="40"/>
  <c r="AI32" i="40"/>
  <c r="AU26" i="40"/>
  <c r="AE165" i="40"/>
  <c r="X20" i="47" s="1"/>
  <c r="AY170" i="40"/>
  <c r="AY32" i="40"/>
  <c r="AX170" i="40"/>
  <c r="AX32" i="40"/>
  <c r="AY178" i="40"/>
  <c r="AY25" i="40"/>
  <c r="AY128" i="39"/>
  <c r="AY24" i="39"/>
  <c r="AY130" i="39"/>
  <c r="AY30" i="39"/>
  <c r="AU108" i="39"/>
  <c r="AU114" i="39" s="1"/>
  <c r="AI114" i="39"/>
  <c r="AY129" i="39"/>
  <c r="AY42" i="39"/>
  <c r="AX128" i="39"/>
  <c r="AX24" i="39"/>
  <c r="AX127" i="39"/>
  <c r="AX18" i="39"/>
  <c r="AI134" i="39"/>
  <c r="AU22" i="39"/>
  <c r="AU134" i="39" s="1"/>
  <c r="AI46" i="39"/>
  <c r="AU45" i="39"/>
  <c r="AU46" i="39" s="1"/>
  <c r="BA125" i="39"/>
  <c r="AI56" i="39"/>
  <c r="AU51" i="39"/>
  <c r="AU56" i="39" s="1"/>
  <c r="AY46" i="39"/>
  <c r="AY123" i="39" s="1"/>
  <c r="AY136" i="39"/>
  <c r="AD126" i="39"/>
  <c r="AI133" i="39"/>
  <c r="AU17" i="39"/>
  <c r="AU133" i="39" s="1"/>
  <c r="AX130" i="39"/>
  <c r="AX30" i="39"/>
  <c r="AI130" i="39"/>
  <c r="AI30" i="39"/>
  <c r="AU25" i="39"/>
  <c r="AX135" i="39"/>
  <c r="AX44" i="39"/>
  <c r="AX123" i="39" s="1"/>
  <c r="AI127" i="39"/>
  <c r="AI18" i="39"/>
  <c r="AU14" i="39"/>
  <c r="AI128" i="39"/>
  <c r="AI24" i="39"/>
  <c r="AU19" i="39"/>
  <c r="AY127" i="39"/>
  <c r="AY18" i="39"/>
  <c r="AI135" i="39"/>
  <c r="AI44" i="39"/>
  <c r="AI123" i="39" s="1"/>
  <c r="AU43" i="39"/>
  <c r="AX46" i="39"/>
  <c r="AX136" i="39"/>
  <c r="AE126" i="39"/>
  <c r="AI129" i="39"/>
  <c r="AU37" i="39"/>
  <c r="AI42" i="39"/>
  <c r="AU136" i="39"/>
  <c r="AU13" i="39"/>
  <c r="AY135" i="39"/>
  <c r="AY44" i="39"/>
  <c r="AI58" i="39"/>
  <c r="AU57" i="39"/>
  <c r="AU58" i="39" s="1"/>
  <c r="AX129" i="39"/>
  <c r="AX42" i="39"/>
  <c r="AC126" i="39"/>
  <c r="AI125" i="39" s="1"/>
  <c r="AX165" i="40" l="1"/>
  <c r="AQ20" i="47" s="1"/>
  <c r="AY165" i="40"/>
  <c r="AR20" i="47" s="1"/>
  <c r="AI167" i="40"/>
  <c r="AI166" i="40"/>
  <c r="V20" i="47"/>
  <c r="AX202" i="42"/>
  <c r="AU18" i="42"/>
  <c r="AU206" i="42"/>
  <c r="AU201" i="42"/>
  <c r="AU212" i="42"/>
  <c r="AU47" i="42"/>
  <c r="AU199" i="42" s="1"/>
  <c r="AU204" i="42"/>
  <c r="AU209" i="42"/>
  <c r="AU202" i="42" s="1"/>
  <c r="AX149" i="41"/>
  <c r="AU148" i="41" s="1"/>
  <c r="AU150" i="41"/>
  <c r="AU149" i="41" s="1"/>
  <c r="AU21" i="41"/>
  <c r="AU158" i="41"/>
  <c r="AU29" i="41"/>
  <c r="AU151" i="41"/>
  <c r="AU159" i="41"/>
  <c r="AU99" i="41"/>
  <c r="AU146" i="41" s="1"/>
  <c r="AU178" i="40"/>
  <c r="AU25" i="40"/>
  <c r="AU170" i="40"/>
  <c r="AU32" i="40"/>
  <c r="AY168" i="40"/>
  <c r="AU169" i="40"/>
  <c r="AU15" i="40"/>
  <c r="AI168" i="40"/>
  <c r="AI165" i="40"/>
  <c r="AB20" i="47" s="1"/>
  <c r="AX168" i="40"/>
  <c r="AU124" i="39"/>
  <c r="AU135" i="39"/>
  <c r="AU44" i="39"/>
  <c r="AU123" i="39" s="1"/>
  <c r="AU128" i="39"/>
  <c r="AU24" i="39"/>
  <c r="AI126" i="39"/>
  <c r="AU129" i="39"/>
  <c r="AU42" i="39"/>
  <c r="AU130" i="39"/>
  <c r="AU30" i="39"/>
  <c r="AX126" i="39"/>
  <c r="AY126" i="39"/>
  <c r="AU127" i="39"/>
  <c r="AU18" i="39"/>
  <c r="AU165" i="40" l="1"/>
  <c r="AN20" i="47" s="1"/>
  <c r="AU167" i="40"/>
  <c r="AU166" i="40"/>
  <c r="AU168" i="40"/>
  <c r="AU125" i="39"/>
  <c r="AU126" i="39"/>
  <c r="AQ314" i="32" l="1"/>
  <c r="AJ36" i="47" s="1"/>
  <c r="AP314" i="32"/>
  <c r="AI36" i="47" s="1"/>
  <c r="AO314" i="32"/>
  <c r="AH36" i="47" s="1"/>
  <c r="AN314" i="32"/>
  <c r="AG36" i="47" s="1"/>
  <c r="AM314" i="32"/>
  <c r="AL314" i="32"/>
  <c r="AE36" i="47" s="1"/>
  <c r="AK314" i="32"/>
  <c r="AD36" i="47" s="1"/>
  <c r="AJ314" i="32"/>
  <c r="AC36" i="47" s="1"/>
  <c r="AG314" i="32"/>
  <c r="Z36" i="47" s="1"/>
  <c r="AF314" i="32"/>
  <c r="Y36" i="47" s="1"/>
  <c r="AA314" i="32"/>
  <c r="T36" i="47" s="1"/>
  <c r="Z314" i="32"/>
  <c r="S36" i="47" s="1"/>
  <c r="Y314" i="32"/>
  <c r="R36" i="47" s="1"/>
  <c r="W314" i="32"/>
  <c r="P36" i="47" s="1"/>
  <c r="V314" i="32"/>
  <c r="O36" i="47" s="1"/>
  <c r="U314" i="32"/>
  <c r="N36" i="47" s="1"/>
  <c r="T314" i="32"/>
  <c r="S314" i="32"/>
  <c r="L36" i="47" s="1"/>
  <c r="Q314" i="32"/>
  <c r="J36" i="47" s="1"/>
  <c r="P314" i="32"/>
  <c r="I36" i="47" s="1"/>
  <c r="O314" i="32"/>
  <c r="H36" i="47" s="1"/>
  <c r="N314" i="32"/>
  <c r="G36" i="47" s="1"/>
  <c r="M314" i="32"/>
  <c r="F36" i="47" s="1"/>
  <c r="L314" i="32"/>
  <c r="E36" i="47" s="1"/>
  <c r="K314" i="32"/>
  <c r="D36" i="47" s="1"/>
  <c r="J314" i="32"/>
  <c r="C36" i="47" s="1"/>
  <c r="I314" i="32"/>
  <c r="B36" i="47" s="1"/>
  <c r="AQ313" i="32"/>
  <c r="AJ35" i="47" s="1"/>
  <c r="AP313" i="32"/>
  <c r="AI35" i="47" s="1"/>
  <c r="AO313" i="32"/>
  <c r="AH35" i="47" s="1"/>
  <c r="AN313" i="32"/>
  <c r="AG35" i="47" s="1"/>
  <c r="AM313" i="32"/>
  <c r="AL313" i="32"/>
  <c r="AE35" i="47" s="1"/>
  <c r="AK313" i="32"/>
  <c r="AD35" i="47" s="1"/>
  <c r="AJ313" i="32"/>
  <c r="AC35" i="47" s="1"/>
  <c r="AG313" i="32"/>
  <c r="Z35" i="47" s="1"/>
  <c r="AF313" i="32"/>
  <c r="Y35" i="47" s="1"/>
  <c r="AA313" i="32"/>
  <c r="T35" i="47" s="1"/>
  <c r="Z313" i="32"/>
  <c r="S35" i="47" s="1"/>
  <c r="Y313" i="32"/>
  <c r="R35" i="47" s="1"/>
  <c r="W313" i="32"/>
  <c r="P35" i="47" s="1"/>
  <c r="V313" i="32"/>
  <c r="O35" i="47" s="1"/>
  <c r="U313" i="32"/>
  <c r="N35" i="47" s="1"/>
  <c r="T313" i="32"/>
  <c r="S313" i="32"/>
  <c r="L35" i="47" s="1"/>
  <c r="Q313" i="32"/>
  <c r="J35" i="47" s="1"/>
  <c r="P313" i="32"/>
  <c r="I35" i="47" s="1"/>
  <c r="O313" i="32"/>
  <c r="H35" i="47" s="1"/>
  <c r="N313" i="32"/>
  <c r="G35" i="47" s="1"/>
  <c r="M313" i="32"/>
  <c r="F35" i="47" s="1"/>
  <c r="L313" i="32"/>
  <c r="E35" i="47" s="1"/>
  <c r="K313" i="32"/>
  <c r="D35" i="47" s="1"/>
  <c r="J313" i="32"/>
  <c r="C35" i="47" s="1"/>
  <c r="I313" i="32"/>
  <c r="B35" i="47" s="1"/>
  <c r="AQ312" i="32"/>
  <c r="AJ34" i="47" s="1"/>
  <c r="AP312" i="32"/>
  <c r="AI34" i="47" s="1"/>
  <c r="AO312" i="32"/>
  <c r="AH34" i="47" s="1"/>
  <c r="AN312" i="32"/>
  <c r="AG34" i="47" s="1"/>
  <c r="AM312" i="32"/>
  <c r="AL312" i="32"/>
  <c r="AE34" i="47" s="1"/>
  <c r="AK312" i="32"/>
  <c r="AD34" i="47" s="1"/>
  <c r="AJ312" i="32"/>
  <c r="AC34" i="47" s="1"/>
  <c r="AG312" i="32"/>
  <c r="Z34" i="47" s="1"/>
  <c r="AF312" i="32"/>
  <c r="Y34" i="47" s="1"/>
  <c r="AA312" i="32"/>
  <c r="T34" i="47" s="1"/>
  <c r="Z312" i="32"/>
  <c r="S34" i="47" s="1"/>
  <c r="Y312" i="32"/>
  <c r="R34" i="47" s="1"/>
  <c r="W312" i="32"/>
  <c r="P34" i="47" s="1"/>
  <c r="V312" i="32"/>
  <c r="O34" i="47" s="1"/>
  <c r="U312" i="32"/>
  <c r="N34" i="47" s="1"/>
  <c r="T312" i="32"/>
  <c r="S312" i="32"/>
  <c r="L34" i="47" s="1"/>
  <c r="Q312" i="32"/>
  <c r="J34" i="47" s="1"/>
  <c r="P312" i="32"/>
  <c r="I34" i="47" s="1"/>
  <c r="O312" i="32"/>
  <c r="H34" i="47" s="1"/>
  <c r="N312" i="32"/>
  <c r="G34" i="47" s="1"/>
  <c r="M312" i="32"/>
  <c r="F34" i="47" s="1"/>
  <c r="L312" i="32"/>
  <c r="E34" i="47" s="1"/>
  <c r="K312" i="32"/>
  <c r="D34" i="47" s="1"/>
  <c r="J312" i="32"/>
  <c r="C34" i="47" s="1"/>
  <c r="I312" i="32"/>
  <c r="B34" i="47" s="1"/>
  <c r="AQ311" i="32"/>
  <c r="AJ33" i="47" s="1"/>
  <c r="AP311" i="32"/>
  <c r="AI33" i="47" s="1"/>
  <c r="AO311" i="32"/>
  <c r="AH33" i="47" s="1"/>
  <c r="AN311" i="32"/>
  <c r="AG33" i="47" s="1"/>
  <c r="AM311" i="32"/>
  <c r="AL311" i="32"/>
  <c r="AE33" i="47" s="1"/>
  <c r="AK311" i="32"/>
  <c r="AD33" i="47" s="1"/>
  <c r="AJ311" i="32"/>
  <c r="AC33" i="47" s="1"/>
  <c r="AG311" i="32"/>
  <c r="Z33" i="47" s="1"/>
  <c r="AF311" i="32"/>
  <c r="Y33" i="47" s="1"/>
  <c r="AA311" i="32"/>
  <c r="T33" i="47" s="1"/>
  <c r="Z311" i="32"/>
  <c r="S33" i="47" s="1"/>
  <c r="Y311" i="32"/>
  <c r="R33" i="47" s="1"/>
  <c r="W311" i="32"/>
  <c r="P33" i="47" s="1"/>
  <c r="V311" i="32"/>
  <c r="O33" i="47" s="1"/>
  <c r="U311" i="32"/>
  <c r="N33" i="47" s="1"/>
  <c r="T311" i="32"/>
  <c r="S311" i="32"/>
  <c r="L33" i="47" s="1"/>
  <c r="Q311" i="32"/>
  <c r="J33" i="47" s="1"/>
  <c r="P311" i="32"/>
  <c r="I33" i="47" s="1"/>
  <c r="O311" i="32"/>
  <c r="H33" i="47" s="1"/>
  <c r="N311" i="32"/>
  <c r="G33" i="47" s="1"/>
  <c r="M311" i="32"/>
  <c r="F33" i="47" s="1"/>
  <c r="L311" i="32"/>
  <c r="E33" i="47" s="1"/>
  <c r="K311" i="32"/>
  <c r="D33" i="47" s="1"/>
  <c r="J311" i="32"/>
  <c r="C33" i="47" s="1"/>
  <c r="I311" i="32"/>
  <c r="B33" i="47" s="1"/>
  <c r="AQ310" i="32"/>
  <c r="AJ32" i="47" s="1"/>
  <c r="AP310" i="32"/>
  <c r="AI32" i="47" s="1"/>
  <c r="AO310" i="32"/>
  <c r="AH32" i="47" s="1"/>
  <c r="AN310" i="32"/>
  <c r="AM310" i="32"/>
  <c r="AL310" i="32"/>
  <c r="AE32" i="47" s="1"/>
  <c r="AK310" i="32"/>
  <c r="AD32" i="47" s="1"/>
  <c r="AJ310" i="32"/>
  <c r="AC32" i="47" s="1"/>
  <c r="AG310" i="32"/>
  <c r="Z32" i="47" s="1"/>
  <c r="AF310" i="32"/>
  <c r="Y32" i="47" s="1"/>
  <c r="AA310" i="32"/>
  <c r="T32" i="47" s="1"/>
  <c r="Z310" i="32"/>
  <c r="S32" i="47" s="1"/>
  <c r="Y310" i="32"/>
  <c r="R32" i="47" s="1"/>
  <c r="W310" i="32"/>
  <c r="P32" i="47" s="1"/>
  <c r="V310" i="32"/>
  <c r="O32" i="47" s="1"/>
  <c r="U310" i="32"/>
  <c r="T310" i="32"/>
  <c r="S310" i="32"/>
  <c r="L32" i="47" s="1"/>
  <c r="Q310" i="32"/>
  <c r="J32" i="47" s="1"/>
  <c r="P310" i="32"/>
  <c r="I32" i="47" s="1"/>
  <c r="O310" i="32"/>
  <c r="H32" i="47" s="1"/>
  <c r="N310" i="32"/>
  <c r="G32" i="47" s="1"/>
  <c r="M310" i="32"/>
  <c r="F32" i="47" s="1"/>
  <c r="L310" i="32"/>
  <c r="E32" i="47" s="1"/>
  <c r="K310" i="32"/>
  <c r="D32" i="47" s="1"/>
  <c r="J310" i="32"/>
  <c r="C32" i="47" s="1"/>
  <c r="I310" i="32"/>
  <c r="B32" i="47" s="1"/>
  <c r="BC309" i="32"/>
  <c r="AV31" i="47" s="1"/>
  <c r="BB309" i="32"/>
  <c r="BA309" i="32"/>
  <c r="AZ309" i="32"/>
  <c r="AS31" i="47" s="1"/>
  <c r="AY309" i="32"/>
  <c r="AX309" i="32"/>
  <c r="AW309" i="32"/>
  <c r="AP31" i="47" s="1"/>
  <c r="AV309" i="32"/>
  <c r="AU309" i="32"/>
  <c r="AT309" i="32"/>
  <c r="AS309" i="32"/>
  <c r="AL31" i="47" s="1"/>
  <c r="AR309" i="32"/>
  <c r="AQ309" i="32"/>
  <c r="AJ31" i="47" s="1"/>
  <c r="AP309" i="32"/>
  <c r="AI31" i="47" s="1"/>
  <c r="AO309" i="32"/>
  <c r="AH31" i="47" s="1"/>
  <c r="AN309" i="32"/>
  <c r="AG31" i="47" s="1"/>
  <c r="AM309" i="32"/>
  <c r="AL309" i="32"/>
  <c r="AE31" i="47" s="1"/>
  <c r="AK309" i="32"/>
  <c r="AD31" i="47" s="1"/>
  <c r="AJ309" i="32"/>
  <c r="AC31" i="47" s="1"/>
  <c r="AI309" i="32"/>
  <c r="AH309" i="32"/>
  <c r="AA31" i="47" s="1"/>
  <c r="AG309" i="32"/>
  <c r="AF309" i="32"/>
  <c r="Y31" i="47" s="1"/>
  <c r="AE309" i="32"/>
  <c r="AD309" i="32"/>
  <c r="AC309" i="32"/>
  <c r="AB309" i="32"/>
  <c r="U31" i="47" s="1"/>
  <c r="AA309" i="32"/>
  <c r="Z309" i="32"/>
  <c r="S31" i="47" s="1"/>
  <c r="Y309" i="32"/>
  <c r="R31" i="47" s="1"/>
  <c r="X309" i="32"/>
  <c r="W309" i="32"/>
  <c r="P31" i="47" s="1"/>
  <c r="V309" i="32"/>
  <c r="O31" i="47" s="1"/>
  <c r="U309" i="32"/>
  <c r="N31" i="47" s="1"/>
  <c r="T309" i="32"/>
  <c r="S309" i="32"/>
  <c r="L31" i="47" s="1"/>
  <c r="R309" i="32"/>
  <c r="K31" i="47" s="1"/>
  <c r="Q309" i="32"/>
  <c r="J31" i="47" s="1"/>
  <c r="P309" i="32"/>
  <c r="I31" i="47" s="1"/>
  <c r="O309" i="32"/>
  <c r="N309" i="32"/>
  <c r="G31" i="47" s="1"/>
  <c r="M309" i="32"/>
  <c r="F31" i="47" s="1"/>
  <c r="L309" i="32"/>
  <c r="E31" i="47" s="1"/>
  <c r="K309" i="32"/>
  <c r="D31" i="47" s="1"/>
  <c r="J309" i="32"/>
  <c r="C31" i="47" s="1"/>
  <c r="I309" i="32"/>
  <c r="AQ308" i="32"/>
  <c r="AJ30" i="47" s="1"/>
  <c r="AP308" i="32"/>
  <c r="AI30" i="47" s="1"/>
  <c r="AO308" i="32"/>
  <c r="AH30" i="47" s="1"/>
  <c r="AN308" i="32"/>
  <c r="AG30" i="47" s="1"/>
  <c r="AM308" i="32"/>
  <c r="AL308" i="32"/>
  <c r="AK308" i="32"/>
  <c r="AD30" i="47" s="1"/>
  <c r="AJ308" i="32"/>
  <c r="AC30" i="47" s="1"/>
  <c r="AG308" i="32"/>
  <c r="Z30" i="47" s="1"/>
  <c r="AF308" i="32"/>
  <c r="Y30" i="47" s="1"/>
  <c r="AA308" i="32"/>
  <c r="T30" i="47" s="1"/>
  <c r="Z308" i="32"/>
  <c r="S30" i="47" s="1"/>
  <c r="Y308" i="32"/>
  <c r="R30" i="47" s="1"/>
  <c r="W308" i="32"/>
  <c r="P30" i="47" s="1"/>
  <c r="V308" i="32"/>
  <c r="O30" i="47" s="1"/>
  <c r="U308" i="32"/>
  <c r="N30" i="47" s="1"/>
  <c r="T308" i="32"/>
  <c r="S308" i="32"/>
  <c r="L30" i="47" s="1"/>
  <c r="Q308" i="32"/>
  <c r="J30" i="47" s="1"/>
  <c r="P308" i="32"/>
  <c r="I30" i="47" s="1"/>
  <c r="O308" i="32"/>
  <c r="H30" i="47" s="1"/>
  <c r="N308" i="32"/>
  <c r="G30" i="47" s="1"/>
  <c r="M308" i="32"/>
  <c r="F30" i="47" s="1"/>
  <c r="L308" i="32"/>
  <c r="E30" i="47" s="1"/>
  <c r="K308" i="32"/>
  <c r="D30" i="47" s="1"/>
  <c r="J308" i="32"/>
  <c r="C30" i="47" s="1"/>
  <c r="I308" i="32"/>
  <c r="B30" i="47" s="1"/>
  <c r="AQ307" i="32"/>
  <c r="AP307" i="32"/>
  <c r="AI29" i="47" s="1"/>
  <c r="AO307" i="32"/>
  <c r="AH29" i="47" s="1"/>
  <c r="AN307" i="32"/>
  <c r="AG29" i="47" s="1"/>
  <c r="AM307" i="32"/>
  <c r="AL307" i="32"/>
  <c r="AE29" i="47" s="1"/>
  <c r="AK307" i="32"/>
  <c r="AD29" i="47" s="1"/>
  <c r="AJ307" i="32"/>
  <c r="AC29" i="47" s="1"/>
  <c r="AG307" i="32"/>
  <c r="Z29" i="47" s="1"/>
  <c r="AF307" i="32"/>
  <c r="Y29" i="47" s="1"/>
  <c r="AA307" i="32"/>
  <c r="T29" i="47" s="1"/>
  <c r="Z307" i="32"/>
  <c r="S29" i="47" s="1"/>
  <c r="Y307" i="32"/>
  <c r="R29" i="47" s="1"/>
  <c r="W307" i="32"/>
  <c r="P29" i="47" s="1"/>
  <c r="V307" i="32"/>
  <c r="O29" i="47" s="1"/>
  <c r="U307" i="32"/>
  <c r="N29" i="47" s="1"/>
  <c r="T307" i="32"/>
  <c r="S307" i="32"/>
  <c r="Q307" i="32"/>
  <c r="J29" i="47" s="1"/>
  <c r="P307" i="32"/>
  <c r="I29" i="47" s="1"/>
  <c r="O307" i="32"/>
  <c r="H29" i="47" s="1"/>
  <c r="N307" i="32"/>
  <c r="G29" i="47" s="1"/>
  <c r="M307" i="32"/>
  <c r="F29" i="47" s="1"/>
  <c r="L307" i="32"/>
  <c r="E29" i="47" s="1"/>
  <c r="K307" i="32"/>
  <c r="D29" i="47" s="1"/>
  <c r="J307" i="32"/>
  <c r="C29" i="47" s="1"/>
  <c r="I307" i="32"/>
  <c r="B29" i="47" s="1"/>
  <c r="AQ306" i="32"/>
  <c r="AJ28" i="47" s="1"/>
  <c r="AP306" i="32"/>
  <c r="AI28" i="47" s="1"/>
  <c r="AO306" i="32"/>
  <c r="AH28" i="47" s="1"/>
  <c r="AN306" i="32"/>
  <c r="AG28" i="47" s="1"/>
  <c r="AM306" i="32"/>
  <c r="AL306" i="32"/>
  <c r="AE28" i="47" s="1"/>
  <c r="AK306" i="32"/>
  <c r="AD28" i="47" s="1"/>
  <c r="AJ306" i="32"/>
  <c r="AC28" i="47" s="1"/>
  <c r="AG306" i="32"/>
  <c r="Z28" i="47" s="1"/>
  <c r="AF306" i="32"/>
  <c r="Y28" i="47" s="1"/>
  <c r="AA306" i="32"/>
  <c r="T28" i="47" s="1"/>
  <c r="Z306" i="32"/>
  <c r="S28" i="47" s="1"/>
  <c r="Y306" i="32"/>
  <c r="R28" i="47" s="1"/>
  <c r="W306" i="32"/>
  <c r="P28" i="47" s="1"/>
  <c r="V306" i="32"/>
  <c r="U306" i="32"/>
  <c r="N28" i="47" s="1"/>
  <c r="T306" i="32"/>
  <c r="S306" i="32"/>
  <c r="L28" i="47" s="1"/>
  <c r="Q306" i="32"/>
  <c r="J28" i="47" s="1"/>
  <c r="P306" i="32"/>
  <c r="O306" i="32"/>
  <c r="H28" i="47" s="1"/>
  <c r="N306" i="32"/>
  <c r="G28" i="47" s="1"/>
  <c r="M306" i="32"/>
  <c r="F28" i="47" s="1"/>
  <c r="L306" i="32"/>
  <c r="K306" i="32"/>
  <c r="D28" i="47" s="1"/>
  <c r="J306" i="32"/>
  <c r="C28" i="47" s="1"/>
  <c r="I306" i="32"/>
  <c r="B28" i="47" s="1"/>
  <c r="AQ305" i="32"/>
  <c r="AJ27" i="47" s="1"/>
  <c r="AP305" i="32"/>
  <c r="AI27" i="47" s="1"/>
  <c r="AO305" i="32"/>
  <c r="AN305" i="32"/>
  <c r="AG27" i="47" s="1"/>
  <c r="AM305" i="32"/>
  <c r="AL305" i="32"/>
  <c r="AE27" i="47" s="1"/>
  <c r="AK305" i="32"/>
  <c r="AD27" i="47" s="1"/>
  <c r="AJ305" i="32"/>
  <c r="AC27" i="47" s="1"/>
  <c r="AG305" i="32"/>
  <c r="Z27" i="47" s="1"/>
  <c r="AF305" i="32"/>
  <c r="Y27" i="47" s="1"/>
  <c r="AA305" i="32"/>
  <c r="T27" i="47" s="1"/>
  <c r="Z305" i="32"/>
  <c r="S27" i="47" s="1"/>
  <c r="Y305" i="32"/>
  <c r="R27" i="47" s="1"/>
  <c r="W305" i="32"/>
  <c r="V305" i="32"/>
  <c r="O27" i="47" s="1"/>
  <c r="U305" i="32"/>
  <c r="N27" i="47" s="1"/>
  <c r="T305" i="32"/>
  <c r="S305" i="32"/>
  <c r="L27" i="47" s="1"/>
  <c r="Q305" i="32"/>
  <c r="P305" i="32"/>
  <c r="I27" i="47" s="1"/>
  <c r="O305" i="32"/>
  <c r="H27" i="47" s="1"/>
  <c r="N305" i="32"/>
  <c r="G27" i="47" s="1"/>
  <c r="M305" i="32"/>
  <c r="L305" i="32"/>
  <c r="E27" i="47" s="1"/>
  <c r="K305" i="32"/>
  <c r="J305" i="32"/>
  <c r="C27" i="47" s="1"/>
  <c r="I305" i="32"/>
  <c r="B27" i="47" s="1"/>
  <c r="Q301" i="32"/>
  <c r="J18" i="47" s="1"/>
  <c r="J23" i="47" s="1"/>
  <c r="P301" i="32"/>
  <c r="I18" i="47" s="1"/>
  <c r="I23" i="47" s="1"/>
  <c r="O301" i="32"/>
  <c r="H18" i="47" s="1"/>
  <c r="H23" i="47" s="1"/>
  <c r="N301" i="32"/>
  <c r="G18" i="47" s="1"/>
  <c r="G23" i="47" s="1"/>
  <c r="M301" i="32"/>
  <c r="F18" i="47" s="1"/>
  <c r="F23" i="47" s="1"/>
  <c r="L301" i="32"/>
  <c r="E18" i="47" s="1"/>
  <c r="E23" i="47" s="1"/>
  <c r="K301" i="32"/>
  <c r="D18" i="47" s="1"/>
  <c r="D23" i="47" s="1"/>
  <c r="J301" i="32"/>
  <c r="C18" i="47" s="1"/>
  <c r="C23" i="47" s="1"/>
  <c r="I301" i="32"/>
  <c r="B18" i="47" s="1"/>
  <c r="AQ300" i="32"/>
  <c r="AP300" i="32"/>
  <c r="AO300" i="32"/>
  <c r="AN300" i="32"/>
  <c r="AM300" i="32"/>
  <c r="AL300" i="32"/>
  <c r="AK300" i="32"/>
  <c r="AJ300" i="32"/>
  <c r="AG300" i="32"/>
  <c r="AF300" i="32"/>
  <c r="AA300" i="32"/>
  <c r="Z300" i="32"/>
  <c r="Y300" i="32"/>
  <c r="W300" i="32"/>
  <c r="V300" i="32"/>
  <c r="U300" i="32"/>
  <c r="T300" i="32"/>
  <c r="S300" i="32"/>
  <c r="AS299" i="32"/>
  <c r="BC299" i="32" s="1"/>
  <c r="BC300" i="32" s="1"/>
  <c r="AR299" i="32"/>
  <c r="AH299" i="32"/>
  <c r="AZ299" i="32" s="1"/>
  <c r="AZ300" i="32" s="1"/>
  <c r="AB299" i="32"/>
  <c r="AW299" i="32" s="1"/>
  <c r="AW300" i="32" s="1"/>
  <c r="R299" i="32"/>
  <c r="X299" i="32" s="1"/>
  <c r="X300" i="32" s="1"/>
  <c r="AQ298" i="32"/>
  <c r="AP298" i="32"/>
  <c r="AO298" i="32"/>
  <c r="AN298" i="32"/>
  <c r="AM298" i="32"/>
  <c r="AL298" i="32"/>
  <c r="AK298" i="32"/>
  <c r="AJ298" i="32"/>
  <c r="AG298" i="32"/>
  <c r="AF298" i="32"/>
  <c r="AA298" i="32"/>
  <c r="Z298" i="32"/>
  <c r="Y298" i="32"/>
  <c r="W298" i="32"/>
  <c r="V298" i="32"/>
  <c r="U298" i="32"/>
  <c r="T298" i="32"/>
  <c r="S298" i="32"/>
  <c r="AS297" i="32"/>
  <c r="AR297" i="32"/>
  <c r="BB297" i="32" s="1"/>
  <c r="AH297" i="32"/>
  <c r="AZ297" i="32" s="1"/>
  <c r="AB297" i="32"/>
  <c r="AW297" i="32" s="1"/>
  <c r="R297" i="32"/>
  <c r="X297" i="32" s="1"/>
  <c r="AS296" i="32"/>
  <c r="BC296" i="32" s="1"/>
  <c r="AR296" i="32"/>
  <c r="AH296" i="32"/>
  <c r="AZ296" i="32" s="1"/>
  <c r="AB296" i="32"/>
  <c r="R296" i="32"/>
  <c r="AS295" i="32"/>
  <c r="BC295" i="32" s="1"/>
  <c r="AR295" i="32"/>
  <c r="BB295" i="32" s="1"/>
  <c r="AH295" i="32"/>
  <c r="AZ295" i="32" s="1"/>
  <c r="AB295" i="32"/>
  <c r="AW295" i="32" s="1"/>
  <c r="R295" i="32"/>
  <c r="X295" i="32" s="1"/>
  <c r="AS294" i="32"/>
  <c r="BC294" i="32" s="1"/>
  <c r="AR294" i="32"/>
  <c r="BB294" i="32" s="1"/>
  <c r="AH294" i="32"/>
  <c r="AZ294" i="32" s="1"/>
  <c r="AB294" i="32"/>
  <c r="AW294" i="32" s="1"/>
  <c r="R294" i="32"/>
  <c r="X294" i="32" s="1"/>
  <c r="AS293" i="32"/>
  <c r="BC293" i="32" s="1"/>
  <c r="AR293" i="32"/>
  <c r="AH293" i="32"/>
  <c r="AB293" i="32"/>
  <c r="AW293" i="32" s="1"/>
  <c r="R293" i="32"/>
  <c r="X293" i="32" s="1"/>
  <c r="AS292" i="32"/>
  <c r="AR292" i="32"/>
  <c r="AH292" i="32"/>
  <c r="AZ292" i="32" s="1"/>
  <c r="AB292" i="32"/>
  <c r="R292" i="32"/>
  <c r="X292" i="32" s="1"/>
  <c r="AQ291" i="32"/>
  <c r="AP291" i="32"/>
  <c r="AO291" i="32"/>
  <c r="AN291" i="32"/>
  <c r="AM291" i="32"/>
  <c r="AL291" i="32"/>
  <c r="AK291" i="32"/>
  <c r="AJ291" i="32"/>
  <c r="AG291" i="32"/>
  <c r="AF291" i="32"/>
  <c r="AA291" i="32"/>
  <c r="Z291" i="32"/>
  <c r="Y291" i="32"/>
  <c r="W291" i="32"/>
  <c r="V291" i="32"/>
  <c r="U291" i="32"/>
  <c r="T291" i="32"/>
  <c r="S291" i="32"/>
  <c r="AS290" i="32"/>
  <c r="BC290" i="32" s="1"/>
  <c r="AR290" i="32"/>
  <c r="AH290" i="32"/>
  <c r="AZ290" i="32" s="1"/>
  <c r="AB290" i="32"/>
  <c r="AW290" i="32" s="1"/>
  <c r="R290" i="32"/>
  <c r="X290" i="32" s="1"/>
  <c r="AS289" i="32"/>
  <c r="BC289" i="32" s="1"/>
  <c r="AR289" i="32"/>
  <c r="AH289" i="32"/>
  <c r="AZ289" i="32" s="1"/>
  <c r="AB289" i="32"/>
  <c r="AW289" i="32" s="1"/>
  <c r="R289" i="32"/>
  <c r="X289" i="32" s="1"/>
  <c r="AS288" i="32"/>
  <c r="BC288" i="32" s="1"/>
  <c r="AR288" i="32"/>
  <c r="BB288" i="32" s="1"/>
  <c r="AH288" i="32"/>
  <c r="AZ288" i="32" s="1"/>
  <c r="AB288" i="32"/>
  <c r="AW288" i="32" s="1"/>
  <c r="R288" i="32"/>
  <c r="X288" i="32" s="1"/>
  <c r="AS287" i="32"/>
  <c r="BC287" i="32" s="1"/>
  <c r="AR287" i="32"/>
  <c r="AH287" i="32"/>
  <c r="AZ287" i="32" s="1"/>
  <c r="AB287" i="32"/>
  <c r="AW287" i="32" s="1"/>
  <c r="R287" i="32"/>
  <c r="X287" i="32" s="1"/>
  <c r="AS286" i="32"/>
  <c r="BC286" i="32" s="1"/>
  <c r="AR286" i="32"/>
  <c r="BB286" i="32" s="1"/>
  <c r="AH286" i="32"/>
  <c r="AZ286" i="32" s="1"/>
  <c r="AB286" i="32"/>
  <c r="AW286" i="32" s="1"/>
  <c r="R286" i="32"/>
  <c r="AS285" i="32"/>
  <c r="BC285" i="32" s="1"/>
  <c r="AR285" i="32"/>
  <c r="BB285" i="32" s="1"/>
  <c r="AH285" i="32"/>
  <c r="AB285" i="32"/>
  <c r="AW285" i="32" s="1"/>
  <c r="R285" i="32"/>
  <c r="X285" i="32" s="1"/>
  <c r="AQ284" i="32"/>
  <c r="AP284" i="32"/>
  <c r="AO284" i="32"/>
  <c r="AN284" i="32"/>
  <c r="AM284" i="32"/>
  <c r="AL284" i="32"/>
  <c r="AK284" i="32"/>
  <c r="AJ284" i="32"/>
  <c r="AG284" i="32"/>
  <c r="AF284" i="32"/>
  <c r="AA284" i="32"/>
  <c r="Z284" i="32"/>
  <c r="Y284" i="32"/>
  <c r="W284" i="32"/>
  <c r="V284" i="32"/>
  <c r="U284" i="32"/>
  <c r="T284" i="32"/>
  <c r="S284" i="32"/>
  <c r="AS283" i="32"/>
  <c r="BC283" i="32" s="1"/>
  <c r="AR283" i="32"/>
  <c r="BB283" i="32" s="1"/>
  <c r="AH283" i="32"/>
  <c r="AZ283" i="32" s="1"/>
  <c r="AB283" i="32"/>
  <c r="AW283" i="32" s="1"/>
  <c r="R283" i="32"/>
  <c r="AS282" i="32"/>
  <c r="BC282" i="32" s="1"/>
  <c r="AR282" i="32"/>
  <c r="BB282" i="32" s="1"/>
  <c r="AH282" i="32"/>
  <c r="AZ282" i="32" s="1"/>
  <c r="AB282" i="32"/>
  <c r="AW282" i="32" s="1"/>
  <c r="R282" i="32"/>
  <c r="AS281" i="32"/>
  <c r="BC281" i="32" s="1"/>
  <c r="AR281" i="32"/>
  <c r="AH281" i="32"/>
  <c r="AZ281" i="32" s="1"/>
  <c r="AB281" i="32"/>
  <c r="AW281" i="32" s="1"/>
  <c r="R281" i="32"/>
  <c r="AS280" i="32"/>
  <c r="BC280" i="32" s="1"/>
  <c r="AR280" i="32"/>
  <c r="BB280" i="32" s="1"/>
  <c r="AH280" i="32"/>
  <c r="AZ280" i="32" s="1"/>
  <c r="AB280" i="32"/>
  <c r="AW280" i="32" s="1"/>
  <c r="R280" i="32"/>
  <c r="AS279" i="32"/>
  <c r="BC279" i="32" s="1"/>
  <c r="AR279" i="32"/>
  <c r="BB279" i="32" s="1"/>
  <c r="AH279" i="32"/>
  <c r="AB279" i="32"/>
  <c r="AW279" i="32" s="1"/>
  <c r="R279" i="32"/>
  <c r="X279" i="32" s="1"/>
  <c r="AS278" i="32"/>
  <c r="BC278" i="32" s="1"/>
  <c r="AR278" i="32"/>
  <c r="AH278" i="32"/>
  <c r="AZ278" i="32" s="1"/>
  <c r="AB278" i="32"/>
  <c r="AW278" i="32" s="1"/>
  <c r="R278" i="32"/>
  <c r="X278" i="32" s="1"/>
  <c r="AQ277" i="32"/>
  <c r="AP277" i="32"/>
  <c r="AO277" i="32"/>
  <c r="AN277" i="32"/>
  <c r="AM277" i="32"/>
  <c r="AL277" i="32"/>
  <c r="AK277" i="32"/>
  <c r="AJ277" i="32"/>
  <c r="AG277" i="32"/>
  <c r="AF277" i="32"/>
  <c r="AA277" i="32"/>
  <c r="Z277" i="32"/>
  <c r="Y277" i="32"/>
  <c r="W277" i="32"/>
  <c r="V277" i="32"/>
  <c r="U277" i="32"/>
  <c r="T277" i="32"/>
  <c r="S277" i="32"/>
  <c r="AS276" i="32"/>
  <c r="BC276" i="32" s="1"/>
  <c r="AR276" i="32"/>
  <c r="BB276" i="32" s="1"/>
  <c r="AH276" i="32"/>
  <c r="AZ276" i="32" s="1"/>
  <c r="AB276" i="32"/>
  <c r="AW276" i="32" s="1"/>
  <c r="R276" i="32"/>
  <c r="X276" i="32" s="1"/>
  <c r="AS275" i="32"/>
  <c r="BC275" i="32" s="1"/>
  <c r="AR275" i="32"/>
  <c r="AH275" i="32"/>
  <c r="AZ275" i="32" s="1"/>
  <c r="AB275" i="32"/>
  <c r="AW275" i="32" s="1"/>
  <c r="R275" i="32"/>
  <c r="X275" i="32" s="1"/>
  <c r="AS274" i="32"/>
  <c r="BC274" i="32" s="1"/>
  <c r="AR274" i="32"/>
  <c r="BB274" i="32" s="1"/>
  <c r="AH274" i="32"/>
  <c r="AZ274" i="32" s="1"/>
  <c r="AB274" i="32"/>
  <c r="AW274" i="32" s="1"/>
  <c r="R274" i="32"/>
  <c r="X274" i="32" s="1"/>
  <c r="AS273" i="32"/>
  <c r="BC273" i="32" s="1"/>
  <c r="AR273" i="32"/>
  <c r="BB273" i="32" s="1"/>
  <c r="AH273" i="32"/>
  <c r="AB273" i="32"/>
  <c r="AW273" i="32" s="1"/>
  <c r="R273" i="32"/>
  <c r="AS272" i="32"/>
  <c r="BC272" i="32" s="1"/>
  <c r="AR272" i="32"/>
  <c r="AH272" i="32"/>
  <c r="AZ272" i="32" s="1"/>
  <c r="AB272" i="32"/>
  <c r="R272" i="32"/>
  <c r="X272" i="32" s="1"/>
  <c r="AS271" i="32"/>
  <c r="AR271" i="32"/>
  <c r="BB271" i="32" s="1"/>
  <c r="AH271" i="32"/>
  <c r="AZ271" i="32" s="1"/>
  <c r="AB271" i="32"/>
  <c r="AW271" i="32" s="1"/>
  <c r="R271" i="32"/>
  <c r="AQ270" i="32"/>
  <c r="AP270" i="32"/>
  <c r="AO270" i="32"/>
  <c r="AN270" i="32"/>
  <c r="AM270" i="32"/>
  <c r="AL270" i="32"/>
  <c r="AK270" i="32"/>
  <c r="AJ270" i="32"/>
  <c r="AG270" i="32"/>
  <c r="AF270" i="32"/>
  <c r="AA270" i="32"/>
  <c r="Z270" i="32"/>
  <c r="Y270" i="32"/>
  <c r="W270" i="32"/>
  <c r="V270" i="32"/>
  <c r="U270" i="32"/>
  <c r="T270" i="32"/>
  <c r="S270" i="32"/>
  <c r="AS269" i="32"/>
  <c r="BC269" i="32" s="1"/>
  <c r="AR269" i="32"/>
  <c r="AH269" i="32"/>
  <c r="AZ269" i="32" s="1"/>
  <c r="AB269" i="32"/>
  <c r="AW269" i="32" s="1"/>
  <c r="R269" i="32"/>
  <c r="X269" i="32" s="1"/>
  <c r="AS268" i="32"/>
  <c r="AR268" i="32"/>
  <c r="BB268" i="32" s="1"/>
  <c r="AH268" i="32"/>
  <c r="AZ268" i="32" s="1"/>
  <c r="AB268" i="32"/>
  <c r="AW268" i="32" s="1"/>
  <c r="R268" i="32"/>
  <c r="AS267" i="32"/>
  <c r="BC267" i="32" s="1"/>
  <c r="AR267" i="32"/>
  <c r="AH267" i="32"/>
  <c r="AZ267" i="32" s="1"/>
  <c r="AB267" i="32"/>
  <c r="AW267" i="32" s="1"/>
  <c r="R267" i="32"/>
  <c r="AS266" i="32"/>
  <c r="BC266" i="32" s="1"/>
  <c r="AR266" i="32"/>
  <c r="AH266" i="32"/>
  <c r="AZ266" i="32" s="1"/>
  <c r="AB266" i="32"/>
  <c r="AW266" i="32" s="1"/>
  <c r="R266" i="32"/>
  <c r="X266" i="32" s="1"/>
  <c r="AE266" i="32" s="1"/>
  <c r="AY266" i="32" s="1"/>
  <c r="AS265" i="32"/>
  <c r="AR265" i="32"/>
  <c r="BB265" i="32" s="1"/>
  <c r="AH265" i="32"/>
  <c r="AZ265" i="32" s="1"/>
  <c r="AB265" i="32"/>
  <c r="AW265" i="32" s="1"/>
  <c r="R265" i="32"/>
  <c r="X265" i="32" s="1"/>
  <c r="AS264" i="32"/>
  <c r="AR264" i="32"/>
  <c r="BB264" i="32" s="1"/>
  <c r="AH264" i="32"/>
  <c r="AB264" i="32"/>
  <c r="AW264" i="32" s="1"/>
  <c r="R264" i="32"/>
  <c r="X264" i="32" s="1"/>
  <c r="AQ263" i="32"/>
  <c r="AP263" i="32"/>
  <c r="AO263" i="32"/>
  <c r="AN263" i="32"/>
  <c r="AM263" i="32"/>
  <c r="AL263" i="32"/>
  <c r="AK263" i="32"/>
  <c r="AJ263" i="32"/>
  <c r="AG263" i="32"/>
  <c r="AF263" i="32"/>
  <c r="AA263" i="32"/>
  <c r="Z263" i="32"/>
  <c r="Y263" i="32"/>
  <c r="W263" i="32"/>
  <c r="V263" i="32"/>
  <c r="U263" i="32"/>
  <c r="T263" i="32"/>
  <c r="S263" i="32"/>
  <c r="AS262" i="32"/>
  <c r="AR262" i="32"/>
  <c r="BB262" i="32" s="1"/>
  <c r="AH262" i="32"/>
  <c r="AZ262" i="32" s="1"/>
  <c r="AB262" i="32"/>
  <c r="AW262" i="32" s="1"/>
  <c r="R262" i="32"/>
  <c r="X262" i="32" s="1"/>
  <c r="AS261" i="32"/>
  <c r="BC261" i="32" s="1"/>
  <c r="AR261" i="32"/>
  <c r="AT261" i="32" s="1"/>
  <c r="BA261" i="32" s="1"/>
  <c r="AH261" i="32"/>
  <c r="AZ261" i="32" s="1"/>
  <c r="AB261" i="32"/>
  <c r="AW261" i="32" s="1"/>
  <c r="R261" i="32"/>
  <c r="X261" i="32" s="1"/>
  <c r="AS260" i="32"/>
  <c r="BC260" i="32" s="1"/>
  <c r="AR260" i="32"/>
  <c r="AH260" i="32"/>
  <c r="AZ260" i="32" s="1"/>
  <c r="AB260" i="32"/>
  <c r="AW260" i="32" s="1"/>
  <c r="R260" i="32"/>
  <c r="X260" i="32" s="1"/>
  <c r="AE260" i="32" s="1"/>
  <c r="AY260" i="32" s="1"/>
  <c r="AS259" i="32"/>
  <c r="BC259" i="32" s="1"/>
  <c r="AR259" i="32"/>
  <c r="AH259" i="32"/>
  <c r="AZ259" i="32" s="1"/>
  <c r="AB259" i="32"/>
  <c r="AW259" i="32" s="1"/>
  <c r="R259" i="32"/>
  <c r="X259" i="32" s="1"/>
  <c r="AS258" i="32"/>
  <c r="BC258" i="32" s="1"/>
  <c r="AR258" i="32"/>
  <c r="BB258" i="32" s="1"/>
  <c r="AH258" i="32"/>
  <c r="AB258" i="32"/>
  <c r="AW258" i="32" s="1"/>
  <c r="R258" i="32"/>
  <c r="X258" i="32" s="1"/>
  <c r="AE258" i="32" s="1"/>
  <c r="AY258" i="32" s="1"/>
  <c r="AS257" i="32"/>
  <c r="AR257" i="32"/>
  <c r="AH257" i="32"/>
  <c r="AZ257" i="32" s="1"/>
  <c r="AB257" i="32"/>
  <c r="R257" i="32"/>
  <c r="X257" i="32" s="1"/>
  <c r="AQ256" i="32"/>
  <c r="AP256" i="32"/>
  <c r="AO256" i="32"/>
  <c r="AN256" i="32"/>
  <c r="AM256" i="32"/>
  <c r="AL256" i="32"/>
  <c r="AK256" i="32"/>
  <c r="AJ256" i="32"/>
  <c r="AG256" i="32"/>
  <c r="AF256" i="32"/>
  <c r="AA256" i="32"/>
  <c r="Z256" i="32"/>
  <c r="Y256" i="32"/>
  <c r="W256" i="32"/>
  <c r="V256" i="32"/>
  <c r="U256" i="32"/>
  <c r="T256" i="32"/>
  <c r="S256" i="32"/>
  <c r="AS255" i="32"/>
  <c r="BC255" i="32" s="1"/>
  <c r="AR255" i="32"/>
  <c r="AH255" i="32"/>
  <c r="AZ255" i="32" s="1"/>
  <c r="AB255" i="32"/>
  <c r="AW255" i="32" s="1"/>
  <c r="R255" i="32"/>
  <c r="X255" i="32" s="1"/>
  <c r="AS254" i="32"/>
  <c r="AR254" i="32"/>
  <c r="AH254" i="32"/>
  <c r="AB254" i="32"/>
  <c r="AW254" i="32" s="1"/>
  <c r="R254" i="32"/>
  <c r="AQ253" i="32"/>
  <c r="AP253" i="32"/>
  <c r="AO253" i="32"/>
  <c r="AN253" i="32"/>
  <c r="AM253" i="32"/>
  <c r="AL253" i="32"/>
  <c r="AK253" i="32"/>
  <c r="AJ253" i="32"/>
  <c r="AG253" i="32"/>
  <c r="AF253" i="32"/>
  <c r="AA253" i="32"/>
  <c r="Z253" i="32"/>
  <c r="Y253" i="32"/>
  <c r="W253" i="32"/>
  <c r="V253" i="32"/>
  <c r="U253" i="32"/>
  <c r="T253" i="32"/>
  <c r="S253" i="32"/>
  <c r="AS252" i="32"/>
  <c r="BC252" i="32" s="1"/>
  <c r="AR252" i="32"/>
  <c r="AH252" i="32"/>
  <c r="AZ252" i="32" s="1"/>
  <c r="AB252" i="32"/>
  <c r="AW252" i="32" s="1"/>
  <c r="R252" i="32"/>
  <c r="X252" i="32" s="1"/>
  <c r="AS251" i="32"/>
  <c r="BC251" i="32" s="1"/>
  <c r="AR251" i="32"/>
  <c r="BB251" i="32" s="1"/>
  <c r="AH251" i="32"/>
  <c r="AZ251" i="32" s="1"/>
  <c r="AB251" i="32"/>
  <c r="AW251" i="32" s="1"/>
  <c r="R251" i="32"/>
  <c r="X251" i="32" s="1"/>
  <c r="AS250" i="32"/>
  <c r="BC250" i="32" s="1"/>
  <c r="AR250" i="32"/>
  <c r="BB250" i="32" s="1"/>
  <c r="AH250" i="32"/>
  <c r="AZ250" i="32" s="1"/>
  <c r="AB250" i="32"/>
  <c r="AW250" i="32" s="1"/>
  <c r="R250" i="32"/>
  <c r="AS249" i="32"/>
  <c r="BC249" i="32" s="1"/>
  <c r="AR249" i="32"/>
  <c r="AH249" i="32"/>
  <c r="AZ249" i="32" s="1"/>
  <c r="AB249" i="32"/>
  <c r="AW249" i="32" s="1"/>
  <c r="R249" i="32"/>
  <c r="X249" i="32" s="1"/>
  <c r="AS248" i="32"/>
  <c r="BC248" i="32" s="1"/>
  <c r="AR248" i="32"/>
  <c r="AH248" i="32"/>
  <c r="AZ248" i="32" s="1"/>
  <c r="AB248" i="32"/>
  <c r="AW248" i="32" s="1"/>
  <c r="R248" i="32"/>
  <c r="X248" i="32" s="1"/>
  <c r="AS247" i="32"/>
  <c r="BC247" i="32" s="1"/>
  <c r="AR247" i="32"/>
  <c r="BB247" i="32" s="1"/>
  <c r="AH247" i="32"/>
  <c r="AB247" i="32"/>
  <c r="AW247" i="32" s="1"/>
  <c r="R247" i="32"/>
  <c r="X247" i="32" s="1"/>
  <c r="AQ246" i="32"/>
  <c r="AP246" i="32"/>
  <c r="AO246" i="32"/>
  <c r="AN246" i="32"/>
  <c r="AM246" i="32"/>
  <c r="AL246" i="32"/>
  <c r="AK246" i="32"/>
  <c r="AJ246" i="32"/>
  <c r="AG246" i="32"/>
  <c r="AF246" i="32"/>
  <c r="AA246" i="32"/>
  <c r="Z246" i="32"/>
  <c r="Y246" i="32"/>
  <c r="W246" i="32"/>
  <c r="V246" i="32"/>
  <c r="U246" i="32"/>
  <c r="T246" i="32"/>
  <c r="S246" i="32"/>
  <c r="AS245" i="32"/>
  <c r="BC245" i="32" s="1"/>
  <c r="AR245" i="32"/>
  <c r="BB245" i="32" s="1"/>
  <c r="AH245" i="32"/>
  <c r="AZ245" i="32" s="1"/>
  <c r="AB245" i="32"/>
  <c r="AW245" i="32" s="1"/>
  <c r="R245" i="32"/>
  <c r="X245" i="32" s="1"/>
  <c r="AS244" i="32"/>
  <c r="BC244" i="32" s="1"/>
  <c r="AR244" i="32"/>
  <c r="BB244" i="32" s="1"/>
  <c r="AH244" i="32"/>
  <c r="AZ244" i="32" s="1"/>
  <c r="AB244" i="32"/>
  <c r="AW244" i="32" s="1"/>
  <c r="R244" i="32"/>
  <c r="X244" i="32" s="1"/>
  <c r="AS243" i="32"/>
  <c r="BC243" i="32" s="1"/>
  <c r="AR243" i="32"/>
  <c r="AH243" i="32"/>
  <c r="AB243" i="32"/>
  <c r="AW243" i="32" s="1"/>
  <c r="R243" i="32"/>
  <c r="AQ242" i="32"/>
  <c r="AP242" i="32"/>
  <c r="AO242" i="32"/>
  <c r="AN242" i="32"/>
  <c r="AM242" i="32"/>
  <c r="AL242" i="32"/>
  <c r="AK242" i="32"/>
  <c r="AJ242" i="32"/>
  <c r="AG242" i="32"/>
  <c r="AF242" i="32"/>
  <c r="AA242" i="32"/>
  <c r="Z242" i="32"/>
  <c r="Y242" i="32"/>
  <c r="W242" i="32"/>
  <c r="V242" i="32"/>
  <c r="U242" i="32"/>
  <c r="T242" i="32"/>
  <c r="S242" i="32"/>
  <c r="AZ241" i="32"/>
  <c r="AS241" i="32"/>
  <c r="BC241" i="32" s="1"/>
  <c r="AR241" i="32"/>
  <c r="AH241" i="32"/>
  <c r="AB241" i="32"/>
  <c r="AW241" i="32" s="1"/>
  <c r="R241" i="32"/>
  <c r="AS240" i="32"/>
  <c r="BC240" i="32" s="1"/>
  <c r="AR240" i="32"/>
  <c r="BB240" i="32" s="1"/>
  <c r="AH240" i="32"/>
  <c r="AZ240" i="32" s="1"/>
  <c r="AB240" i="32"/>
  <c r="AW240" i="32" s="1"/>
  <c r="R240" i="32"/>
  <c r="AS239" i="32"/>
  <c r="BC239" i="32" s="1"/>
  <c r="AR239" i="32"/>
  <c r="AH239" i="32"/>
  <c r="AZ239" i="32" s="1"/>
  <c r="AB239" i="32"/>
  <c r="AW239" i="32" s="1"/>
  <c r="R239" i="32"/>
  <c r="X239" i="32" s="1"/>
  <c r="AS238" i="32"/>
  <c r="AR238" i="32"/>
  <c r="BB238" i="32" s="1"/>
  <c r="AH238" i="32"/>
  <c r="AZ238" i="32" s="1"/>
  <c r="AB238" i="32"/>
  <c r="AW238" i="32" s="1"/>
  <c r="R238" i="32"/>
  <c r="AS237" i="32"/>
  <c r="BC237" i="32" s="1"/>
  <c r="AR237" i="32"/>
  <c r="AT237" i="32" s="1"/>
  <c r="BA237" i="32" s="1"/>
  <c r="AH237" i="32"/>
  <c r="AZ237" i="32" s="1"/>
  <c r="AB237" i="32"/>
  <c r="R237" i="32"/>
  <c r="AS236" i="32"/>
  <c r="BC236" i="32" s="1"/>
  <c r="AR236" i="32"/>
  <c r="AH236" i="32"/>
  <c r="AB236" i="32"/>
  <c r="AW236" i="32" s="1"/>
  <c r="R236" i="32"/>
  <c r="X236" i="32" s="1"/>
  <c r="AQ235" i="32"/>
  <c r="AP235" i="32"/>
  <c r="AO235" i="32"/>
  <c r="AN235" i="32"/>
  <c r="AM235" i="32"/>
  <c r="AL235" i="32"/>
  <c r="AK235" i="32"/>
  <c r="AJ235" i="32"/>
  <c r="AG235" i="32"/>
  <c r="AF235" i="32"/>
  <c r="AA235" i="32"/>
  <c r="Z235" i="32"/>
  <c r="Y235" i="32"/>
  <c r="W235" i="32"/>
  <c r="V235" i="32"/>
  <c r="U235" i="32"/>
  <c r="T235" i="32"/>
  <c r="S235" i="32"/>
  <c r="AS234" i="32"/>
  <c r="BC234" i="32" s="1"/>
  <c r="AR234" i="32"/>
  <c r="AH234" i="32"/>
  <c r="AZ234" i="32" s="1"/>
  <c r="AB234" i="32"/>
  <c r="AW234" i="32" s="1"/>
  <c r="R234" i="32"/>
  <c r="X234" i="32" s="1"/>
  <c r="AS233" i="32"/>
  <c r="BC233" i="32" s="1"/>
  <c r="AR233" i="32"/>
  <c r="AH233" i="32"/>
  <c r="AZ233" i="32" s="1"/>
  <c r="AB233" i="32"/>
  <c r="AW233" i="32" s="1"/>
  <c r="R233" i="32"/>
  <c r="X233" i="32" s="1"/>
  <c r="AW232" i="32"/>
  <c r="AS232" i="32"/>
  <c r="AR232" i="32"/>
  <c r="BB232" i="32" s="1"/>
  <c r="AH232" i="32"/>
  <c r="AZ232" i="32" s="1"/>
  <c r="AB232" i="32"/>
  <c r="R232" i="32"/>
  <c r="X232" i="32" s="1"/>
  <c r="AS231" i="32"/>
  <c r="BC231" i="32" s="1"/>
  <c r="AR231" i="32"/>
  <c r="AH231" i="32"/>
  <c r="AZ231" i="32" s="1"/>
  <c r="AB231" i="32"/>
  <c r="R231" i="32"/>
  <c r="X231" i="32" s="1"/>
  <c r="AS230" i="32"/>
  <c r="BC230" i="32" s="1"/>
  <c r="AR230" i="32"/>
  <c r="AH230" i="32"/>
  <c r="AZ230" i="32" s="1"/>
  <c r="AB230" i="32"/>
  <c r="AW230" i="32" s="1"/>
  <c r="R230" i="32"/>
  <c r="X230" i="32" s="1"/>
  <c r="AS229" i="32"/>
  <c r="BC229" i="32" s="1"/>
  <c r="AR229" i="32"/>
  <c r="BB229" i="32" s="1"/>
  <c r="AH229" i="32"/>
  <c r="AZ229" i="32" s="1"/>
  <c r="AB229" i="32"/>
  <c r="AW229" i="32" s="1"/>
  <c r="R229" i="32"/>
  <c r="AQ228" i="32"/>
  <c r="AP228" i="32"/>
  <c r="AO228" i="32"/>
  <c r="AN228" i="32"/>
  <c r="AM228" i="32"/>
  <c r="AL228" i="32"/>
  <c r="AK228" i="32"/>
  <c r="AJ228" i="32"/>
  <c r="AG228" i="32"/>
  <c r="AF228" i="32"/>
  <c r="AA228" i="32"/>
  <c r="Z228" i="32"/>
  <c r="Y228" i="32"/>
  <c r="W228" i="32"/>
  <c r="V228" i="32"/>
  <c r="U228" i="32"/>
  <c r="T228" i="32"/>
  <c r="S228" i="32"/>
  <c r="AS227" i="32"/>
  <c r="BC227" i="32" s="1"/>
  <c r="AR227" i="32"/>
  <c r="BB227" i="32" s="1"/>
  <c r="AH227" i="32"/>
  <c r="AZ227" i="32" s="1"/>
  <c r="AB227" i="32"/>
  <c r="AW227" i="32" s="1"/>
  <c r="R227" i="32"/>
  <c r="AS226" i="32"/>
  <c r="BC226" i="32" s="1"/>
  <c r="AR226" i="32"/>
  <c r="AH226" i="32"/>
  <c r="AZ226" i="32" s="1"/>
  <c r="AB226" i="32"/>
  <c r="AW226" i="32" s="1"/>
  <c r="R226" i="32"/>
  <c r="X226" i="32" s="1"/>
  <c r="AS225" i="32"/>
  <c r="BC225" i="32" s="1"/>
  <c r="AR225" i="32"/>
  <c r="AH225" i="32"/>
  <c r="AZ225" i="32" s="1"/>
  <c r="AB225" i="32"/>
  <c r="AW225" i="32" s="1"/>
  <c r="R225" i="32"/>
  <c r="X225" i="32" s="1"/>
  <c r="AQ224" i="32"/>
  <c r="AP224" i="32"/>
  <c r="AO224" i="32"/>
  <c r="AN224" i="32"/>
  <c r="AM224" i="32"/>
  <c r="AL224" i="32"/>
  <c r="AK224" i="32"/>
  <c r="AJ224" i="32"/>
  <c r="AG224" i="32"/>
  <c r="AF224" i="32"/>
  <c r="AA224" i="32"/>
  <c r="Z224" i="32"/>
  <c r="Y224" i="32"/>
  <c r="W224" i="32"/>
  <c r="V224" i="32"/>
  <c r="U224" i="32"/>
  <c r="T224" i="32"/>
  <c r="S224" i="32"/>
  <c r="AS223" i="32"/>
  <c r="BC223" i="32" s="1"/>
  <c r="BC224" i="32" s="1"/>
  <c r="AR223" i="32"/>
  <c r="AH223" i="32"/>
  <c r="AB223" i="32"/>
  <c r="AW223" i="32" s="1"/>
  <c r="AW224" i="32" s="1"/>
  <c r="R223" i="32"/>
  <c r="X223" i="32" s="1"/>
  <c r="X224" i="32" s="1"/>
  <c r="AQ222" i="32"/>
  <c r="AP222" i="32"/>
  <c r="AO222" i="32"/>
  <c r="AN222" i="32"/>
  <c r="AM222" i="32"/>
  <c r="AL222" i="32"/>
  <c r="AK222" i="32"/>
  <c r="AJ222" i="32"/>
  <c r="AG222" i="32"/>
  <c r="AF222" i="32"/>
  <c r="AA222" i="32"/>
  <c r="Z222" i="32"/>
  <c r="Y222" i="32"/>
  <c r="W222" i="32"/>
  <c r="V222" i="32"/>
  <c r="U222" i="32"/>
  <c r="T222" i="32"/>
  <c r="S222" i="32"/>
  <c r="AS221" i="32"/>
  <c r="BC221" i="32" s="1"/>
  <c r="AR221" i="32"/>
  <c r="AH221" i="32"/>
  <c r="AZ221" i="32" s="1"/>
  <c r="AB221" i="32"/>
  <c r="AW221" i="32" s="1"/>
  <c r="R221" i="32"/>
  <c r="X221" i="32" s="1"/>
  <c r="AS220" i="32"/>
  <c r="BC220" i="32" s="1"/>
  <c r="AR220" i="32"/>
  <c r="AH220" i="32"/>
  <c r="AZ220" i="32" s="1"/>
  <c r="AB220" i="32"/>
  <c r="AW220" i="32" s="1"/>
  <c r="R220" i="32"/>
  <c r="X220" i="32" s="1"/>
  <c r="AS219" i="32"/>
  <c r="BC219" i="32" s="1"/>
  <c r="AR219" i="32"/>
  <c r="AH219" i="32"/>
  <c r="AZ219" i="32" s="1"/>
  <c r="AB219" i="32"/>
  <c r="AW219" i="32" s="1"/>
  <c r="R219" i="32"/>
  <c r="X219" i="32" s="1"/>
  <c r="AE219" i="32" s="1"/>
  <c r="AY219" i="32" s="1"/>
  <c r="AS218" i="32"/>
  <c r="BC218" i="32" s="1"/>
  <c r="AR218" i="32"/>
  <c r="AH218" i="32"/>
  <c r="AZ218" i="32" s="1"/>
  <c r="AB218" i="32"/>
  <c r="AW218" i="32" s="1"/>
  <c r="R218" i="32"/>
  <c r="X218" i="32" s="1"/>
  <c r="AS217" i="32"/>
  <c r="BC217" i="32" s="1"/>
  <c r="AR217" i="32"/>
  <c r="BB217" i="32" s="1"/>
  <c r="AH217" i="32"/>
  <c r="AZ217" i="32" s="1"/>
  <c r="AB217" i="32"/>
  <c r="AW217" i="32" s="1"/>
  <c r="R217" i="32"/>
  <c r="X217" i="32" s="1"/>
  <c r="AS216" i="32"/>
  <c r="AR216" i="32"/>
  <c r="AH216" i="32"/>
  <c r="AB216" i="32"/>
  <c r="R216" i="32"/>
  <c r="AQ215" i="32"/>
  <c r="AP215" i="32"/>
  <c r="AO215" i="32"/>
  <c r="AN215" i="32"/>
  <c r="AM215" i="32"/>
  <c r="AL215" i="32"/>
  <c r="AK215" i="32"/>
  <c r="AJ215" i="32"/>
  <c r="AG215" i="32"/>
  <c r="AF215" i="32"/>
  <c r="AA215" i="32"/>
  <c r="Z215" i="32"/>
  <c r="Y215" i="32"/>
  <c r="W215" i="32"/>
  <c r="V215" i="32"/>
  <c r="U215" i="32"/>
  <c r="T215" i="32"/>
  <c r="S215" i="32"/>
  <c r="AS214" i="32"/>
  <c r="BC214" i="32" s="1"/>
  <c r="AR214" i="32"/>
  <c r="BB214" i="32" s="1"/>
  <c r="AH214" i="32"/>
  <c r="AZ214" i="32" s="1"/>
  <c r="AB214" i="32"/>
  <c r="AW214" i="32" s="1"/>
  <c r="R214" i="32"/>
  <c r="X214" i="32" s="1"/>
  <c r="AS213" i="32"/>
  <c r="BC213" i="32" s="1"/>
  <c r="AR213" i="32"/>
  <c r="AH213" i="32"/>
  <c r="AZ213" i="32" s="1"/>
  <c r="AB213" i="32"/>
  <c r="AW213" i="32" s="1"/>
  <c r="R213" i="32"/>
  <c r="AS212" i="32"/>
  <c r="BC212" i="32" s="1"/>
  <c r="AR212" i="32"/>
  <c r="AH212" i="32"/>
  <c r="AZ212" i="32" s="1"/>
  <c r="AB212" i="32"/>
  <c r="AW212" i="32" s="1"/>
  <c r="R212" i="32"/>
  <c r="X212" i="32" s="1"/>
  <c r="AS211" i="32"/>
  <c r="BC211" i="32" s="1"/>
  <c r="AR211" i="32"/>
  <c r="AH211" i="32"/>
  <c r="AZ211" i="32" s="1"/>
  <c r="AB211" i="32"/>
  <c r="AW211" i="32" s="1"/>
  <c r="R211" i="32"/>
  <c r="X211" i="32" s="1"/>
  <c r="AS210" i="32"/>
  <c r="BC210" i="32" s="1"/>
  <c r="AR210" i="32"/>
  <c r="BB210" i="32" s="1"/>
  <c r="AH210" i="32"/>
  <c r="AZ210" i="32" s="1"/>
  <c r="AB210" i="32"/>
  <c r="AW210" i="32" s="1"/>
  <c r="R210" i="32"/>
  <c r="X210" i="32" s="1"/>
  <c r="AS209" i="32"/>
  <c r="BC209" i="32" s="1"/>
  <c r="AR209" i="32"/>
  <c r="BB209" i="32" s="1"/>
  <c r="AH209" i="32"/>
  <c r="AZ209" i="32" s="1"/>
  <c r="AB209" i="32"/>
  <c r="AW209" i="32" s="1"/>
  <c r="R209" i="32"/>
  <c r="X209" i="32" s="1"/>
  <c r="AS208" i="32"/>
  <c r="AR208" i="32"/>
  <c r="BB208" i="32" s="1"/>
  <c r="AH208" i="32"/>
  <c r="AZ208" i="32" s="1"/>
  <c r="AB208" i="32"/>
  <c r="AW208" i="32" s="1"/>
  <c r="R208" i="32"/>
  <c r="X208" i="32" s="1"/>
  <c r="AS207" i="32"/>
  <c r="BC207" i="32" s="1"/>
  <c r="AR207" i="32"/>
  <c r="AH207" i="32"/>
  <c r="AZ207" i="32" s="1"/>
  <c r="AB207" i="32"/>
  <c r="AW207" i="32" s="1"/>
  <c r="R207" i="32"/>
  <c r="X207" i="32" s="1"/>
  <c r="AQ206" i="32"/>
  <c r="AP206" i="32"/>
  <c r="AO206" i="32"/>
  <c r="AN206" i="32"/>
  <c r="AM206" i="32"/>
  <c r="AL206" i="32"/>
  <c r="AK206" i="32"/>
  <c r="AJ206" i="32"/>
  <c r="AG206" i="32"/>
  <c r="AF206" i="32"/>
  <c r="AA206" i="32"/>
  <c r="Z206" i="32"/>
  <c r="Y206" i="32"/>
  <c r="W206" i="32"/>
  <c r="V206" i="32"/>
  <c r="U206" i="32"/>
  <c r="T206" i="32"/>
  <c r="S206" i="32"/>
  <c r="AS205" i="32"/>
  <c r="BC205" i="32" s="1"/>
  <c r="AR205" i="32"/>
  <c r="AT205" i="32" s="1"/>
  <c r="BA205" i="32" s="1"/>
  <c r="AH205" i="32"/>
  <c r="AZ205" i="32" s="1"/>
  <c r="AB205" i="32"/>
  <c r="AW205" i="32" s="1"/>
  <c r="R205" i="32"/>
  <c r="AS204" i="32"/>
  <c r="BC204" i="32" s="1"/>
  <c r="AR204" i="32"/>
  <c r="BB204" i="32" s="1"/>
  <c r="AH204" i="32"/>
  <c r="AZ204" i="32" s="1"/>
  <c r="AB204" i="32"/>
  <c r="AW204" i="32" s="1"/>
  <c r="R204" i="32"/>
  <c r="X204" i="32" s="1"/>
  <c r="AS203" i="32"/>
  <c r="BC203" i="32" s="1"/>
  <c r="AR203" i="32"/>
  <c r="AH203" i="32"/>
  <c r="AZ203" i="32" s="1"/>
  <c r="AB203" i="32"/>
  <c r="AW203" i="32" s="1"/>
  <c r="R203" i="32"/>
  <c r="X203" i="32" s="1"/>
  <c r="AD203" i="32" s="1"/>
  <c r="AX203" i="32" s="1"/>
  <c r="AS202" i="32"/>
  <c r="AR202" i="32"/>
  <c r="BB202" i="32" s="1"/>
  <c r="AH202" i="32"/>
  <c r="AZ202" i="32" s="1"/>
  <c r="AB202" i="32"/>
  <c r="AW202" i="32" s="1"/>
  <c r="R202" i="32"/>
  <c r="AS201" i="32"/>
  <c r="BC201" i="32" s="1"/>
  <c r="AR201" i="32"/>
  <c r="BB201" i="32" s="1"/>
  <c r="AH201" i="32"/>
  <c r="AZ201" i="32" s="1"/>
  <c r="AB201" i="32"/>
  <c r="AW201" i="32" s="1"/>
  <c r="R201" i="32"/>
  <c r="AQ200" i="32"/>
  <c r="AP200" i="32"/>
  <c r="AO200" i="32"/>
  <c r="AN200" i="32"/>
  <c r="AM200" i="32"/>
  <c r="AL200" i="32"/>
  <c r="AK200" i="32"/>
  <c r="AJ200" i="32"/>
  <c r="AG200" i="32"/>
  <c r="AF200" i="32"/>
  <c r="AA200" i="32"/>
  <c r="Z200" i="32"/>
  <c r="Y200" i="32"/>
  <c r="W200" i="32"/>
  <c r="V200" i="32"/>
  <c r="U200" i="32"/>
  <c r="T200" i="32"/>
  <c r="S200" i="32"/>
  <c r="AS199" i="32"/>
  <c r="BC199" i="32" s="1"/>
  <c r="AR199" i="32"/>
  <c r="AH199" i="32"/>
  <c r="AZ199" i="32" s="1"/>
  <c r="AB199" i="32"/>
  <c r="AW199" i="32" s="1"/>
  <c r="R199" i="32"/>
  <c r="AS198" i="32"/>
  <c r="BC198" i="32" s="1"/>
  <c r="AR198" i="32"/>
  <c r="AH198" i="32"/>
  <c r="AZ198" i="32" s="1"/>
  <c r="AB198" i="32"/>
  <c r="AW198" i="32" s="1"/>
  <c r="R198" i="32"/>
  <c r="AS197" i="32"/>
  <c r="BC197" i="32" s="1"/>
  <c r="AR197" i="32"/>
  <c r="BB197" i="32" s="1"/>
  <c r="AH197" i="32"/>
  <c r="AB197" i="32"/>
  <c r="R197" i="32"/>
  <c r="X197" i="32" s="1"/>
  <c r="AQ196" i="32"/>
  <c r="AP196" i="32"/>
  <c r="AO196" i="32"/>
  <c r="AN196" i="32"/>
  <c r="AM196" i="32"/>
  <c r="AL196" i="32"/>
  <c r="AK196" i="32"/>
  <c r="AJ196" i="32"/>
  <c r="AG196" i="32"/>
  <c r="AF196" i="32"/>
  <c r="AA196" i="32"/>
  <c r="Z196" i="32"/>
  <c r="Y196" i="32"/>
  <c r="W196" i="32"/>
  <c r="V196" i="32"/>
  <c r="U196" i="32"/>
  <c r="T196" i="32"/>
  <c r="S196" i="32"/>
  <c r="AS195" i="32"/>
  <c r="BC195" i="32" s="1"/>
  <c r="AR195" i="32"/>
  <c r="BB195" i="32" s="1"/>
  <c r="AH195" i="32"/>
  <c r="AZ195" i="32" s="1"/>
  <c r="AB195" i="32"/>
  <c r="AW195" i="32" s="1"/>
  <c r="R195" i="32"/>
  <c r="AS194" i="32"/>
  <c r="BC194" i="32" s="1"/>
  <c r="AR194" i="32"/>
  <c r="BB194" i="32" s="1"/>
  <c r="AH194" i="32"/>
  <c r="AZ194" i="32" s="1"/>
  <c r="AB194" i="32"/>
  <c r="AW194" i="32" s="1"/>
  <c r="R194" i="32"/>
  <c r="AS193" i="32"/>
  <c r="BC193" i="32" s="1"/>
  <c r="AR193" i="32"/>
  <c r="AH193" i="32"/>
  <c r="AZ193" i="32" s="1"/>
  <c r="AB193" i="32"/>
  <c r="AW193" i="32" s="1"/>
  <c r="R193" i="32"/>
  <c r="AS192" i="32"/>
  <c r="BC192" i="32" s="1"/>
  <c r="AR192" i="32"/>
  <c r="BB192" i="32" s="1"/>
  <c r="AH192" i="32"/>
  <c r="AZ192" i="32" s="1"/>
  <c r="AB192" i="32"/>
  <c r="AW192" i="32" s="1"/>
  <c r="R192" i="32"/>
  <c r="X192" i="32" s="1"/>
  <c r="AS191" i="32"/>
  <c r="BC191" i="32" s="1"/>
  <c r="AR191" i="32"/>
  <c r="AH191" i="32"/>
  <c r="AZ191" i="32" s="1"/>
  <c r="AB191" i="32"/>
  <c r="AW191" i="32" s="1"/>
  <c r="R191" i="32"/>
  <c r="X191" i="32" s="1"/>
  <c r="AS190" i="32"/>
  <c r="AR190" i="32"/>
  <c r="BB190" i="32" s="1"/>
  <c r="AH190" i="32"/>
  <c r="AZ190" i="32" s="1"/>
  <c r="AB190" i="32"/>
  <c r="R190" i="32"/>
  <c r="AQ189" i="32"/>
  <c r="AP189" i="32"/>
  <c r="AO189" i="32"/>
  <c r="AN189" i="32"/>
  <c r="AM189" i="32"/>
  <c r="AL189" i="32"/>
  <c r="AK189" i="32"/>
  <c r="AJ189" i="32"/>
  <c r="AG189" i="32"/>
  <c r="AF189" i="32"/>
  <c r="AA189" i="32"/>
  <c r="Z189" i="32"/>
  <c r="Y189" i="32"/>
  <c r="W189" i="32"/>
  <c r="V189" i="32"/>
  <c r="U189" i="32"/>
  <c r="T189" i="32"/>
  <c r="S189" i="32"/>
  <c r="AS188" i="32"/>
  <c r="BC188" i="32" s="1"/>
  <c r="AR188" i="32"/>
  <c r="BB188" i="32" s="1"/>
  <c r="AH188" i="32"/>
  <c r="AZ188" i="32" s="1"/>
  <c r="AB188" i="32"/>
  <c r="AW188" i="32" s="1"/>
  <c r="R188" i="32"/>
  <c r="X188" i="32" s="1"/>
  <c r="AS187" i="32"/>
  <c r="BC187" i="32" s="1"/>
  <c r="AR187" i="32"/>
  <c r="AH187" i="32"/>
  <c r="AZ187" i="32" s="1"/>
  <c r="AB187" i="32"/>
  <c r="AW187" i="32" s="1"/>
  <c r="R187" i="32"/>
  <c r="X187" i="32" s="1"/>
  <c r="AS186" i="32"/>
  <c r="BC186" i="32" s="1"/>
  <c r="AR186" i="32"/>
  <c r="BB186" i="32" s="1"/>
  <c r="AH186" i="32"/>
  <c r="AZ186" i="32" s="1"/>
  <c r="AB186" i="32"/>
  <c r="AW186" i="32" s="1"/>
  <c r="R186" i="32"/>
  <c r="X186" i="32" s="1"/>
  <c r="X189" i="32" s="1"/>
  <c r="AQ185" i="32"/>
  <c r="AP185" i="32"/>
  <c r="AO185" i="32"/>
  <c r="AN185" i="32"/>
  <c r="AM185" i="32"/>
  <c r="AL185" i="32"/>
  <c r="AK185" i="32"/>
  <c r="AJ185" i="32"/>
  <c r="AG185" i="32"/>
  <c r="AF185" i="32"/>
  <c r="AA185" i="32"/>
  <c r="Z185" i="32"/>
  <c r="Y185" i="32"/>
  <c r="W185" i="32"/>
  <c r="V185" i="32"/>
  <c r="U185" i="32"/>
  <c r="T185" i="32"/>
  <c r="S185" i="32"/>
  <c r="AS184" i="32"/>
  <c r="BC184" i="32" s="1"/>
  <c r="AR184" i="32"/>
  <c r="AH184" i="32"/>
  <c r="AZ184" i="32" s="1"/>
  <c r="AB184" i="32"/>
  <c r="AW184" i="32" s="1"/>
  <c r="R184" i="32"/>
  <c r="AS183" i="32"/>
  <c r="AR183" i="32"/>
  <c r="BB183" i="32" s="1"/>
  <c r="AH183" i="32"/>
  <c r="AZ183" i="32" s="1"/>
  <c r="AB183" i="32"/>
  <c r="AW183" i="32" s="1"/>
  <c r="R183" i="32"/>
  <c r="X183" i="32" s="1"/>
  <c r="AS182" i="32"/>
  <c r="BC182" i="32" s="1"/>
  <c r="AR182" i="32"/>
  <c r="AH182" i="32"/>
  <c r="AZ182" i="32" s="1"/>
  <c r="AB182" i="32"/>
  <c r="AW182" i="32" s="1"/>
  <c r="R182" i="32"/>
  <c r="X182" i="32" s="1"/>
  <c r="AS181" i="32"/>
  <c r="AR181" i="32"/>
  <c r="AH181" i="32"/>
  <c r="AZ181" i="32" s="1"/>
  <c r="AB181" i="32"/>
  <c r="AW181" i="32" s="1"/>
  <c r="R181" i="32"/>
  <c r="X181" i="32" s="1"/>
  <c r="AS180" i="32"/>
  <c r="BC180" i="32" s="1"/>
  <c r="AR180" i="32"/>
  <c r="BB180" i="32" s="1"/>
  <c r="AH180" i="32"/>
  <c r="AB180" i="32"/>
  <c r="AW180" i="32" s="1"/>
  <c r="R180" i="32"/>
  <c r="X180" i="32" s="1"/>
  <c r="AQ179" i="32"/>
  <c r="AP179" i="32"/>
  <c r="AO179" i="32"/>
  <c r="AN179" i="32"/>
  <c r="AM179" i="32"/>
  <c r="AL179" i="32"/>
  <c r="AK179" i="32"/>
  <c r="AJ179" i="32"/>
  <c r="AG179" i="32"/>
  <c r="AF179" i="32"/>
  <c r="AA179" i="32"/>
  <c r="Z179" i="32"/>
  <c r="Y179" i="32"/>
  <c r="W179" i="32"/>
  <c r="V179" i="32"/>
  <c r="U179" i="32"/>
  <c r="T179" i="32"/>
  <c r="S179" i="32"/>
  <c r="AS178" i="32"/>
  <c r="AR178" i="32"/>
  <c r="BB178" i="32" s="1"/>
  <c r="AH178" i="32"/>
  <c r="AZ178" i="32" s="1"/>
  <c r="AB178" i="32"/>
  <c r="AW178" i="32" s="1"/>
  <c r="R178" i="32"/>
  <c r="X178" i="32" s="1"/>
  <c r="AS177" i="32"/>
  <c r="BC177" i="32" s="1"/>
  <c r="AR177" i="32"/>
  <c r="BB177" i="32" s="1"/>
  <c r="AH177" i="32"/>
  <c r="AZ177" i="32" s="1"/>
  <c r="AB177" i="32"/>
  <c r="AW177" i="32" s="1"/>
  <c r="R177" i="32"/>
  <c r="X177" i="32" s="1"/>
  <c r="AS176" i="32"/>
  <c r="BC176" i="32" s="1"/>
  <c r="AR176" i="32"/>
  <c r="AH176" i="32"/>
  <c r="AZ176" i="32" s="1"/>
  <c r="AB176" i="32"/>
  <c r="AW176" i="32" s="1"/>
  <c r="R176" i="32"/>
  <c r="X176" i="32" s="1"/>
  <c r="AS175" i="32"/>
  <c r="BC175" i="32" s="1"/>
  <c r="AR175" i="32"/>
  <c r="AH175" i="32"/>
  <c r="AZ175" i="32" s="1"/>
  <c r="AB175" i="32"/>
  <c r="AW175" i="32" s="1"/>
  <c r="R175" i="32"/>
  <c r="X175" i="32" s="1"/>
  <c r="AS174" i="32"/>
  <c r="BC174" i="32" s="1"/>
  <c r="AR174" i="32"/>
  <c r="BB174" i="32" s="1"/>
  <c r="AH174" i="32"/>
  <c r="AZ174" i="32" s="1"/>
  <c r="AB174" i="32"/>
  <c r="AW174" i="32" s="1"/>
  <c r="R174" i="32"/>
  <c r="AS173" i="32"/>
  <c r="BC173" i="32" s="1"/>
  <c r="AR173" i="32"/>
  <c r="BB173" i="32" s="1"/>
  <c r="AH173" i="32"/>
  <c r="AZ173" i="32" s="1"/>
  <c r="AB173" i="32"/>
  <c r="AW173" i="32" s="1"/>
  <c r="R173" i="32"/>
  <c r="X173" i="32" s="1"/>
  <c r="AQ172" i="32"/>
  <c r="AP172" i="32"/>
  <c r="AO172" i="32"/>
  <c r="AN172" i="32"/>
  <c r="AM172" i="32"/>
  <c r="AL172" i="32"/>
  <c r="AK172" i="32"/>
  <c r="AJ172" i="32"/>
  <c r="AG172" i="32"/>
  <c r="AF172" i="32"/>
  <c r="AA172" i="32"/>
  <c r="Z172" i="32"/>
  <c r="Y172" i="32"/>
  <c r="W172" i="32"/>
  <c r="V172" i="32"/>
  <c r="U172" i="32"/>
  <c r="T172" i="32"/>
  <c r="S172" i="32"/>
  <c r="AS171" i="32"/>
  <c r="BC171" i="32" s="1"/>
  <c r="AR171" i="32"/>
  <c r="AH171" i="32"/>
  <c r="AZ171" i="32" s="1"/>
  <c r="AB171" i="32"/>
  <c r="AW171" i="32" s="1"/>
  <c r="R171" i="32"/>
  <c r="AS170" i="32"/>
  <c r="BC170" i="32" s="1"/>
  <c r="AR170" i="32"/>
  <c r="BB170" i="32" s="1"/>
  <c r="AH170" i="32"/>
  <c r="AZ170" i="32" s="1"/>
  <c r="AB170" i="32"/>
  <c r="AW170" i="32" s="1"/>
  <c r="R170" i="32"/>
  <c r="X170" i="32" s="1"/>
  <c r="AS169" i="32"/>
  <c r="BC169" i="32" s="1"/>
  <c r="AR169" i="32"/>
  <c r="AH169" i="32"/>
  <c r="AB169" i="32"/>
  <c r="AW169" i="32" s="1"/>
  <c r="R169" i="32"/>
  <c r="AS168" i="32"/>
  <c r="BC168" i="32" s="1"/>
  <c r="AR168" i="32"/>
  <c r="AH168" i="32"/>
  <c r="AZ168" i="32" s="1"/>
  <c r="AB168" i="32"/>
  <c r="AW168" i="32" s="1"/>
  <c r="R168" i="32"/>
  <c r="X168" i="32" s="1"/>
  <c r="AS167" i="32"/>
  <c r="AR167" i="32"/>
  <c r="BB167" i="32" s="1"/>
  <c r="AH167" i="32"/>
  <c r="AZ167" i="32" s="1"/>
  <c r="AB167" i="32"/>
  <c r="AW167" i="32" s="1"/>
  <c r="R167" i="32"/>
  <c r="X167" i="32" s="1"/>
  <c r="AS166" i="32"/>
  <c r="BC166" i="32" s="1"/>
  <c r="AR166" i="32"/>
  <c r="AH166" i="32"/>
  <c r="AZ166" i="32" s="1"/>
  <c r="AB166" i="32"/>
  <c r="AW166" i="32" s="1"/>
  <c r="R166" i="32"/>
  <c r="X166" i="32" s="1"/>
  <c r="AQ165" i="32"/>
  <c r="AP165" i="32"/>
  <c r="AO165" i="32"/>
  <c r="AN165" i="32"/>
  <c r="AM165" i="32"/>
  <c r="AL165" i="32"/>
  <c r="AK165" i="32"/>
  <c r="AJ165" i="32"/>
  <c r="AG165" i="32"/>
  <c r="AF165" i="32"/>
  <c r="AA165" i="32"/>
  <c r="Z165" i="32"/>
  <c r="Y165" i="32"/>
  <c r="W165" i="32"/>
  <c r="V165" i="32"/>
  <c r="U165" i="32"/>
  <c r="T165" i="32"/>
  <c r="S165" i="32"/>
  <c r="AS164" i="32"/>
  <c r="BC164" i="32" s="1"/>
  <c r="AR164" i="32"/>
  <c r="AH164" i="32"/>
  <c r="AZ164" i="32" s="1"/>
  <c r="AB164" i="32"/>
  <c r="AW164" i="32" s="1"/>
  <c r="R164" i="32"/>
  <c r="X164" i="32" s="1"/>
  <c r="AS163" i="32"/>
  <c r="BC163" i="32" s="1"/>
  <c r="AR163" i="32"/>
  <c r="AH163" i="32"/>
  <c r="AZ163" i="32" s="1"/>
  <c r="AB163" i="32"/>
  <c r="AW163" i="32" s="1"/>
  <c r="R163" i="32"/>
  <c r="AS162" i="32"/>
  <c r="BC162" i="32" s="1"/>
  <c r="AR162" i="32"/>
  <c r="AH162" i="32"/>
  <c r="AZ162" i="32" s="1"/>
  <c r="AB162" i="32"/>
  <c r="AW162" i="32" s="1"/>
  <c r="R162" i="32"/>
  <c r="X162" i="32" s="1"/>
  <c r="AS161" i="32"/>
  <c r="AR161" i="32"/>
  <c r="BB161" i="32" s="1"/>
  <c r="AH161" i="32"/>
  <c r="AB161" i="32"/>
  <c r="AW161" i="32" s="1"/>
  <c r="R161" i="32"/>
  <c r="AS160" i="32"/>
  <c r="BC160" i="32" s="1"/>
  <c r="AR160" i="32"/>
  <c r="BB160" i="32" s="1"/>
  <c r="AH160" i="32"/>
  <c r="AZ160" i="32" s="1"/>
  <c r="AB160" i="32"/>
  <c r="AW160" i="32" s="1"/>
  <c r="R160" i="32"/>
  <c r="X160" i="32" s="1"/>
  <c r="AS159" i="32"/>
  <c r="BC159" i="32" s="1"/>
  <c r="AR159" i="32"/>
  <c r="AH159" i="32"/>
  <c r="AZ159" i="32" s="1"/>
  <c r="AB159" i="32"/>
  <c r="AW159" i="32" s="1"/>
  <c r="R159" i="32"/>
  <c r="X159" i="32" s="1"/>
  <c r="AQ158" i="32"/>
  <c r="AP158" i="32"/>
  <c r="AO158" i="32"/>
  <c r="AN158" i="32"/>
  <c r="AM158" i="32"/>
  <c r="AL158" i="32"/>
  <c r="AK158" i="32"/>
  <c r="AJ158" i="32"/>
  <c r="AG158" i="32"/>
  <c r="AF158" i="32"/>
  <c r="AA158" i="32"/>
  <c r="Z158" i="32"/>
  <c r="Y158" i="32"/>
  <c r="W158" i="32"/>
  <c r="V158" i="32"/>
  <c r="U158" i="32"/>
  <c r="T158" i="32"/>
  <c r="S158" i="32"/>
  <c r="AS157" i="32"/>
  <c r="BC157" i="32" s="1"/>
  <c r="AR157" i="32"/>
  <c r="AH157" i="32"/>
  <c r="AZ157" i="32" s="1"/>
  <c r="AB157" i="32"/>
  <c r="AW157" i="32" s="1"/>
  <c r="R157" i="32"/>
  <c r="X157" i="32" s="1"/>
  <c r="AS156" i="32"/>
  <c r="BC156" i="32" s="1"/>
  <c r="AR156" i="32"/>
  <c r="BB156" i="32" s="1"/>
  <c r="AH156" i="32"/>
  <c r="AZ156" i="32" s="1"/>
  <c r="AB156" i="32"/>
  <c r="AW156" i="32" s="1"/>
  <c r="R156" i="32"/>
  <c r="AS155" i="32"/>
  <c r="BC155" i="32" s="1"/>
  <c r="AR155" i="32"/>
  <c r="BB155" i="32" s="1"/>
  <c r="AH155" i="32"/>
  <c r="AZ155" i="32" s="1"/>
  <c r="AB155" i="32"/>
  <c r="R155" i="32"/>
  <c r="AS154" i="32"/>
  <c r="BC154" i="32" s="1"/>
  <c r="AR154" i="32"/>
  <c r="BB154" i="32" s="1"/>
  <c r="AH154" i="32"/>
  <c r="AZ154" i="32" s="1"/>
  <c r="AB154" i="32"/>
  <c r="AW154" i="32" s="1"/>
  <c r="R154" i="32"/>
  <c r="X154" i="32" s="1"/>
  <c r="AS153" i="32"/>
  <c r="BC153" i="32" s="1"/>
  <c r="AR153" i="32"/>
  <c r="AH153" i="32"/>
  <c r="AZ153" i="32" s="1"/>
  <c r="AB153" i="32"/>
  <c r="AW153" i="32" s="1"/>
  <c r="R153" i="32"/>
  <c r="X153" i="32" s="1"/>
  <c r="AS152" i="32"/>
  <c r="BC152" i="32" s="1"/>
  <c r="AR152" i="32"/>
  <c r="AH152" i="32"/>
  <c r="AZ152" i="32" s="1"/>
  <c r="AB152" i="32"/>
  <c r="AW152" i="32" s="1"/>
  <c r="R152" i="32"/>
  <c r="X152" i="32" s="1"/>
  <c r="AQ151" i="32"/>
  <c r="AP151" i="32"/>
  <c r="AO151" i="32"/>
  <c r="AN151" i="32"/>
  <c r="AM151" i="32"/>
  <c r="AL151" i="32"/>
  <c r="AK151" i="32"/>
  <c r="AJ151" i="32"/>
  <c r="AG151" i="32"/>
  <c r="AF151" i="32"/>
  <c r="AA151" i="32"/>
  <c r="Z151" i="32"/>
  <c r="Y151" i="32"/>
  <c r="W151" i="32"/>
  <c r="V151" i="32"/>
  <c r="U151" i="32"/>
  <c r="T151" i="32"/>
  <c r="S151" i="32"/>
  <c r="AS150" i="32"/>
  <c r="BC150" i="32" s="1"/>
  <c r="AR150" i="32"/>
  <c r="BB150" i="32" s="1"/>
  <c r="AH150" i="32"/>
  <c r="AZ150" i="32" s="1"/>
  <c r="AB150" i="32"/>
  <c r="AW150" i="32" s="1"/>
  <c r="R150" i="32"/>
  <c r="AS149" i="32"/>
  <c r="AR149" i="32"/>
  <c r="BB149" i="32" s="1"/>
  <c r="AH149" i="32"/>
  <c r="AZ149" i="32" s="1"/>
  <c r="AB149" i="32"/>
  <c r="R149" i="32"/>
  <c r="X149" i="32" s="1"/>
  <c r="AS148" i="32"/>
  <c r="AR148" i="32"/>
  <c r="BB148" i="32" s="1"/>
  <c r="AH148" i="32"/>
  <c r="AZ148" i="32" s="1"/>
  <c r="AB148" i="32"/>
  <c r="AW148" i="32" s="1"/>
  <c r="R148" i="32"/>
  <c r="AQ147" i="32"/>
  <c r="AP147" i="32"/>
  <c r="AO147" i="32"/>
  <c r="AN147" i="32"/>
  <c r="AM147" i="32"/>
  <c r="AL147" i="32"/>
  <c r="AK147" i="32"/>
  <c r="AJ147" i="32"/>
  <c r="AG147" i="32"/>
  <c r="AF147" i="32"/>
  <c r="AA147" i="32"/>
  <c r="Z147" i="32"/>
  <c r="Y147" i="32"/>
  <c r="W147" i="32"/>
  <c r="V147" i="32"/>
  <c r="U147" i="32"/>
  <c r="T147" i="32"/>
  <c r="S147" i="32"/>
  <c r="AS146" i="32"/>
  <c r="AS147" i="32" s="1"/>
  <c r="AR146" i="32"/>
  <c r="AR147" i="32" s="1"/>
  <c r="AH146" i="32"/>
  <c r="AZ146" i="32" s="1"/>
  <c r="AZ147" i="32" s="1"/>
  <c r="AB146" i="32"/>
  <c r="R146" i="32"/>
  <c r="AQ145" i="32"/>
  <c r="AP145" i="32"/>
  <c r="AO145" i="32"/>
  <c r="AN145" i="32"/>
  <c r="AM145" i="32"/>
  <c r="AL145" i="32"/>
  <c r="AK145" i="32"/>
  <c r="AJ145" i="32"/>
  <c r="AG145" i="32"/>
  <c r="AF145" i="32"/>
  <c r="AA145" i="32"/>
  <c r="Z145" i="32"/>
  <c r="Y145" i="32"/>
  <c r="W145" i="32"/>
  <c r="V145" i="32"/>
  <c r="U145" i="32"/>
  <c r="T145" i="32"/>
  <c r="S145" i="32"/>
  <c r="AS144" i="32"/>
  <c r="BC144" i="32" s="1"/>
  <c r="AR144" i="32"/>
  <c r="BB144" i="32" s="1"/>
  <c r="AH144" i="32"/>
  <c r="AZ144" i="32" s="1"/>
  <c r="AB144" i="32"/>
  <c r="AW144" i="32" s="1"/>
  <c r="R144" i="32"/>
  <c r="X144" i="32" s="1"/>
  <c r="AE144" i="32" s="1"/>
  <c r="AY144" i="32" s="1"/>
  <c r="AW143" i="32"/>
  <c r="AS143" i="32"/>
  <c r="BC143" i="32" s="1"/>
  <c r="AR143" i="32"/>
  <c r="AH143" i="32"/>
  <c r="AZ143" i="32" s="1"/>
  <c r="AB143" i="32"/>
  <c r="R143" i="32"/>
  <c r="X143" i="32" s="1"/>
  <c r="AS142" i="32"/>
  <c r="BC142" i="32" s="1"/>
  <c r="AR142" i="32"/>
  <c r="BB142" i="32" s="1"/>
  <c r="AH142" i="32"/>
  <c r="AZ142" i="32" s="1"/>
  <c r="AB142" i="32"/>
  <c r="AW142" i="32" s="1"/>
  <c r="R142" i="32"/>
  <c r="X142" i="32" s="1"/>
  <c r="AS141" i="32"/>
  <c r="AR141" i="32"/>
  <c r="BB141" i="32" s="1"/>
  <c r="AH141" i="32"/>
  <c r="AZ141" i="32" s="1"/>
  <c r="AB141" i="32"/>
  <c r="AW141" i="32" s="1"/>
  <c r="R141" i="32"/>
  <c r="X141" i="32" s="1"/>
  <c r="AS140" i="32"/>
  <c r="AR140" i="32"/>
  <c r="BB140" i="32" s="1"/>
  <c r="AH140" i="32"/>
  <c r="AZ140" i="32" s="1"/>
  <c r="AB140" i="32"/>
  <c r="AW140" i="32" s="1"/>
  <c r="R140" i="32"/>
  <c r="X140" i="32" s="1"/>
  <c r="AS139" i="32"/>
  <c r="BC139" i="32" s="1"/>
  <c r="AR139" i="32"/>
  <c r="BB139" i="32" s="1"/>
  <c r="AH139" i="32"/>
  <c r="AB139" i="32"/>
  <c r="R139" i="32"/>
  <c r="X139" i="32" s="1"/>
  <c r="AQ138" i="32"/>
  <c r="AP138" i="32"/>
  <c r="AO138" i="32"/>
  <c r="AN138" i="32"/>
  <c r="AM138" i="32"/>
  <c r="AL138" i="32"/>
  <c r="AK138" i="32"/>
  <c r="AJ138" i="32"/>
  <c r="AG138" i="32"/>
  <c r="AF138" i="32"/>
  <c r="AA138" i="32"/>
  <c r="Z138" i="32"/>
  <c r="Y138" i="32"/>
  <c r="W138" i="32"/>
  <c r="V138" i="32"/>
  <c r="U138" i="32"/>
  <c r="T138" i="32"/>
  <c r="S138" i="32"/>
  <c r="AS137" i="32"/>
  <c r="BC137" i="32" s="1"/>
  <c r="AR137" i="32"/>
  <c r="BB137" i="32" s="1"/>
  <c r="AH137" i="32"/>
  <c r="AZ137" i="32" s="1"/>
  <c r="AB137" i="32"/>
  <c r="AW137" i="32" s="1"/>
  <c r="R137" i="32"/>
  <c r="AS136" i="32"/>
  <c r="BC136" i="32" s="1"/>
  <c r="AR136" i="32"/>
  <c r="AH136" i="32"/>
  <c r="AZ136" i="32" s="1"/>
  <c r="AB136" i="32"/>
  <c r="AW136" i="32" s="1"/>
  <c r="R136" i="32"/>
  <c r="X136" i="32" s="1"/>
  <c r="AS135" i="32"/>
  <c r="BC135" i="32" s="1"/>
  <c r="AR135" i="32"/>
  <c r="BB135" i="32" s="1"/>
  <c r="AH135" i="32"/>
  <c r="AZ135" i="32" s="1"/>
  <c r="AB135" i="32"/>
  <c r="AW135" i="32" s="1"/>
  <c r="R135" i="32"/>
  <c r="X135" i="32" s="1"/>
  <c r="AS134" i="32"/>
  <c r="BC134" i="32" s="1"/>
  <c r="AR134" i="32"/>
  <c r="AH134" i="32"/>
  <c r="AZ134" i="32" s="1"/>
  <c r="AB134" i="32"/>
  <c r="AW134" i="32" s="1"/>
  <c r="R134" i="32"/>
  <c r="X134" i="32" s="1"/>
  <c r="AS133" i="32"/>
  <c r="BC133" i="32" s="1"/>
  <c r="AR133" i="32"/>
  <c r="AH133" i="32"/>
  <c r="AZ133" i="32" s="1"/>
  <c r="AB133" i="32"/>
  <c r="AW133" i="32" s="1"/>
  <c r="R133" i="32"/>
  <c r="X133" i="32" s="1"/>
  <c r="AS132" i="32"/>
  <c r="BC132" i="32" s="1"/>
  <c r="AR132" i="32"/>
  <c r="BB132" i="32" s="1"/>
  <c r="AH132" i="32"/>
  <c r="AZ132" i="32" s="1"/>
  <c r="AB132" i="32"/>
  <c r="AW132" i="32" s="1"/>
  <c r="R132" i="32"/>
  <c r="AQ131" i="32"/>
  <c r="AP131" i="32"/>
  <c r="AO131" i="32"/>
  <c r="AN131" i="32"/>
  <c r="AM131" i="32"/>
  <c r="AL131" i="32"/>
  <c r="AK131" i="32"/>
  <c r="AJ131" i="32"/>
  <c r="AG131" i="32"/>
  <c r="AF131" i="32"/>
  <c r="AA131" i="32"/>
  <c r="Z131" i="32"/>
  <c r="Y131" i="32"/>
  <c r="W131" i="32"/>
  <c r="V131" i="32"/>
  <c r="U131" i="32"/>
  <c r="T131" i="32"/>
  <c r="S131" i="32"/>
  <c r="AS130" i="32"/>
  <c r="BC130" i="32" s="1"/>
  <c r="AR130" i="32"/>
  <c r="BB130" i="32" s="1"/>
  <c r="AH130" i="32"/>
  <c r="AZ130" i="32" s="1"/>
  <c r="AB130" i="32"/>
  <c r="AW130" i="32" s="1"/>
  <c r="R130" i="32"/>
  <c r="X130" i="32" s="1"/>
  <c r="AS129" i="32"/>
  <c r="BC129" i="32" s="1"/>
  <c r="AR129" i="32"/>
  <c r="BB129" i="32" s="1"/>
  <c r="AH129" i="32"/>
  <c r="AZ129" i="32" s="1"/>
  <c r="AB129" i="32"/>
  <c r="AW129" i="32" s="1"/>
  <c r="R129" i="32"/>
  <c r="X129" i="32" s="1"/>
  <c r="AS128" i="32"/>
  <c r="BC128" i="32" s="1"/>
  <c r="AR128" i="32"/>
  <c r="AH128" i="32"/>
  <c r="AZ128" i="32" s="1"/>
  <c r="AB128" i="32"/>
  <c r="AW128" i="32" s="1"/>
  <c r="R128" i="32"/>
  <c r="AS127" i="32"/>
  <c r="BC127" i="32" s="1"/>
  <c r="AR127" i="32"/>
  <c r="BB127" i="32" s="1"/>
  <c r="AH127" i="32"/>
  <c r="AZ127" i="32" s="1"/>
  <c r="AB127" i="32"/>
  <c r="AW127" i="32" s="1"/>
  <c r="R127" i="32"/>
  <c r="X127" i="32" s="1"/>
  <c r="AS126" i="32"/>
  <c r="AR126" i="32"/>
  <c r="BB126" i="32" s="1"/>
  <c r="AH126" i="32"/>
  <c r="AB126" i="32"/>
  <c r="R126" i="32"/>
  <c r="X126" i="32" s="1"/>
  <c r="AQ125" i="32"/>
  <c r="AP125" i="32"/>
  <c r="AO125" i="32"/>
  <c r="AN125" i="32"/>
  <c r="AM125" i="32"/>
  <c r="AL125" i="32"/>
  <c r="AK125" i="32"/>
  <c r="AJ125" i="32"/>
  <c r="AG125" i="32"/>
  <c r="AF125" i="32"/>
  <c r="AA125" i="32"/>
  <c r="Z125" i="32"/>
  <c r="Y125" i="32"/>
  <c r="W125" i="32"/>
  <c r="V125" i="32"/>
  <c r="U125" i="32"/>
  <c r="T125" i="32"/>
  <c r="S125" i="32"/>
  <c r="AS124" i="32"/>
  <c r="BC124" i="32" s="1"/>
  <c r="AR124" i="32"/>
  <c r="AH124" i="32"/>
  <c r="AZ124" i="32" s="1"/>
  <c r="AB124" i="32"/>
  <c r="AW124" i="32" s="1"/>
  <c r="R124" i="32"/>
  <c r="X124" i="32" s="1"/>
  <c r="AS123" i="32"/>
  <c r="BC123" i="32" s="1"/>
  <c r="AR123" i="32"/>
  <c r="AH123" i="32"/>
  <c r="AZ123" i="32" s="1"/>
  <c r="AB123" i="32"/>
  <c r="AW123" i="32" s="1"/>
  <c r="R123" i="32"/>
  <c r="X123" i="32" s="1"/>
  <c r="AS122" i="32"/>
  <c r="BC122" i="32" s="1"/>
  <c r="AR122" i="32"/>
  <c r="AH122" i="32"/>
  <c r="AB122" i="32"/>
  <c r="R122" i="32"/>
  <c r="X122" i="32" s="1"/>
  <c r="X125" i="32" s="1"/>
  <c r="AQ121" i="32"/>
  <c r="AP121" i="32"/>
  <c r="AO121" i="32"/>
  <c r="AN121" i="32"/>
  <c r="AM121" i="32"/>
  <c r="AL121" i="32"/>
  <c r="AK121" i="32"/>
  <c r="AJ121" i="32"/>
  <c r="AG121" i="32"/>
  <c r="AF121" i="32"/>
  <c r="AA121" i="32"/>
  <c r="Z121" i="32"/>
  <c r="Y121" i="32"/>
  <c r="W121" i="32"/>
  <c r="V121" i="32"/>
  <c r="U121" i="32"/>
  <c r="T121" i="32"/>
  <c r="S121" i="32"/>
  <c r="AS120" i="32"/>
  <c r="BC120" i="32" s="1"/>
  <c r="AR120" i="32"/>
  <c r="BB120" i="32" s="1"/>
  <c r="AH120" i="32"/>
  <c r="AZ120" i="32" s="1"/>
  <c r="AB120" i="32"/>
  <c r="AW120" i="32" s="1"/>
  <c r="R120" i="32"/>
  <c r="X120" i="32" s="1"/>
  <c r="AS119" i="32"/>
  <c r="BC119" i="32" s="1"/>
  <c r="AR119" i="32"/>
  <c r="AH119" i="32"/>
  <c r="AZ119" i="32" s="1"/>
  <c r="AB119" i="32"/>
  <c r="AW119" i="32" s="1"/>
  <c r="R119" i="32"/>
  <c r="X119" i="32" s="1"/>
  <c r="AS118" i="32"/>
  <c r="BC118" i="32" s="1"/>
  <c r="AR118" i="32"/>
  <c r="BB118" i="32" s="1"/>
  <c r="AH118" i="32"/>
  <c r="AZ118" i="32" s="1"/>
  <c r="AB118" i="32"/>
  <c r="AW118" i="32" s="1"/>
  <c r="R118" i="32"/>
  <c r="X118" i="32" s="1"/>
  <c r="AS117" i="32"/>
  <c r="BC117" i="32" s="1"/>
  <c r="AR117" i="32"/>
  <c r="AH117" i="32"/>
  <c r="AZ117" i="32" s="1"/>
  <c r="AB117" i="32"/>
  <c r="AW117" i="32" s="1"/>
  <c r="R117" i="32"/>
  <c r="X117" i="32" s="1"/>
  <c r="AS116" i="32"/>
  <c r="AR116" i="32"/>
  <c r="AH116" i="32"/>
  <c r="AZ116" i="32" s="1"/>
  <c r="AB116" i="32"/>
  <c r="R116" i="32"/>
  <c r="X116" i="32" s="1"/>
  <c r="BB115" i="32"/>
  <c r="AS115" i="32"/>
  <c r="AR115" i="32"/>
  <c r="AH115" i="32"/>
  <c r="AB115" i="32"/>
  <c r="R115" i="32"/>
  <c r="X115" i="32" s="1"/>
  <c r="X121" i="32" s="1"/>
  <c r="AQ114" i="32"/>
  <c r="AP114" i="32"/>
  <c r="AO114" i="32"/>
  <c r="AN114" i="32"/>
  <c r="AM114" i="32"/>
  <c r="AL114" i="32"/>
  <c r="AK114" i="32"/>
  <c r="AJ114" i="32"/>
  <c r="AG114" i="32"/>
  <c r="AF114" i="32"/>
  <c r="AA114" i="32"/>
  <c r="Z114" i="32"/>
  <c r="Y114" i="32"/>
  <c r="W114" i="32"/>
  <c r="V114" i="32"/>
  <c r="U114" i="32"/>
  <c r="T114" i="32"/>
  <c r="S114" i="32"/>
  <c r="AS113" i="32"/>
  <c r="BC113" i="32" s="1"/>
  <c r="AR113" i="32"/>
  <c r="AH113" i="32"/>
  <c r="AZ113" i="32" s="1"/>
  <c r="AB113" i="32"/>
  <c r="AW113" i="32" s="1"/>
  <c r="R113" i="32"/>
  <c r="X113" i="32" s="1"/>
  <c r="AS112" i="32"/>
  <c r="BC112" i="32" s="1"/>
  <c r="AR112" i="32"/>
  <c r="AH112" i="32"/>
  <c r="AZ112" i="32" s="1"/>
  <c r="AB112" i="32"/>
  <c r="AW112" i="32" s="1"/>
  <c r="R112" i="32"/>
  <c r="X112" i="32" s="1"/>
  <c r="AS111" i="32"/>
  <c r="AR111" i="32"/>
  <c r="BB111" i="32" s="1"/>
  <c r="AH111" i="32"/>
  <c r="AB111" i="32"/>
  <c r="AW111" i="32" s="1"/>
  <c r="R111" i="32"/>
  <c r="X111" i="32" s="1"/>
  <c r="AQ110" i="32"/>
  <c r="AP110" i="32"/>
  <c r="AO110" i="32"/>
  <c r="AN110" i="32"/>
  <c r="AM110" i="32"/>
  <c r="AL110" i="32"/>
  <c r="AK110" i="32"/>
  <c r="AJ110" i="32"/>
  <c r="AG110" i="32"/>
  <c r="AF110" i="32"/>
  <c r="AA110" i="32"/>
  <c r="Z110" i="32"/>
  <c r="Y110" i="32"/>
  <c r="W110" i="32"/>
  <c r="V110" i="32"/>
  <c r="U110" i="32"/>
  <c r="T110" i="32"/>
  <c r="S110" i="32"/>
  <c r="AS109" i="32"/>
  <c r="AS110" i="32" s="1"/>
  <c r="AR109" i="32"/>
  <c r="AH109" i="32"/>
  <c r="AH110" i="32" s="1"/>
  <c r="AB109" i="32"/>
  <c r="R109" i="32"/>
  <c r="AQ108" i="32"/>
  <c r="AP108" i="32"/>
  <c r="AO108" i="32"/>
  <c r="AN108" i="32"/>
  <c r="AM108" i="32"/>
  <c r="AL108" i="32"/>
  <c r="AK108" i="32"/>
  <c r="AJ108" i="32"/>
  <c r="AG108" i="32"/>
  <c r="AF108" i="32"/>
  <c r="AA108" i="32"/>
  <c r="Z108" i="32"/>
  <c r="Y108" i="32"/>
  <c r="W108" i="32"/>
  <c r="V108" i="32"/>
  <c r="U108" i="32"/>
  <c r="T108" i="32"/>
  <c r="S108" i="32"/>
  <c r="AS107" i="32"/>
  <c r="BC107" i="32" s="1"/>
  <c r="AR107" i="32"/>
  <c r="AH107" i="32"/>
  <c r="AZ107" i="32" s="1"/>
  <c r="AB107" i="32"/>
  <c r="AW107" i="32" s="1"/>
  <c r="R107" i="32"/>
  <c r="X107" i="32" s="1"/>
  <c r="AS106" i="32"/>
  <c r="BC106" i="32" s="1"/>
  <c r="AR106" i="32"/>
  <c r="AH106" i="32"/>
  <c r="AZ106" i="32" s="1"/>
  <c r="AB106" i="32"/>
  <c r="AW106" i="32" s="1"/>
  <c r="R106" i="32"/>
  <c r="X106" i="32" s="1"/>
  <c r="AS105" i="32"/>
  <c r="BC105" i="32" s="1"/>
  <c r="AR105" i="32"/>
  <c r="AH105" i="32"/>
  <c r="AZ105" i="32" s="1"/>
  <c r="AB105" i="32"/>
  <c r="AW105" i="32" s="1"/>
  <c r="R105" i="32"/>
  <c r="X105" i="32" s="1"/>
  <c r="AS104" i="32"/>
  <c r="BC104" i="32" s="1"/>
  <c r="AR104" i="32"/>
  <c r="BB104" i="32" s="1"/>
  <c r="AH104" i="32"/>
  <c r="AZ104" i="32" s="1"/>
  <c r="AB104" i="32"/>
  <c r="AW104" i="32" s="1"/>
  <c r="R104" i="32"/>
  <c r="AS103" i="32"/>
  <c r="BC103" i="32" s="1"/>
  <c r="AR103" i="32"/>
  <c r="BB103" i="32" s="1"/>
  <c r="AH103" i="32"/>
  <c r="AZ103" i="32" s="1"/>
  <c r="AB103" i="32"/>
  <c r="AW103" i="32" s="1"/>
  <c r="R103" i="32"/>
  <c r="X103" i="32" s="1"/>
  <c r="AS102" i="32"/>
  <c r="AR102" i="32"/>
  <c r="BB102" i="32" s="1"/>
  <c r="AH102" i="32"/>
  <c r="AB102" i="32"/>
  <c r="AB310" i="32" s="1"/>
  <c r="U32" i="47" s="1"/>
  <c r="R102" i="32"/>
  <c r="X102" i="32" s="1"/>
  <c r="AS101" i="32"/>
  <c r="BC101" i="32" s="1"/>
  <c r="AR101" i="32"/>
  <c r="AH101" i="32"/>
  <c r="AZ101" i="32" s="1"/>
  <c r="AB101" i="32"/>
  <c r="AW101" i="32" s="1"/>
  <c r="R101" i="32"/>
  <c r="AS100" i="32"/>
  <c r="BC100" i="32" s="1"/>
  <c r="AR100" i="32"/>
  <c r="AH100" i="32"/>
  <c r="AB100" i="32"/>
  <c r="AW100" i="32" s="1"/>
  <c r="R100" i="32"/>
  <c r="AS99" i="32"/>
  <c r="AR99" i="32"/>
  <c r="BB99" i="32" s="1"/>
  <c r="AH99" i="32"/>
  <c r="AB99" i="32"/>
  <c r="AW99" i="32" s="1"/>
  <c r="R99" i="32"/>
  <c r="X99" i="32" s="1"/>
  <c r="AS98" i="32"/>
  <c r="BC98" i="32" s="1"/>
  <c r="AR98" i="32"/>
  <c r="BB98" i="32" s="1"/>
  <c r="AH98" i="32"/>
  <c r="AZ98" i="32" s="1"/>
  <c r="AB98" i="32"/>
  <c r="AW98" i="32" s="1"/>
  <c r="R98" i="32"/>
  <c r="X98" i="32" s="1"/>
  <c r="AQ97" i="32"/>
  <c r="AP97" i="32"/>
  <c r="AO97" i="32"/>
  <c r="AN97" i="32"/>
  <c r="AM97" i="32"/>
  <c r="AL97" i="32"/>
  <c r="AK97" i="32"/>
  <c r="AJ97" i="32"/>
  <c r="AG97" i="32"/>
  <c r="AF97" i="32"/>
  <c r="AA97" i="32"/>
  <c r="Z97" i="32"/>
  <c r="Y97" i="32"/>
  <c r="W97" i="32"/>
  <c r="V97" i="32"/>
  <c r="U97" i="32"/>
  <c r="T97" i="32"/>
  <c r="S97" i="32"/>
  <c r="AS96" i="32"/>
  <c r="BC96" i="32" s="1"/>
  <c r="AR96" i="32"/>
  <c r="BB96" i="32" s="1"/>
  <c r="AH96" i="32"/>
  <c r="AZ96" i="32" s="1"/>
  <c r="AB96" i="32"/>
  <c r="AW96" i="32" s="1"/>
  <c r="R96" i="32"/>
  <c r="X96" i="32" s="1"/>
  <c r="AS95" i="32"/>
  <c r="BC95" i="32" s="1"/>
  <c r="AR95" i="32"/>
  <c r="BB95" i="32" s="1"/>
  <c r="AH95" i="32"/>
  <c r="AZ95" i="32" s="1"/>
  <c r="AB95" i="32"/>
  <c r="AW95" i="32" s="1"/>
  <c r="R95" i="32"/>
  <c r="AS94" i="32"/>
  <c r="BC94" i="32" s="1"/>
  <c r="AR94" i="32"/>
  <c r="BB94" i="32" s="1"/>
  <c r="AH94" i="32"/>
  <c r="AZ94" i="32" s="1"/>
  <c r="AB94" i="32"/>
  <c r="AW94" i="32" s="1"/>
  <c r="R94" i="32"/>
  <c r="AS93" i="32"/>
  <c r="BC93" i="32" s="1"/>
  <c r="AR93" i="32"/>
  <c r="AH93" i="32"/>
  <c r="AB93" i="32"/>
  <c r="AW93" i="32" s="1"/>
  <c r="R93" i="32"/>
  <c r="AS92" i="32"/>
  <c r="AR92" i="32"/>
  <c r="BB92" i="32" s="1"/>
  <c r="AH92" i="32"/>
  <c r="AZ92" i="32" s="1"/>
  <c r="AB92" i="32"/>
  <c r="R92" i="32"/>
  <c r="AQ91" i="32"/>
  <c r="AP91" i="32"/>
  <c r="AO91" i="32"/>
  <c r="AN91" i="32"/>
  <c r="AM91" i="32"/>
  <c r="AL91" i="32"/>
  <c r="AK91" i="32"/>
  <c r="AJ91" i="32"/>
  <c r="AG91" i="32"/>
  <c r="AF91" i="32"/>
  <c r="AA91" i="32"/>
  <c r="Z91" i="32"/>
  <c r="Y91" i="32"/>
  <c r="W91" i="32"/>
  <c r="V91" i="32"/>
  <c r="U91" i="32"/>
  <c r="T91" i="32"/>
  <c r="S91" i="32"/>
  <c r="AS90" i="32"/>
  <c r="BC90" i="32" s="1"/>
  <c r="AR90" i="32"/>
  <c r="BB90" i="32" s="1"/>
  <c r="AH90" i="32"/>
  <c r="AZ90" i="32" s="1"/>
  <c r="AB90" i="32"/>
  <c r="AW90" i="32" s="1"/>
  <c r="R90" i="32"/>
  <c r="X90" i="32" s="1"/>
  <c r="AS89" i="32"/>
  <c r="BC89" i="32" s="1"/>
  <c r="AR89" i="32"/>
  <c r="AH89" i="32"/>
  <c r="AZ89" i="32" s="1"/>
  <c r="AB89" i="32"/>
  <c r="AW89" i="32" s="1"/>
  <c r="R89" i="32"/>
  <c r="X89" i="32" s="1"/>
  <c r="AS88" i="32"/>
  <c r="BC88" i="32" s="1"/>
  <c r="AR88" i="32"/>
  <c r="AT88" i="32" s="1"/>
  <c r="AH88" i="32"/>
  <c r="AZ88" i="32" s="1"/>
  <c r="AB88" i="32"/>
  <c r="AW88" i="32" s="1"/>
  <c r="R88" i="32"/>
  <c r="X88" i="32" s="1"/>
  <c r="AS87" i="32"/>
  <c r="BC87" i="32" s="1"/>
  <c r="AR87" i="32"/>
  <c r="AH87" i="32"/>
  <c r="AB87" i="32"/>
  <c r="AW87" i="32" s="1"/>
  <c r="R87" i="32"/>
  <c r="AS86" i="32"/>
  <c r="BC86" i="32" s="1"/>
  <c r="AR86" i="32"/>
  <c r="AH86" i="32"/>
  <c r="AZ86" i="32" s="1"/>
  <c r="AB86" i="32"/>
  <c r="AW86" i="32" s="1"/>
  <c r="R86" i="32"/>
  <c r="X86" i="32" s="1"/>
  <c r="AQ85" i="32"/>
  <c r="AP85" i="32"/>
  <c r="AO85" i="32"/>
  <c r="AN85" i="32"/>
  <c r="AM85" i="32"/>
  <c r="AL85" i="32"/>
  <c r="AK85" i="32"/>
  <c r="AJ85" i="32"/>
  <c r="AG85" i="32"/>
  <c r="AF85" i="32"/>
  <c r="AA85" i="32"/>
  <c r="Z85" i="32"/>
  <c r="Y85" i="32"/>
  <c r="W85" i="32"/>
  <c r="V85" i="32"/>
  <c r="U85" i="32"/>
  <c r="T85" i="32"/>
  <c r="S85" i="32"/>
  <c r="AS84" i="32"/>
  <c r="BC84" i="32" s="1"/>
  <c r="AR84" i="32"/>
  <c r="AH84" i="32"/>
  <c r="AZ84" i="32" s="1"/>
  <c r="AB84" i="32"/>
  <c r="AW84" i="32" s="1"/>
  <c r="R84" i="32"/>
  <c r="AS83" i="32"/>
  <c r="BC83" i="32" s="1"/>
  <c r="AR83" i="32"/>
  <c r="BB83" i="32" s="1"/>
  <c r="AH83" i="32"/>
  <c r="AZ83" i="32" s="1"/>
  <c r="AB83" i="32"/>
  <c r="AW83" i="32" s="1"/>
  <c r="AD83" i="32"/>
  <c r="AX83" i="32" s="1"/>
  <c r="R83" i="32"/>
  <c r="X83" i="32" s="1"/>
  <c r="AS82" i="32"/>
  <c r="BC82" i="32" s="1"/>
  <c r="AR82" i="32"/>
  <c r="BB82" i="32" s="1"/>
  <c r="AH82" i="32"/>
  <c r="AB82" i="32"/>
  <c r="AW82" i="32" s="1"/>
  <c r="R82" i="32"/>
  <c r="AS81" i="32"/>
  <c r="BC81" i="32" s="1"/>
  <c r="AR81" i="32"/>
  <c r="AT81" i="32" s="1"/>
  <c r="BA81" i="32" s="1"/>
  <c r="AH81" i="32"/>
  <c r="AZ81" i="32" s="1"/>
  <c r="AB81" i="32"/>
  <c r="AW81" i="32" s="1"/>
  <c r="R81" i="32"/>
  <c r="X81" i="32" s="1"/>
  <c r="AE81" i="32" s="1"/>
  <c r="AY81" i="32" s="1"/>
  <c r="AS80" i="32"/>
  <c r="BC80" i="32" s="1"/>
  <c r="AR80" i="32"/>
  <c r="BB80" i="32" s="1"/>
  <c r="AH80" i="32"/>
  <c r="AZ80" i="32" s="1"/>
  <c r="AB80" i="32"/>
  <c r="AW80" i="32" s="1"/>
  <c r="R80" i="32"/>
  <c r="AS79" i="32"/>
  <c r="BC79" i="32" s="1"/>
  <c r="AR79" i="32"/>
  <c r="BB79" i="32" s="1"/>
  <c r="AH79" i="32"/>
  <c r="AZ79" i="32" s="1"/>
  <c r="AB79" i="32"/>
  <c r="AW79" i="32" s="1"/>
  <c r="R79" i="32"/>
  <c r="AQ78" i="32"/>
  <c r="AP78" i="32"/>
  <c r="AO78" i="32"/>
  <c r="AN78" i="32"/>
  <c r="AM78" i="32"/>
  <c r="AL78" i="32"/>
  <c r="AK78" i="32"/>
  <c r="AJ78" i="32"/>
  <c r="AG78" i="32"/>
  <c r="AF78" i="32"/>
  <c r="AA78" i="32"/>
  <c r="Z78" i="32"/>
  <c r="Y78" i="32"/>
  <c r="W78" i="32"/>
  <c r="V78" i="32"/>
  <c r="U78" i="32"/>
  <c r="T78" i="32"/>
  <c r="S78" i="32"/>
  <c r="AS77" i="32"/>
  <c r="BC77" i="32" s="1"/>
  <c r="AR77" i="32"/>
  <c r="BB77" i="32" s="1"/>
  <c r="AH77" i="32"/>
  <c r="AZ77" i="32" s="1"/>
  <c r="AB77" i="32"/>
  <c r="AW77" i="32" s="1"/>
  <c r="R77" i="32"/>
  <c r="AS76" i="32"/>
  <c r="BC76" i="32" s="1"/>
  <c r="AR76" i="32"/>
  <c r="BB76" i="32" s="1"/>
  <c r="AH76" i="32"/>
  <c r="AZ76" i="32" s="1"/>
  <c r="AB76" i="32"/>
  <c r="AW76" i="32" s="1"/>
  <c r="R76" i="32"/>
  <c r="AS75" i="32"/>
  <c r="BC75" i="32" s="1"/>
  <c r="AR75" i="32"/>
  <c r="BB75" i="32" s="1"/>
  <c r="AH75" i="32"/>
  <c r="AZ75" i="32" s="1"/>
  <c r="AB75" i="32"/>
  <c r="AW75" i="32" s="1"/>
  <c r="R75" i="32"/>
  <c r="AS74" i="32"/>
  <c r="BC74" i="32" s="1"/>
  <c r="AR74" i="32"/>
  <c r="AH74" i="32"/>
  <c r="AZ74" i="32" s="1"/>
  <c r="AB74" i="32"/>
  <c r="AW74" i="32" s="1"/>
  <c r="R74" i="32"/>
  <c r="X74" i="32" s="1"/>
  <c r="AS73" i="32"/>
  <c r="AR73" i="32"/>
  <c r="BB73" i="32" s="1"/>
  <c r="AH73" i="32"/>
  <c r="AB73" i="32"/>
  <c r="R73" i="32"/>
  <c r="AQ72" i="32"/>
  <c r="AP72" i="32"/>
  <c r="AO72" i="32"/>
  <c r="AN72" i="32"/>
  <c r="AM72" i="32"/>
  <c r="AL72" i="32"/>
  <c r="AK72" i="32"/>
  <c r="AJ72" i="32"/>
  <c r="AG72" i="32"/>
  <c r="AF72" i="32"/>
  <c r="AA72" i="32"/>
  <c r="Z72" i="32"/>
  <c r="Y72" i="32"/>
  <c r="W72" i="32"/>
  <c r="V72" i="32"/>
  <c r="U72" i="32"/>
  <c r="T72" i="32"/>
  <c r="S72" i="32"/>
  <c r="AS71" i="32"/>
  <c r="BC71" i="32" s="1"/>
  <c r="AR71" i="32"/>
  <c r="BB71" i="32" s="1"/>
  <c r="AH71" i="32"/>
  <c r="AZ71" i="32" s="1"/>
  <c r="AB71" i="32"/>
  <c r="AW71" i="32" s="1"/>
  <c r="R71" i="32"/>
  <c r="AS70" i="32"/>
  <c r="BC70" i="32" s="1"/>
  <c r="AR70" i="32"/>
  <c r="AH70" i="32"/>
  <c r="AZ70" i="32" s="1"/>
  <c r="AB70" i="32"/>
  <c r="AW70" i="32" s="1"/>
  <c r="R70" i="32"/>
  <c r="X70" i="32" s="1"/>
  <c r="AS69" i="32"/>
  <c r="BC69" i="32" s="1"/>
  <c r="AR69" i="32"/>
  <c r="AH69" i="32"/>
  <c r="AZ69" i="32" s="1"/>
  <c r="AB69" i="32"/>
  <c r="AW69" i="32" s="1"/>
  <c r="R69" i="32"/>
  <c r="AS68" i="32"/>
  <c r="BC68" i="32" s="1"/>
  <c r="AR68" i="32"/>
  <c r="BB68" i="32" s="1"/>
  <c r="AH68" i="32"/>
  <c r="AZ68" i="32" s="1"/>
  <c r="AB68" i="32"/>
  <c r="AW68" i="32" s="1"/>
  <c r="R68" i="32"/>
  <c r="AS67" i="32"/>
  <c r="BC67" i="32" s="1"/>
  <c r="AR67" i="32"/>
  <c r="BB67" i="32" s="1"/>
  <c r="AH67" i="32"/>
  <c r="AZ67" i="32" s="1"/>
  <c r="AB67" i="32"/>
  <c r="AW67" i="32" s="1"/>
  <c r="R67" i="32"/>
  <c r="X67" i="32" s="1"/>
  <c r="AS66" i="32"/>
  <c r="BC66" i="32" s="1"/>
  <c r="AR66" i="32"/>
  <c r="AH66" i="32"/>
  <c r="AB66" i="32"/>
  <c r="AW66" i="32" s="1"/>
  <c r="R66" i="32"/>
  <c r="X66" i="32" s="1"/>
  <c r="AQ65" i="32"/>
  <c r="AP65" i="32"/>
  <c r="AO65" i="32"/>
  <c r="AN65" i="32"/>
  <c r="AM65" i="32"/>
  <c r="AL65" i="32"/>
  <c r="AK65" i="32"/>
  <c r="AJ65" i="32"/>
  <c r="AG65" i="32"/>
  <c r="AF65" i="32"/>
  <c r="AA65" i="32"/>
  <c r="Z65" i="32"/>
  <c r="Y65" i="32"/>
  <c r="W65" i="32"/>
  <c r="V65" i="32"/>
  <c r="U65" i="32"/>
  <c r="T65" i="32"/>
  <c r="S65" i="32"/>
  <c r="AS64" i="32"/>
  <c r="BC64" i="32" s="1"/>
  <c r="AR64" i="32"/>
  <c r="BB64" i="32" s="1"/>
  <c r="AH64" i="32"/>
  <c r="AZ64" i="32" s="1"/>
  <c r="AB64" i="32"/>
  <c r="AW64" i="32" s="1"/>
  <c r="R64" i="32"/>
  <c r="X64" i="32" s="1"/>
  <c r="AS63" i="32"/>
  <c r="BC63" i="32" s="1"/>
  <c r="AR63" i="32"/>
  <c r="AH63" i="32"/>
  <c r="AZ63" i="32" s="1"/>
  <c r="AB63" i="32"/>
  <c r="AW63" i="32" s="1"/>
  <c r="R63" i="32"/>
  <c r="X63" i="32" s="1"/>
  <c r="AS62" i="32"/>
  <c r="BC62" i="32" s="1"/>
  <c r="AR62" i="32"/>
  <c r="AH62" i="32"/>
  <c r="AZ62" i="32" s="1"/>
  <c r="AB62" i="32"/>
  <c r="AW62" i="32" s="1"/>
  <c r="R62" i="32"/>
  <c r="X62" i="32" s="1"/>
  <c r="AS61" i="32"/>
  <c r="BC61" i="32" s="1"/>
  <c r="AR61" i="32"/>
  <c r="BB61" i="32" s="1"/>
  <c r="AH61" i="32"/>
  <c r="AZ61" i="32" s="1"/>
  <c r="AB61" i="32"/>
  <c r="AW61" i="32" s="1"/>
  <c r="R61" i="32"/>
  <c r="AS60" i="32"/>
  <c r="BC60" i="32" s="1"/>
  <c r="AR60" i="32"/>
  <c r="AH60" i="32"/>
  <c r="AZ60" i="32" s="1"/>
  <c r="AB60" i="32"/>
  <c r="R60" i="32"/>
  <c r="X60" i="32" s="1"/>
  <c r="AS59" i="32"/>
  <c r="BC59" i="32" s="1"/>
  <c r="AR59" i="32"/>
  <c r="BB59" i="32" s="1"/>
  <c r="AH59" i="32"/>
  <c r="AZ59" i="32" s="1"/>
  <c r="AB59" i="32"/>
  <c r="AW59" i="32" s="1"/>
  <c r="R59" i="32"/>
  <c r="X59" i="32" s="1"/>
  <c r="AQ58" i="32"/>
  <c r="AP58" i="32"/>
  <c r="AO58" i="32"/>
  <c r="AN58" i="32"/>
  <c r="AM58" i="32"/>
  <c r="AL58" i="32"/>
  <c r="AK58" i="32"/>
  <c r="AJ58" i="32"/>
  <c r="AG58" i="32"/>
  <c r="AF58" i="32"/>
  <c r="AA58" i="32"/>
  <c r="Z58" i="32"/>
  <c r="Y58" i="32"/>
  <c r="W58" i="32"/>
  <c r="V58" i="32"/>
  <c r="U58" i="32"/>
  <c r="T58" i="32"/>
  <c r="S58" i="32"/>
  <c r="AS57" i="32"/>
  <c r="BC57" i="32" s="1"/>
  <c r="AR57" i="32"/>
  <c r="AH57" i="32"/>
  <c r="AZ57" i="32" s="1"/>
  <c r="AB57" i="32"/>
  <c r="AW57" i="32" s="1"/>
  <c r="R57" i="32"/>
  <c r="AS56" i="32"/>
  <c r="BC56" i="32" s="1"/>
  <c r="AR56" i="32"/>
  <c r="BB56" i="32" s="1"/>
  <c r="AH56" i="32"/>
  <c r="AZ56" i="32" s="1"/>
  <c r="AB56" i="32"/>
  <c r="AW56" i="32" s="1"/>
  <c r="R56" i="32"/>
  <c r="X56" i="32" s="1"/>
  <c r="AS55" i="32"/>
  <c r="BC55" i="32" s="1"/>
  <c r="AR55" i="32"/>
  <c r="BB55" i="32" s="1"/>
  <c r="AH55" i="32"/>
  <c r="AZ55" i="32" s="1"/>
  <c r="AB55" i="32"/>
  <c r="R55" i="32"/>
  <c r="AS54" i="32"/>
  <c r="BC54" i="32" s="1"/>
  <c r="AR54" i="32"/>
  <c r="BB54" i="32" s="1"/>
  <c r="AH54" i="32"/>
  <c r="AZ54" i="32" s="1"/>
  <c r="AB54" i="32"/>
  <c r="AW54" i="32" s="1"/>
  <c r="R54" i="32"/>
  <c r="AS53" i="32"/>
  <c r="BC53" i="32" s="1"/>
  <c r="AR53" i="32"/>
  <c r="AH53" i="32"/>
  <c r="AZ53" i="32" s="1"/>
  <c r="AB53" i="32"/>
  <c r="R53" i="32"/>
  <c r="X53" i="32" s="1"/>
  <c r="AQ52" i="32"/>
  <c r="AP52" i="32"/>
  <c r="AO52" i="32"/>
  <c r="AN52" i="32"/>
  <c r="AM52" i="32"/>
  <c r="AL52" i="32"/>
  <c r="AK52" i="32"/>
  <c r="AJ52" i="32"/>
  <c r="AG52" i="32"/>
  <c r="AF52" i="32"/>
  <c r="AA52" i="32"/>
  <c r="Z52" i="32"/>
  <c r="Y52" i="32"/>
  <c r="W52" i="32"/>
  <c r="V52" i="32"/>
  <c r="U52" i="32"/>
  <c r="T52" i="32"/>
  <c r="S52" i="32"/>
  <c r="AS51" i="32"/>
  <c r="BC51" i="32" s="1"/>
  <c r="AR51" i="32"/>
  <c r="BB51" i="32" s="1"/>
  <c r="AH51" i="32"/>
  <c r="AZ51" i="32" s="1"/>
  <c r="AB51" i="32"/>
  <c r="AW51" i="32" s="1"/>
  <c r="R51" i="32"/>
  <c r="X51" i="32" s="1"/>
  <c r="AS50" i="32"/>
  <c r="AR50" i="32"/>
  <c r="AH50" i="32"/>
  <c r="AZ50" i="32" s="1"/>
  <c r="AB50" i="32"/>
  <c r="AW50" i="32" s="1"/>
  <c r="R50" i="32"/>
  <c r="X50" i="32" s="1"/>
  <c r="AS49" i="32"/>
  <c r="BC49" i="32" s="1"/>
  <c r="AR49" i="32"/>
  <c r="AH49" i="32"/>
  <c r="AZ49" i="32" s="1"/>
  <c r="AB49" i="32"/>
  <c r="AW49" i="32" s="1"/>
  <c r="R49" i="32"/>
  <c r="X49" i="32" s="1"/>
  <c r="AS48" i="32"/>
  <c r="BC48" i="32" s="1"/>
  <c r="AR48" i="32"/>
  <c r="BB48" i="32" s="1"/>
  <c r="AH48" i="32"/>
  <c r="AZ48" i="32" s="1"/>
  <c r="AB48" i="32"/>
  <c r="AW48" i="32" s="1"/>
  <c r="R48" i="32"/>
  <c r="AS47" i="32"/>
  <c r="AR47" i="32"/>
  <c r="AH47" i="32"/>
  <c r="AZ47" i="32" s="1"/>
  <c r="AB47" i="32"/>
  <c r="AW47" i="32" s="1"/>
  <c r="R47" i="32"/>
  <c r="X47" i="32" s="1"/>
  <c r="AS46" i="32"/>
  <c r="AR46" i="32"/>
  <c r="BB46" i="32" s="1"/>
  <c r="AH46" i="32"/>
  <c r="AB46" i="32"/>
  <c r="AW46" i="32" s="1"/>
  <c r="R46" i="32"/>
  <c r="X46" i="32" s="1"/>
  <c r="AQ45" i="32"/>
  <c r="AP45" i="32"/>
  <c r="AO45" i="32"/>
  <c r="AN45" i="32"/>
  <c r="AM45" i="32"/>
  <c r="AL45" i="32"/>
  <c r="AK45" i="32"/>
  <c r="AJ45" i="32"/>
  <c r="AG45" i="32"/>
  <c r="AF45" i="32"/>
  <c r="AA45" i="32"/>
  <c r="Z45" i="32"/>
  <c r="Y45" i="32"/>
  <c r="W45" i="32"/>
  <c r="V45" i="32"/>
  <c r="U45" i="32"/>
  <c r="T45" i="32"/>
  <c r="S45" i="32"/>
  <c r="AS44" i="32"/>
  <c r="AS45" i="32" s="1"/>
  <c r="AR44" i="32"/>
  <c r="BB44" i="32" s="1"/>
  <c r="BB45" i="32" s="1"/>
  <c r="AH44" i="32"/>
  <c r="AH45" i="32" s="1"/>
  <c r="AB44" i="32"/>
  <c r="AB45" i="32" s="1"/>
  <c r="R44" i="32"/>
  <c r="AQ43" i="32"/>
  <c r="AP43" i="32"/>
  <c r="AO43" i="32"/>
  <c r="AN43" i="32"/>
  <c r="AM43" i="32"/>
  <c r="AL43" i="32"/>
  <c r="AK43" i="32"/>
  <c r="AJ43" i="32"/>
  <c r="AG43" i="32"/>
  <c r="AF43" i="32"/>
  <c r="AA43" i="32"/>
  <c r="Z43" i="32"/>
  <c r="Y43" i="32"/>
  <c r="W43" i="32"/>
  <c r="V43" i="32"/>
  <c r="U43" i="32"/>
  <c r="T43" i="32"/>
  <c r="S43" i="32"/>
  <c r="AS42" i="32"/>
  <c r="BC42" i="32" s="1"/>
  <c r="AR42" i="32"/>
  <c r="AH42" i="32"/>
  <c r="AZ42" i="32" s="1"/>
  <c r="AB42" i="32"/>
  <c r="AW42" i="32" s="1"/>
  <c r="R42" i="32"/>
  <c r="AZ41" i="32"/>
  <c r="AS41" i="32"/>
  <c r="BC41" i="32" s="1"/>
  <c r="AR41" i="32"/>
  <c r="BB41" i="32" s="1"/>
  <c r="AH41" i="32"/>
  <c r="AB41" i="32"/>
  <c r="AW41" i="32" s="1"/>
  <c r="R41" i="32"/>
  <c r="AZ40" i="32"/>
  <c r="AS40" i="32"/>
  <c r="AR40" i="32"/>
  <c r="AH40" i="32"/>
  <c r="AH43" i="32" s="1"/>
  <c r="AB40" i="32"/>
  <c r="R40" i="32"/>
  <c r="X40" i="32" s="1"/>
  <c r="AQ39" i="32"/>
  <c r="AP39" i="32"/>
  <c r="AO39" i="32"/>
  <c r="AN39" i="32"/>
  <c r="AM39" i="32"/>
  <c r="AL39" i="32"/>
  <c r="AK39" i="32"/>
  <c r="AJ39" i="32"/>
  <c r="AG39" i="32"/>
  <c r="AF39" i="32"/>
  <c r="AA39" i="32"/>
  <c r="Z39" i="32"/>
  <c r="Y39" i="32"/>
  <c r="W39" i="32"/>
  <c r="V39" i="32"/>
  <c r="U39" i="32"/>
  <c r="T39" i="32"/>
  <c r="S39" i="32"/>
  <c r="AW38" i="32"/>
  <c r="AS38" i="32"/>
  <c r="BC38" i="32" s="1"/>
  <c r="AR38" i="32"/>
  <c r="BB38" i="32" s="1"/>
  <c r="AH38" i="32"/>
  <c r="AZ38" i="32" s="1"/>
  <c r="AB38" i="32"/>
  <c r="R38" i="32"/>
  <c r="BB37" i="32"/>
  <c r="AS37" i="32"/>
  <c r="BC37" i="32" s="1"/>
  <c r="AR37" i="32"/>
  <c r="AH37" i="32"/>
  <c r="AZ37" i="32" s="1"/>
  <c r="AB37" i="32"/>
  <c r="AW37" i="32" s="1"/>
  <c r="R37" i="32"/>
  <c r="AS36" i="32"/>
  <c r="AR36" i="32"/>
  <c r="BB36" i="32" s="1"/>
  <c r="AH36" i="32"/>
  <c r="AB36" i="32"/>
  <c r="R36" i="32"/>
  <c r="X36" i="32" s="1"/>
  <c r="AQ35" i="32"/>
  <c r="AP35" i="32"/>
  <c r="AO35" i="32"/>
  <c r="AN35" i="32"/>
  <c r="AM35" i="32"/>
  <c r="AL35" i="32"/>
  <c r="AK35" i="32"/>
  <c r="AJ35" i="32"/>
  <c r="AG35" i="32"/>
  <c r="AF35" i="32"/>
  <c r="AA35" i="32"/>
  <c r="Z35" i="32"/>
  <c r="Y35" i="32"/>
  <c r="W35" i="32"/>
  <c r="V35" i="32"/>
  <c r="U35" i="32"/>
  <c r="T35" i="32"/>
  <c r="S35" i="32"/>
  <c r="AS34" i="32"/>
  <c r="BC34" i="32" s="1"/>
  <c r="AR34" i="32"/>
  <c r="BB34" i="32" s="1"/>
  <c r="AH34" i="32"/>
  <c r="AZ34" i="32" s="1"/>
  <c r="AB34" i="32"/>
  <c r="AW34" i="32" s="1"/>
  <c r="R34" i="32"/>
  <c r="X34" i="32" s="1"/>
  <c r="AS33" i="32"/>
  <c r="BC33" i="32" s="1"/>
  <c r="AR33" i="32"/>
  <c r="BB33" i="32" s="1"/>
  <c r="AH33" i="32"/>
  <c r="AZ33" i="32" s="1"/>
  <c r="AB33" i="32"/>
  <c r="AW33" i="32" s="1"/>
  <c r="R33" i="32"/>
  <c r="X33" i="32" s="1"/>
  <c r="AS32" i="32"/>
  <c r="BC32" i="32" s="1"/>
  <c r="AR32" i="32"/>
  <c r="BB32" i="32" s="1"/>
  <c r="AH32" i="32"/>
  <c r="AZ32" i="32" s="1"/>
  <c r="AB32" i="32"/>
  <c r="R32" i="32"/>
  <c r="AQ31" i="32"/>
  <c r="AP31" i="32"/>
  <c r="AO31" i="32"/>
  <c r="AN31" i="32"/>
  <c r="AM31" i="32"/>
  <c r="AL31" i="32"/>
  <c r="AK31" i="32"/>
  <c r="AJ31" i="32"/>
  <c r="AG31" i="32"/>
  <c r="AF31" i="32"/>
  <c r="AA31" i="32"/>
  <c r="Z31" i="32"/>
  <c r="Y31" i="32"/>
  <c r="W31" i="32"/>
  <c r="V31" i="32"/>
  <c r="U31" i="32"/>
  <c r="T31" i="32"/>
  <c r="S31" i="32"/>
  <c r="AS30" i="32"/>
  <c r="BC30" i="32" s="1"/>
  <c r="AR30" i="32"/>
  <c r="BB30" i="32" s="1"/>
  <c r="AH30" i="32"/>
  <c r="AZ30" i="32" s="1"/>
  <c r="AB30" i="32"/>
  <c r="R30" i="32"/>
  <c r="X30" i="32" s="1"/>
  <c r="AS29" i="32"/>
  <c r="BC29" i="32" s="1"/>
  <c r="AR29" i="32"/>
  <c r="BB29" i="32" s="1"/>
  <c r="AH29" i="32"/>
  <c r="AZ29" i="32" s="1"/>
  <c r="AB29" i="32"/>
  <c r="R29" i="32"/>
  <c r="AS28" i="32"/>
  <c r="AR28" i="32"/>
  <c r="BB28" i="32" s="1"/>
  <c r="AH28" i="32"/>
  <c r="AB28" i="32"/>
  <c r="AW28" i="32" s="1"/>
  <c r="R28" i="32"/>
  <c r="X28" i="32" s="1"/>
  <c r="AQ27" i="32"/>
  <c r="AP27" i="32"/>
  <c r="AO27" i="32"/>
  <c r="AN27" i="32"/>
  <c r="AM27" i="32"/>
  <c r="AL27" i="32"/>
  <c r="AK27" i="32"/>
  <c r="AJ27" i="32"/>
  <c r="AG27" i="32"/>
  <c r="AF27" i="32"/>
  <c r="AA27" i="32"/>
  <c r="Z27" i="32"/>
  <c r="Y27" i="32"/>
  <c r="W27" i="32"/>
  <c r="V27" i="32"/>
  <c r="U27" i="32"/>
  <c r="T27" i="32"/>
  <c r="S27" i="32"/>
  <c r="AS26" i="32"/>
  <c r="BC26" i="32" s="1"/>
  <c r="AR26" i="32"/>
  <c r="BB26" i="32" s="1"/>
  <c r="AH26" i="32"/>
  <c r="AZ26" i="32" s="1"/>
  <c r="AB26" i="32"/>
  <c r="AW26" i="32" s="1"/>
  <c r="R26" i="32"/>
  <c r="AS25" i="32"/>
  <c r="BC25" i="32" s="1"/>
  <c r="AR25" i="32"/>
  <c r="AH25" i="32"/>
  <c r="AZ25" i="32" s="1"/>
  <c r="AB25" i="32"/>
  <c r="AW25" i="32" s="1"/>
  <c r="R25" i="32"/>
  <c r="X25" i="32" s="1"/>
  <c r="AS24" i="32"/>
  <c r="BC24" i="32" s="1"/>
  <c r="AR24" i="32"/>
  <c r="AH24" i="32"/>
  <c r="AZ24" i="32" s="1"/>
  <c r="AB24" i="32"/>
  <c r="AW24" i="32" s="1"/>
  <c r="R24" i="32"/>
  <c r="X24" i="32" s="1"/>
  <c r="AS23" i="32"/>
  <c r="AR23" i="32"/>
  <c r="BB23" i="32" s="1"/>
  <c r="AH23" i="32"/>
  <c r="AZ23" i="32" s="1"/>
  <c r="AB23" i="32"/>
  <c r="R23" i="32"/>
  <c r="AQ22" i="32"/>
  <c r="AP22" i="32"/>
  <c r="AO22" i="32"/>
  <c r="AN22" i="32"/>
  <c r="AM22" i="32"/>
  <c r="AL22" i="32"/>
  <c r="AK22" i="32"/>
  <c r="AJ22" i="32"/>
  <c r="AG22" i="32"/>
  <c r="AF22" i="32"/>
  <c r="AA22" i="32"/>
  <c r="Z22" i="32"/>
  <c r="Y22" i="32"/>
  <c r="W22" i="32"/>
  <c r="V22" i="32"/>
  <c r="U22" i="32"/>
  <c r="T22" i="32"/>
  <c r="S22" i="32"/>
  <c r="AS21" i="32"/>
  <c r="BC21" i="32" s="1"/>
  <c r="AR21" i="32"/>
  <c r="BB21" i="32" s="1"/>
  <c r="AH21" i="32"/>
  <c r="AZ21" i="32" s="1"/>
  <c r="AB21" i="32"/>
  <c r="AW21" i="32" s="1"/>
  <c r="R21" i="32"/>
  <c r="X21" i="32" s="1"/>
  <c r="BC20" i="32"/>
  <c r="AS20" i="32"/>
  <c r="AR20" i="32"/>
  <c r="BB20" i="32" s="1"/>
  <c r="AH20" i="32"/>
  <c r="AZ20" i="32" s="1"/>
  <c r="AB20" i="32"/>
  <c r="AW20" i="32" s="1"/>
  <c r="R20" i="32"/>
  <c r="AS19" i="32"/>
  <c r="BC19" i="32" s="1"/>
  <c r="AR19" i="32"/>
  <c r="BB19" i="32" s="1"/>
  <c r="AH19" i="32"/>
  <c r="AZ19" i="32" s="1"/>
  <c r="AB19" i="32"/>
  <c r="AW19" i="32" s="1"/>
  <c r="R19" i="32"/>
  <c r="AS18" i="32"/>
  <c r="AR18" i="32"/>
  <c r="BB18" i="32" s="1"/>
  <c r="AH18" i="32"/>
  <c r="AZ18" i="32" s="1"/>
  <c r="AB18" i="32"/>
  <c r="AW18" i="32" s="1"/>
  <c r="R18" i="32"/>
  <c r="X18" i="32" s="1"/>
  <c r="AQ17" i="32"/>
  <c r="AP17" i="32"/>
  <c r="AO17" i="32"/>
  <c r="AN17" i="32"/>
  <c r="AM17" i="32"/>
  <c r="AL17" i="32"/>
  <c r="AK17" i="32"/>
  <c r="AJ17" i="32"/>
  <c r="AG17" i="32"/>
  <c r="AF17" i="32"/>
  <c r="AA17" i="32"/>
  <c r="Z17" i="32"/>
  <c r="Y17" i="32"/>
  <c r="W17" i="32"/>
  <c r="V17" i="32"/>
  <c r="U17" i="32"/>
  <c r="T17" i="32"/>
  <c r="S17" i="32"/>
  <c r="AS16" i="32"/>
  <c r="AR16" i="32"/>
  <c r="BB16" i="32" s="1"/>
  <c r="AH16" i="32"/>
  <c r="AZ16" i="32" s="1"/>
  <c r="AB16" i="32"/>
  <c r="AW16" i="32" s="1"/>
  <c r="R16" i="32"/>
  <c r="AS15" i="32"/>
  <c r="BC15" i="32" s="1"/>
  <c r="AR15" i="32"/>
  <c r="AH15" i="32"/>
  <c r="AZ15" i="32" s="1"/>
  <c r="AB15" i="32"/>
  <c r="AW15" i="32" s="1"/>
  <c r="R15" i="32"/>
  <c r="AS14" i="32"/>
  <c r="BC14" i="32" s="1"/>
  <c r="AR14" i="32"/>
  <c r="BB14" i="32" s="1"/>
  <c r="AH14" i="32"/>
  <c r="AB14" i="32"/>
  <c r="AW14" i="32" s="1"/>
  <c r="R14" i="32"/>
  <c r="X14" i="32" s="1"/>
  <c r="AQ13" i="32"/>
  <c r="AP13" i="32"/>
  <c r="AO13" i="32"/>
  <c r="AN13" i="32"/>
  <c r="AM13" i="32"/>
  <c r="AL13" i="32"/>
  <c r="AK13" i="32"/>
  <c r="AJ13" i="32"/>
  <c r="AG13" i="32"/>
  <c r="AF13" i="32"/>
  <c r="AA13" i="32"/>
  <c r="Z13" i="32"/>
  <c r="Y13" i="32"/>
  <c r="W13" i="32"/>
  <c r="V13" i="32"/>
  <c r="U13" i="32"/>
  <c r="T13" i="32"/>
  <c r="S13" i="32"/>
  <c r="AS12" i="32"/>
  <c r="AS13" i="32" s="1"/>
  <c r="AR12" i="32"/>
  <c r="AH12" i="32"/>
  <c r="AH314" i="32" s="1"/>
  <c r="AA36" i="47" s="1"/>
  <c r="AB12" i="32"/>
  <c r="AB13" i="32" s="1"/>
  <c r="R12" i="32"/>
  <c r="AT133" i="31"/>
  <c r="AS133" i="31"/>
  <c r="AR133" i="31"/>
  <c r="AT132" i="31"/>
  <c r="AS132" i="31"/>
  <c r="AR132" i="31"/>
  <c r="AQ87" i="31"/>
  <c r="AP87" i="31"/>
  <c r="AO87" i="31"/>
  <c r="AN87" i="31"/>
  <c r="AM87" i="31"/>
  <c r="AL87" i="31"/>
  <c r="AK87" i="31"/>
  <c r="AJ87" i="31"/>
  <c r="AG87" i="31"/>
  <c r="AF87" i="31"/>
  <c r="AA87" i="31"/>
  <c r="Z87" i="31"/>
  <c r="Y87" i="31"/>
  <c r="W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Q86" i="31"/>
  <c r="AP86" i="31"/>
  <c r="AO86" i="31"/>
  <c r="AN86" i="31"/>
  <c r="AM86" i="31"/>
  <c r="AL86" i="31"/>
  <c r="AK86" i="31"/>
  <c r="AJ86" i="31"/>
  <c r="AG86" i="31"/>
  <c r="AF86" i="31"/>
  <c r="AA86" i="31"/>
  <c r="Z86" i="31"/>
  <c r="Y86" i="31"/>
  <c r="W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Q85" i="31"/>
  <c r="AP85" i="31"/>
  <c r="AO85" i="31"/>
  <c r="AN85" i="31"/>
  <c r="AM85" i="31"/>
  <c r="AL85" i="31"/>
  <c r="AK85" i="31"/>
  <c r="AJ85" i="31"/>
  <c r="AG85" i="31"/>
  <c r="AF85" i="31"/>
  <c r="AA85" i="31"/>
  <c r="Z85" i="31"/>
  <c r="Y85" i="31"/>
  <c r="W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Q84" i="31"/>
  <c r="AP84" i="31"/>
  <c r="AO84" i="31"/>
  <c r="AN84" i="31"/>
  <c r="AM84" i="31"/>
  <c r="AL84" i="31"/>
  <c r="AK84" i="31"/>
  <c r="AJ84" i="31"/>
  <c r="AG84" i="31"/>
  <c r="AF84" i="31"/>
  <c r="AA84" i="31"/>
  <c r="Z84" i="31"/>
  <c r="Y84" i="31"/>
  <c r="W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N77" i="31" s="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V77" i="31" s="1"/>
  <c r="U83" i="31"/>
  <c r="T83" i="31"/>
  <c r="S83" i="31"/>
  <c r="R83" i="31"/>
  <c r="Q83" i="31"/>
  <c r="P83" i="31"/>
  <c r="P77" i="31" s="1"/>
  <c r="O83" i="31"/>
  <c r="N83" i="31"/>
  <c r="M83" i="31"/>
  <c r="L83" i="31"/>
  <c r="K83" i="31"/>
  <c r="J83" i="31"/>
  <c r="J77" i="31" s="1"/>
  <c r="I83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Q81" i="31"/>
  <c r="AP81" i="31"/>
  <c r="AO81" i="31"/>
  <c r="AN81" i="31"/>
  <c r="AM81" i="31"/>
  <c r="AL81" i="31"/>
  <c r="AK81" i="31"/>
  <c r="AJ81" i="31"/>
  <c r="AG81" i="31"/>
  <c r="AF81" i="31"/>
  <c r="AA81" i="31"/>
  <c r="Z81" i="31"/>
  <c r="Y81" i="31"/>
  <c r="W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K77" i="31" s="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Y77" i="31" s="1"/>
  <c r="X80" i="31"/>
  <c r="W80" i="31"/>
  <c r="V80" i="31"/>
  <c r="U80" i="31"/>
  <c r="T80" i="31"/>
  <c r="S80" i="31"/>
  <c r="R80" i="31"/>
  <c r="Q80" i="31"/>
  <c r="P80" i="31"/>
  <c r="O80" i="31"/>
  <c r="N80" i="31"/>
  <c r="M80" i="31"/>
  <c r="M77" i="31" s="1"/>
  <c r="L80" i="31"/>
  <c r="K80" i="31"/>
  <c r="J80" i="31"/>
  <c r="I80" i="31"/>
  <c r="AQ79" i="31"/>
  <c r="AP79" i="31"/>
  <c r="AP77" i="31" s="1"/>
  <c r="AO79" i="31"/>
  <c r="AN79" i="31"/>
  <c r="AM79" i="31"/>
  <c r="AL79" i="31"/>
  <c r="AK79" i="31"/>
  <c r="AJ79" i="31"/>
  <c r="AJ77" i="31" s="1"/>
  <c r="AG79" i="31"/>
  <c r="AF79" i="31"/>
  <c r="AA79" i="31"/>
  <c r="Z79" i="31"/>
  <c r="Y79" i="31"/>
  <c r="W79" i="31"/>
  <c r="V79" i="31"/>
  <c r="U79" i="31"/>
  <c r="T79" i="31"/>
  <c r="S79" i="31"/>
  <c r="Q79" i="31"/>
  <c r="P79" i="31"/>
  <c r="O79" i="31"/>
  <c r="N79" i="31"/>
  <c r="M79" i="31"/>
  <c r="L79" i="31"/>
  <c r="L77" i="31" s="1"/>
  <c r="K79" i="31"/>
  <c r="J79" i="31"/>
  <c r="I79" i="31"/>
  <c r="AQ78" i="31"/>
  <c r="AP78" i="31"/>
  <c r="AO78" i="31"/>
  <c r="AN78" i="31"/>
  <c r="AM78" i="31"/>
  <c r="AL78" i="31"/>
  <c r="AL77" i="31" s="1"/>
  <c r="AK78" i="31"/>
  <c r="AJ78" i="31"/>
  <c r="AG78" i="31"/>
  <c r="AF78" i="31"/>
  <c r="AA78" i="31"/>
  <c r="Z78" i="31"/>
  <c r="Y78" i="31"/>
  <c r="W78" i="31"/>
  <c r="W77" i="31" s="1"/>
  <c r="V78" i="31"/>
  <c r="U78" i="31"/>
  <c r="T78" i="31"/>
  <c r="T77" i="31" s="1"/>
  <c r="S78" i="31"/>
  <c r="Q78" i="31"/>
  <c r="P78" i="31"/>
  <c r="O78" i="31"/>
  <c r="N78" i="31"/>
  <c r="M78" i="31"/>
  <c r="L78" i="31"/>
  <c r="K78" i="31"/>
  <c r="J78" i="31"/>
  <c r="I78" i="31"/>
  <c r="AQ77" i="31"/>
  <c r="S77" i="31"/>
  <c r="Q74" i="31"/>
  <c r="O75" i="31" s="1"/>
  <c r="P74" i="31"/>
  <c r="O74" i="31"/>
  <c r="N74" i="31"/>
  <c r="I75" i="31" s="1"/>
  <c r="M74" i="31"/>
  <c r="L74" i="31"/>
  <c r="K74" i="31"/>
  <c r="J74" i="31"/>
  <c r="I74" i="31"/>
  <c r="AQ73" i="31"/>
  <c r="AP73" i="31"/>
  <c r="AO73" i="31"/>
  <c r="AN73" i="31"/>
  <c r="AM73" i="31"/>
  <c r="AL73" i="31"/>
  <c r="AK73" i="31"/>
  <c r="AJ73" i="31"/>
  <c r="AG73" i="31"/>
  <c r="AF73" i="31"/>
  <c r="AA73" i="31"/>
  <c r="Z73" i="31"/>
  <c r="Y73" i="31"/>
  <c r="W73" i="31"/>
  <c r="V73" i="31"/>
  <c r="U73" i="31"/>
  <c r="T73" i="31"/>
  <c r="S73" i="31"/>
  <c r="BB72" i="31"/>
  <c r="AS72" i="31"/>
  <c r="BC72" i="31" s="1"/>
  <c r="AR72" i="31"/>
  <c r="AH72" i="31"/>
  <c r="AZ72" i="31" s="1"/>
  <c r="AB72" i="31"/>
  <c r="AW72" i="31" s="1"/>
  <c r="R72" i="31"/>
  <c r="X72" i="31" s="1"/>
  <c r="AZ71" i="31"/>
  <c r="AT71" i="31"/>
  <c r="BA71" i="31" s="1"/>
  <c r="AS71" i="31"/>
  <c r="BC71" i="31" s="1"/>
  <c r="AR71" i="31"/>
  <c r="BB71" i="31" s="1"/>
  <c r="AH71" i="31"/>
  <c r="AE71" i="31"/>
  <c r="AY71" i="31" s="1"/>
  <c r="AB71" i="31"/>
  <c r="AW71" i="31" s="1"/>
  <c r="R71" i="31"/>
  <c r="X71" i="31" s="1"/>
  <c r="BC70" i="31"/>
  <c r="BB70" i="31"/>
  <c r="AZ70" i="31"/>
  <c r="AW70" i="31"/>
  <c r="AV70" i="31"/>
  <c r="AT70" i="31"/>
  <c r="BA70" i="31" s="1"/>
  <c r="AS70" i="31"/>
  <c r="AR70" i="31"/>
  <c r="AH70" i="31"/>
  <c r="AD70" i="31"/>
  <c r="AX70" i="31" s="1"/>
  <c r="AB70" i="31"/>
  <c r="X70" i="31"/>
  <c r="R70" i="31"/>
  <c r="BB69" i="31"/>
  <c r="AS69" i="31"/>
  <c r="BC69" i="31" s="1"/>
  <c r="AR69" i="31"/>
  <c r="AH69" i="31"/>
  <c r="AZ69" i="31" s="1"/>
  <c r="AB69" i="31"/>
  <c r="AW69" i="31" s="1"/>
  <c r="R69" i="31"/>
  <c r="AZ68" i="31"/>
  <c r="AT68" i="31"/>
  <c r="AS68" i="31"/>
  <c r="AS73" i="31" s="1"/>
  <c r="AR68" i="31"/>
  <c r="AH68" i="31"/>
  <c r="AE68" i="31"/>
  <c r="AB68" i="31"/>
  <c r="R68" i="31"/>
  <c r="X68" i="31" s="1"/>
  <c r="AQ67" i="31"/>
  <c r="AP67" i="31"/>
  <c r="AO67" i="31"/>
  <c r="AN67" i="31"/>
  <c r="AM67" i="31"/>
  <c r="AL67" i="31"/>
  <c r="AK67" i="31"/>
  <c r="AJ67" i="31"/>
  <c r="AH67" i="31"/>
  <c r="AG67" i="31"/>
  <c r="AF67" i="31"/>
  <c r="AA67" i="31"/>
  <c r="Z67" i="31"/>
  <c r="Y67" i="31"/>
  <c r="W67" i="31"/>
  <c r="V67" i="31"/>
  <c r="U67" i="31"/>
  <c r="T67" i="31"/>
  <c r="S67" i="31"/>
  <c r="AX66" i="31"/>
  <c r="AT66" i="31"/>
  <c r="BA66" i="31" s="1"/>
  <c r="AS66" i="31"/>
  <c r="BC66" i="31" s="1"/>
  <c r="AR66" i="31"/>
  <c r="BB66" i="31" s="1"/>
  <c r="AH66" i="31"/>
  <c r="AZ66" i="31" s="1"/>
  <c r="AD66" i="31"/>
  <c r="AB66" i="31"/>
  <c r="AW66" i="31" s="1"/>
  <c r="R66" i="31"/>
  <c r="X66" i="31" s="1"/>
  <c r="AE66" i="31" s="1"/>
  <c r="AY66" i="31" s="1"/>
  <c r="AZ65" i="31"/>
  <c r="AZ67" i="31" s="1"/>
  <c r="AV65" i="31"/>
  <c r="AS65" i="31"/>
  <c r="AR65" i="31"/>
  <c r="AH65" i="31"/>
  <c r="AE65" i="31"/>
  <c r="AD65" i="31"/>
  <c r="AB65" i="31"/>
  <c r="AW65" i="31" s="1"/>
  <c r="R65" i="31"/>
  <c r="X65" i="31" s="1"/>
  <c r="AQ64" i="31"/>
  <c r="AP64" i="31"/>
  <c r="AO64" i="31"/>
  <c r="AN64" i="31"/>
  <c r="AM64" i="31"/>
  <c r="AL64" i="31"/>
  <c r="AK64" i="31"/>
  <c r="AJ64" i="31"/>
  <c r="AG64" i="31"/>
  <c r="AF64" i="31"/>
  <c r="AA64" i="31"/>
  <c r="Z64" i="31"/>
  <c r="Y64" i="31"/>
  <c r="W64" i="31"/>
  <c r="V64" i="31"/>
  <c r="U64" i="31"/>
  <c r="T64" i="31"/>
  <c r="S64" i="31"/>
  <c r="BB63" i="31"/>
  <c r="AZ63" i="31"/>
  <c r="AS63" i="31"/>
  <c r="BC63" i="31" s="1"/>
  <c r="AR63" i="31"/>
  <c r="AH63" i="31"/>
  <c r="AB63" i="31"/>
  <c r="AW63" i="31" s="1"/>
  <c r="R63" i="31"/>
  <c r="X63" i="31" s="1"/>
  <c r="BB62" i="31"/>
  <c r="AT62" i="31"/>
  <c r="BA62" i="31" s="1"/>
  <c r="AS62" i="31"/>
  <c r="BC62" i="31" s="1"/>
  <c r="AR62" i="31"/>
  <c r="AH62" i="31"/>
  <c r="AZ62" i="31" s="1"/>
  <c r="AE62" i="31"/>
  <c r="AY62" i="31" s="1"/>
  <c r="AD62" i="31"/>
  <c r="AX62" i="31" s="1"/>
  <c r="AB62" i="31"/>
  <c r="AW62" i="31" s="1"/>
  <c r="R62" i="31"/>
  <c r="X62" i="31" s="1"/>
  <c r="BC61" i="31"/>
  <c r="BB61" i="31"/>
  <c r="AW61" i="31"/>
  <c r="AS61" i="31"/>
  <c r="AR61" i="31"/>
  <c r="AT61" i="31" s="1"/>
  <c r="BA61" i="31" s="1"/>
  <c r="AH61" i="31"/>
  <c r="AZ61" i="31" s="1"/>
  <c r="AB61" i="31"/>
  <c r="X61" i="31"/>
  <c r="R61" i="31"/>
  <c r="BB60" i="31"/>
  <c r="AZ60" i="31"/>
  <c r="AW60" i="31"/>
  <c r="AS60" i="31"/>
  <c r="AR60" i="31"/>
  <c r="AH60" i="31"/>
  <c r="AB60" i="31"/>
  <c r="R60" i="31"/>
  <c r="X60" i="31" s="1"/>
  <c r="BC59" i="31"/>
  <c r="BA59" i="31"/>
  <c r="AS59" i="31"/>
  <c r="AR59" i="31"/>
  <c r="AT59" i="31" s="1"/>
  <c r="AH59" i="31"/>
  <c r="AZ59" i="31" s="1"/>
  <c r="AE59" i="31"/>
  <c r="AY59" i="31" s="1"/>
  <c r="AB59" i="31"/>
  <c r="AW59" i="31" s="1"/>
  <c r="R59" i="31"/>
  <c r="X59" i="31" s="1"/>
  <c r="BC58" i="31"/>
  <c r="AZ58" i="31"/>
  <c r="AZ64" i="31" s="1"/>
  <c r="AW58" i="31"/>
  <c r="AW64" i="31" s="1"/>
  <c r="AS58" i="31"/>
  <c r="AR58" i="31"/>
  <c r="AH58" i="31"/>
  <c r="AB58" i="31"/>
  <c r="X58" i="31"/>
  <c r="R58" i="31"/>
  <c r="AQ57" i="31"/>
  <c r="AP57" i="31"/>
  <c r="AO57" i="31"/>
  <c r="AN57" i="31"/>
  <c r="AM57" i="31"/>
  <c r="AL57" i="31"/>
  <c r="AK57" i="31"/>
  <c r="AJ57" i="31"/>
  <c r="AG57" i="31"/>
  <c r="AF57" i="31"/>
  <c r="AA57" i="31"/>
  <c r="Z57" i="31"/>
  <c r="Y57" i="31"/>
  <c r="W57" i="31"/>
  <c r="V57" i="31"/>
  <c r="U57" i="31"/>
  <c r="T57" i="31"/>
  <c r="S57" i="31"/>
  <c r="BC56" i="31"/>
  <c r="BA56" i="31"/>
  <c r="AS56" i="31"/>
  <c r="AR56" i="31"/>
  <c r="AT56" i="31" s="1"/>
  <c r="AH56" i="31"/>
  <c r="AZ56" i="31" s="1"/>
  <c r="AB56" i="31"/>
  <c r="AW56" i="31" s="1"/>
  <c r="R56" i="31"/>
  <c r="X56" i="31" s="1"/>
  <c r="AE56" i="31" s="1"/>
  <c r="AY56" i="31" s="1"/>
  <c r="BC55" i="31"/>
  <c r="AZ55" i="31"/>
  <c r="AX55" i="31"/>
  <c r="AW55" i="31"/>
  <c r="AS55" i="31"/>
  <c r="AR55" i="31"/>
  <c r="AH55" i="31"/>
  <c r="AD55" i="31"/>
  <c r="AB55" i="31"/>
  <c r="X55" i="31"/>
  <c r="R55" i="31"/>
  <c r="BB54" i="31"/>
  <c r="AZ54" i="31"/>
  <c r="AT54" i="31"/>
  <c r="BA54" i="31" s="1"/>
  <c r="AS54" i="31"/>
  <c r="BC54" i="31" s="1"/>
  <c r="AR54" i="31"/>
  <c r="AH54" i="31"/>
  <c r="AB54" i="31"/>
  <c r="AW54" i="31" s="1"/>
  <c r="R54" i="31"/>
  <c r="X54" i="31" s="1"/>
  <c r="BC53" i="31"/>
  <c r="BB53" i="31"/>
  <c r="AS53" i="31"/>
  <c r="AR53" i="31"/>
  <c r="AH53" i="31"/>
  <c r="AB53" i="31"/>
  <c r="R53" i="31"/>
  <c r="X53" i="31" s="1"/>
  <c r="AR52" i="31"/>
  <c r="AQ52" i="31"/>
  <c r="AP52" i="31"/>
  <c r="AO52" i="31"/>
  <c r="AN52" i="31"/>
  <c r="AM52" i="31"/>
  <c r="AL52" i="31"/>
  <c r="AK52" i="31"/>
  <c r="AJ52" i="31"/>
  <c r="AG52" i="31"/>
  <c r="AF52" i="31"/>
  <c r="AA52" i="31"/>
  <c r="Z52" i="31"/>
  <c r="Y52" i="31"/>
  <c r="W52" i="31"/>
  <c r="V52" i="31"/>
  <c r="U52" i="31"/>
  <c r="T52" i="31"/>
  <c r="S52" i="31"/>
  <c r="BB51" i="31"/>
  <c r="AZ51" i="31"/>
  <c r="AV51" i="31"/>
  <c r="AS51" i="31"/>
  <c r="AR51" i="31"/>
  <c r="AH51" i="31"/>
  <c r="AD51" i="31"/>
  <c r="AX51" i="31" s="1"/>
  <c r="AB51" i="31"/>
  <c r="AW51" i="31" s="1"/>
  <c r="R51" i="31"/>
  <c r="X51" i="31" s="1"/>
  <c r="AC51" i="31" s="1"/>
  <c r="BC50" i="31"/>
  <c r="BB50" i="31"/>
  <c r="AW50" i="31"/>
  <c r="AS50" i="31"/>
  <c r="AR50" i="31"/>
  <c r="AT50" i="31" s="1"/>
  <c r="BA50" i="31" s="1"/>
  <c r="AH50" i="31"/>
  <c r="AZ50" i="31" s="1"/>
  <c r="AB50" i="31"/>
  <c r="R50" i="31"/>
  <c r="X50" i="31" s="1"/>
  <c r="BB49" i="31"/>
  <c r="AZ49" i="31"/>
  <c r="AZ52" i="31" s="1"/>
  <c r="AW49" i="31"/>
  <c r="AW52" i="31" s="1"/>
  <c r="AS49" i="31"/>
  <c r="AR49" i="31"/>
  <c r="AH49" i="31"/>
  <c r="AB49" i="31"/>
  <c r="AB52" i="31" s="1"/>
  <c r="R49" i="31"/>
  <c r="AS48" i="31"/>
  <c r="AQ48" i="31"/>
  <c r="AP48" i="31"/>
  <c r="AO48" i="31"/>
  <c r="AN48" i="31"/>
  <c r="AM48" i="31"/>
  <c r="AL48" i="31"/>
  <c r="AK48" i="31"/>
  <c r="AJ48" i="31"/>
  <c r="AG48" i="31"/>
  <c r="AF48" i="31"/>
  <c r="AA48" i="31"/>
  <c r="Z48" i="31"/>
  <c r="Y48" i="31"/>
  <c r="W48" i="31"/>
  <c r="V48" i="31"/>
  <c r="U48" i="31"/>
  <c r="T48" i="31"/>
  <c r="S48" i="31"/>
  <c r="BC47" i="31"/>
  <c r="AS47" i="31"/>
  <c r="AR47" i="31"/>
  <c r="AT47" i="31" s="1"/>
  <c r="BA47" i="31" s="1"/>
  <c r="AH47" i="31"/>
  <c r="AZ47" i="31" s="1"/>
  <c r="AB47" i="31"/>
  <c r="AW47" i="31" s="1"/>
  <c r="X47" i="31"/>
  <c r="R47" i="31"/>
  <c r="BC46" i="31"/>
  <c r="AZ46" i="31"/>
  <c r="AS46" i="31"/>
  <c r="AR46" i="31"/>
  <c r="AT46" i="31" s="1"/>
  <c r="BA46" i="31" s="1"/>
  <c r="AH46" i="31"/>
  <c r="AB46" i="31"/>
  <c r="AW46" i="31" s="1"/>
  <c r="X46" i="31"/>
  <c r="AE46" i="31" s="1"/>
  <c r="AY46" i="31" s="1"/>
  <c r="R46" i="31"/>
  <c r="BA45" i="31"/>
  <c r="AX45" i="31"/>
  <c r="AV45" i="31"/>
  <c r="AT45" i="31"/>
  <c r="AS45" i="31"/>
  <c r="BC45" i="31" s="1"/>
  <c r="AR45" i="31"/>
  <c r="BB45" i="31" s="1"/>
  <c r="AH45" i="31"/>
  <c r="AZ45" i="31" s="1"/>
  <c r="AE45" i="31"/>
  <c r="AY45" i="31" s="1"/>
  <c r="AB45" i="31"/>
  <c r="AW45" i="31" s="1"/>
  <c r="R45" i="31"/>
  <c r="X45" i="31" s="1"/>
  <c r="AD45" i="31" s="1"/>
  <c r="BC44" i="31"/>
  <c r="AV44" i="31"/>
  <c r="AS44" i="31"/>
  <c r="AR44" i="31"/>
  <c r="AH44" i="31"/>
  <c r="AE44" i="31"/>
  <c r="AB44" i="31"/>
  <c r="X44" i="31"/>
  <c r="R44" i="31"/>
  <c r="R48" i="31" s="1"/>
  <c r="AQ43" i="31"/>
  <c r="AP43" i="31"/>
  <c r="AO43" i="31"/>
  <c r="AN43" i="31"/>
  <c r="AM43" i="31"/>
  <c r="AL43" i="31"/>
  <c r="AK43" i="31"/>
  <c r="AJ43" i="31"/>
  <c r="AH43" i="31"/>
  <c r="AG43" i="31"/>
  <c r="AF43" i="31"/>
  <c r="AA43" i="31"/>
  <c r="Z43" i="31"/>
  <c r="Y43" i="31"/>
  <c r="W43" i="31"/>
  <c r="V43" i="31"/>
  <c r="U43" i="31"/>
  <c r="T43" i="31"/>
  <c r="S43" i="31"/>
  <c r="AZ42" i="31"/>
  <c r="AS42" i="31"/>
  <c r="BC42" i="31" s="1"/>
  <c r="AR42" i="31"/>
  <c r="AH42" i="31"/>
  <c r="AB42" i="31"/>
  <c r="AW42" i="31" s="1"/>
  <c r="R42" i="31"/>
  <c r="X42" i="31" s="1"/>
  <c r="AZ41" i="31"/>
  <c r="AZ43" i="31" s="1"/>
  <c r="AS41" i="31"/>
  <c r="AR41" i="31"/>
  <c r="AR43" i="31" s="1"/>
  <c r="AH41" i="31"/>
  <c r="AE41" i="31"/>
  <c r="AB41" i="31"/>
  <c r="AB43" i="31" s="1"/>
  <c r="X41" i="31"/>
  <c r="R41" i="31"/>
  <c r="AS40" i="31"/>
  <c r="AQ40" i="31"/>
  <c r="AP40" i="31"/>
  <c r="AO40" i="31"/>
  <c r="AN40" i="31"/>
  <c r="AM40" i="31"/>
  <c r="AL40" i="31"/>
  <c r="AK40" i="31"/>
  <c r="AJ40" i="31"/>
  <c r="AG40" i="31"/>
  <c r="AF40" i="31"/>
  <c r="AA40" i="31"/>
  <c r="Z40" i="31"/>
  <c r="Y40" i="31"/>
  <c r="W40" i="31"/>
  <c r="V40" i="31"/>
  <c r="U40" i="31"/>
  <c r="T40" i="31"/>
  <c r="S40" i="31"/>
  <c r="R40" i="31"/>
  <c r="AS39" i="31"/>
  <c r="AR39" i="31"/>
  <c r="AH39" i="31"/>
  <c r="AB39" i="31"/>
  <c r="R39" i="31"/>
  <c r="AQ38" i="31"/>
  <c r="AP38" i="31"/>
  <c r="AO38" i="31"/>
  <c r="AN38" i="31"/>
  <c r="AM38" i="31"/>
  <c r="AL38" i="31"/>
  <c r="AK38" i="31"/>
  <c r="AJ38" i="31"/>
  <c r="AG38" i="31"/>
  <c r="AF38" i="31"/>
  <c r="AA38" i="31"/>
  <c r="Z38" i="31"/>
  <c r="Y38" i="31"/>
  <c r="W38" i="31"/>
  <c r="V38" i="31"/>
  <c r="U38" i="31"/>
  <c r="T38" i="31"/>
  <c r="S38" i="31"/>
  <c r="BB37" i="31"/>
  <c r="AW37" i="31"/>
  <c r="AS37" i="31"/>
  <c r="BC37" i="31" s="1"/>
  <c r="AR37" i="31"/>
  <c r="AH37" i="31"/>
  <c r="AZ37" i="31" s="1"/>
  <c r="AB37" i="31"/>
  <c r="R37" i="31"/>
  <c r="X37" i="31" s="1"/>
  <c r="AX36" i="31"/>
  <c r="AS36" i="31"/>
  <c r="BC36" i="31" s="1"/>
  <c r="AR36" i="31"/>
  <c r="AT36" i="31" s="1"/>
  <c r="BA36" i="31" s="1"/>
  <c r="AH36" i="31"/>
  <c r="AZ36" i="31" s="1"/>
  <c r="AE36" i="31"/>
  <c r="AY36" i="31" s="1"/>
  <c r="AB36" i="31"/>
  <c r="AW36" i="31" s="1"/>
  <c r="R36" i="31"/>
  <c r="X36" i="31" s="1"/>
  <c r="AD36" i="31" s="1"/>
  <c r="BC35" i="31"/>
  <c r="AZ35" i="31"/>
  <c r="AW35" i="31"/>
  <c r="AW38" i="31" s="1"/>
  <c r="AS35" i="31"/>
  <c r="AR35" i="31"/>
  <c r="BB35" i="31" s="1"/>
  <c r="AH35" i="31"/>
  <c r="AB35" i="31"/>
  <c r="X35" i="31"/>
  <c r="R35" i="31"/>
  <c r="BC34" i="31"/>
  <c r="BB34" i="31"/>
  <c r="AW34" i="31"/>
  <c r="AT34" i="31"/>
  <c r="BA34" i="31" s="1"/>
  <c r="AS34" i="31"/>
  <c r="AR34" i="31"/>
  <c r="AH34" i="31"/>
  <c r="AZ34" i="31" s="1"/>
  <c r="AB34" i="31"/>
  <c r="R34" i="31"/>
  <c r="X34" i="31" s="1"/>
  <c r="BB33" i="31"/>
  <c r="AS33" i="31"/>
  <c r="AR33" i="31"/>
  <c r="AH33" i="31"/>
  <c r="AB33" i="31"/>
  <c r="AW33" i="31" s="1"/>
  <c r="R33" i="31"/>
  <c r="AR32" i="31"/>
  <c r="AQ32" i="31"/>
  <c r="AP32" i="31"/>
  <c r="AO32" i="31"/>
  <c r="AN32" i="31"/>
  <c r="AM32" i="31"/>
  <c r="AL32" i="31"/>
  <c r="AK32" i="31"/>
  <c r="AJ32" i="31"/>
  <c r="AG32" i="31"/>
  <c r="AF32" i="31"/>
  <c r="AA32" i="31"/>
  <c r="Z32" i="31"/>
  <c r="Y32" i="31"/>
  <c r="W32" i="31"/>
  <c r="V32" i="31"/>
  <c r="U32" i="31"/>
  <c r="T32" i="31"/>
  <c r="S32" i="31"/>
  <c r="BC31" i="31"/>
  <c r="BB31" i="31"/>
  <c r="AW31" i="31"/>
  <c r="AT31" i="31"/>
  <c r="BA31" i="31" s="1"/>
  <c r="AS31" i="31"/>
  <c r="AR31" i="31"/>
  <c r="AH31" i="31"/>
  <c r="AZ31" i="31" s="1"/>
  <c r="AC31" i="31"/>
  <c r="AB31" i="31"/>
  <c r="R31" i="31"/>
  <c r="X31" i="31" s="1"/>
  <c r="BB30" i="31"/>
  <c r="AS30" i="31"/>
  <c r="AR30" i="31"/>
  <c r="AH30" i="31"/>
  <c r="AB30" i="31"/>
  <c r="R30" i="31"/>
  <c r="BC29" i="31"/>
  <c r="AZ29" i="31"/>
  <c r="AS29" i="31"/>
  <c r="AR29" i="31"/>
  <c r="BB29" i="31" s="1"/>
  <c r="AH29" i="31"/>
  <c r="AE29" i="31"/>
  <c r="AY29" i="31" s="1"/>
  <c r="AB29" i="31"/>
  <c r="AW29" i="31" s="1"/>
  <c r="X29" i="31"/>
  <c r="AD29" i="31" s="1"/>
  <c r="AX29" i="31" s="1"/>
  <c r="R29" i="31"/>
  <c r="BB28" i="31"/>
  <c r="AZ28" i="31"/>
  <c r="AW28" i="31"/>
  <c r="AS28" i="31"/>
  <c r="AR28" i="31"/>
  <c r="AH28" i="31"/>
  <c r="AB28" i="31"/>
  <c r="R28" i="31"/>
  <c r="X28" i="31" s="1"/>
  <c r="BC27" i="31"/>
  <c r="AS27" i="31"/>
  <c r="AR27" i="31"/>
  <c r="BB27" i="31" s="1"/>
  <c r="AH27" i="31"/>
  <c r="AZ27" i="31" s="1"/>
  <c r="AB27" i="31"/>
  <c r="AW27" i="31" s="1"/>
  <c r="R27" i="31"/>
  <c r="X27" i="31" s="1"/>
  <c r="AE27" i="31" s="1"/>
  <c r="AY27" i="31" s="1"/>
  <c r="BC26" i="31"/>
  <c r="AZ26" i="31"/>
  <c r="AY26" i="31"/>
  <c r="AT26" i="31"/>
  <c r="AS26" i="31"/>
  <c r="AR26" i="31"/>
  <c r="AH26" i="31"/>
  <c r="AE26" i="31"/>
  <c r="AD26" i="31"/>
  <c r="AB26" i="31"/>
  <c r="X26" i="31"/>
  <c r="R26" i="31"/>
  <c r="AQ25" i="31"/>
  <c r="AP25" i="31"/>
  <c r="AO25" i="31"/>
  <c r="AN25" i="31"/>
  <c r="AM25" i="31"/>
  <c r="AL25" i="31"/>
  <c r="AK25" i="31"/>
  <c r="AJ25" i="31"/>
  <c r="AH25" i="31"/>
  <c r="AG25" i="31"/>
  <c r="AF25" i="31"/>
  <c r="AA25" i="31"/>
  <c r="Z25" i="31"/>
  <c r="Y25" i="31"/>
  <c r="W25" i="31"/>
  <c r="V25" i="31"/>
  <c r="U25" i="31"/>
  <c r="T25" i="31"/>
  <c r="S25" i="31"/>
  <c r="AS24" i="31"/>
  <c r="AS87" i="31" s="1"/>
  <c r="AR24" i="31"/>
  <c r="BB24" i="31" s="1"/>
  <c r="AH24" i="31"/>
  <c r="AB24" i="31"/>
  <c r="R24" i="31"/>
  <c r="R25" i="31" s="1"/>
  <c r="AQ23" i="31"/>
  <c r="AP23" i="31"/>
  <c r="AO23" i="31"/>
  <c r="AN23" i="31"/>
  <c r="AM23" i="31"/>
  <c r="AL23" i="31"/>
  <c r="AK23" i="31"/>
  <c r="AJ23" i="31"/>
  <c r="AG23" i="31"/>
  <c r="AF23" i="31"/>
  <c r="AA23" i="31"/>
  <c r="Z23" i="31"/>
  <c r="Y23" i="31"/>
  <c r="W23" i="31"/>
  <c r="V23" i="31"/>
  <c r="U23" i="31"/>
  <c r="T23" i="31"/>
  <c r="S23" i="31"/>
  <c r="BC22" i="31"/>
  <c r="BB22" i="31"/>
  <c r="AW22" i="31"/>
  <c r="AV22" i="31"/>
  <c r="AT22" i="31"/>
  <c r="BA22" i="31" s="1"/>
  <c r="AS22" i="31"/>
  <c r="AR22" i="31"/>
  <c r="AH22" i="31"/>
  <c r="AZ22" i="31" s="1"/>
  <c r="AB22" i="31"/>
  <c r="R22" i="31"/>
  <c r="X22" i="31" s="1"/>
  <c r="AD22" i="31" s="1"/>
  <c r="AX22" i="31" s="1"/>
  <c r="AV21" i="31"/>
  <c r="AS21" i="31"/>
  <c r="BC21" i="31" s="1"/>
  <c r="AR21" i="31"/>
  <c r="AT21" i="31" s="1"/>
  <c r="BA21" i="31" s="1"/>
  <c r="AH21" i="31"/>
  <c r="AZ21" i="31" s="1"/>
  <c r="AB21" i="31"/>
  <c r="AW21" i="31" s="1"/>
  <c r="R21" i="31"/>
  <c r="X21" i="31" s="1"/>
  <c r="BC20" i="31"/>
  <c r="BC23" i="31" s="1"/>
  <c r="AZ20" i="31"/>
  <c r="AZ23" i="31" s="1"/>
  <c r="AS20" i="31"/>
  <c r="AS23" i="31" s="1"/>
  <c r="AR20" i="31"/>
  <c r="BB20" i="31" s="1"/>
  <c r="AH20" i="31"/>
  <c r="AB20" i="31"/>
  <c r="AW20" i="31" s="1"/>
  <c r="AW23" i="31" s="1"/>
  <c r="R20" i="31"/>
  <c r="X20" i="31" s="1"/>
  <c r="AD20" i="31" s="1"/>
  <c r="AQ19" i="31"/>
  <c r="AP19" i="31"/>
  <c r="AO19" i="31"/>
  <c r="AN19" i="31"/>
  <c r="AM19" i="31"/>
  <c r="AL19" i="31"/>
  <c r="AK19" i="31"/>
  <c r="AJ19" i="31"/>
  <c r="AG19" i="31"/>
  <c r="AF19" i="31"/>
  <c r="AB19" i="31"/>
  <c r="AA19" i="31"/>
  <c r="Z19" i="31"/>
  <c r="Y19" i="31"/>
  <c r="W19" i="31"/>
  <c r="V19" i="31"/>
  <c r="U19" i="31"/>
  <c r="T19" i="31"/>
  <c r="S19" i="31"/>
  <c r="AS18" i="31"/>
  <c r="BC18" i="31" s="1"/>
  <c r="AR18" i="31"/>
  <c r="AT18" i="31" s="1"/>
  <c r="BA18" i="31" s="1"/>
  <c r="AH18" i="31"/>
  <c r="AZ18" i="31" s="1"/>
  <c r="AB18" i="31"/>
  <c r="AW18" i="31" s="1"/>
  <c r="R18" i="31"/>
  <c r="X18" i="31" s="1"/>
  <c r="BC17" i="31"/>
  <c r="AZ17" i="31"/>
  <c r="AT17" i="31"/>
  <c r="BA17" i="31" s="1"/>
  <c r="AS17" i="31"/>
  <c r="AR17" i="31"/>
  <c r="BB17" i="31" s="1"/>
  <c r="AH17" i="31"/>
  <c r="AB17" i="31"/>
  <c r="AW17" i="31" s="1"/>
  <c r="R17" i="31"/>
  <c r="X17" i="31" s="1"/>
  <c r="AD17" i="31" s="1"/>
  <c r="AX17" i="31" s="1"/>
  <c r="BC16" i="31"/>
  <c r="BC19" i="31" s="1"/>
  <c r="BB16" i="31"/>
  <c r="AW16" i="31"/>
  <c r="AT16" i="31"/>
  <c r="BA16" i="31" s="1"/>
  <c r="BA19" i="31" s="1"/>
  <c r="AS16" i="31"/>
  <c r="AS19" i="31" s="1"/>
  <c r="AR16" i="31"/>
  <c r="AR19" i="31" s="1"/>
  <c r="AH16" i="31"/>
  <c r="AZ16" i="31" s="1"/>
  <c r="AZ19" i="31" s="1"/>
  <c r="AB16" i="31"/>
  <c r="R16" i="31"/>
  <c r="X16" i="31" s="1"/>
  <c r="AQ15" i="31"/>
  <c r="AP15" i="31"/>
  <c r="AP74" i="31" s="1"/>
  <c r="AO15" i="31"/>
  <c r="AN15" i="31"/>
  <c r="AM15" i="31"/>
  <c r="AM74" i="31" s="1"/>
  <c r="AL15" i="31"/>
  <c r="AK15" i="31"/>
  <c r="AJ15" i="31"/>
  <c r="AJ74" i="31" s="1"/>
  <c r="AG15" i="31"/>
  <c r="AG74" i="31" s="1"/>
  <c r="AF15" i="31"/>
  <c r="AF74" i="31" s="1"/>
  <c r="AH75" i="31" s="1"/>
  <c r="AA15" i="31"/>
  <c r="Z15" i="31"/>
  <c r="Z74" i="31" s="1"/>
  <c r="Y15" i="31"/>
  <c r="W15" i="31"/>
  <c r="V15" i="31"/>
  <c r="U15" i="31"/>
  <c r="T15" i="31"/>
  <c r="S15" i="31"/>
  <c r="BC14" i="31"/>
  <c r="AZ14" i="31"/>
  <c r="AT14" i="31"/>
  <c r="AS14" i="31"/>
  <c r="AR14" i="31"/>
  <c r="AH14" i="31"/>
  <c r="AB14" i="31"/>
  <c r="R14" i="31"/>
  <c r="BC13" i="31"/>
  <c r="BB13" i="31"/>
  <c r="AZ13" i="31"/>
  <c r="AW13" i="31"/>
  <c r="AT13" i="31"/>
  <c r="BA13" i="31" s="1"/>
  <c r="AS13" i="31"/>
  <c r="AR13" i="31"/>
  <c r="AH13" i="31"/>
  <c r="AB13" i="31"/>
  <c r="X13" i="31"/>
  <c r="R13" i="31"/>
  <c r="BB12" i="31"/>
  <c r="AS12" i="31"/>
  <c r="AR12" i="31"/>
  <c r="AH12" i="31"/>
  <c r="AB12" i="31"/>
  <c r="R12" i="31"/>
  <c r="R15" i="31" s="1"/>
  <c r="AT133" i="30"/>
  <c r="AS133" i="30"/>
  <c r="AR133" i="30"/>
  <c r="AT132" i="30"/>
  <c r="AS132" i="30"/>
  <c r="AR132" i="30"/>
  <c r="AQ113" i="30"/>
  <c r="AP113" i="30"/>
  <c r="AO113" i="30"/>
  <c r="AN113" i="30"/>
  <c r="AM113" i="30"/>
  <c r="AL113" i="30"/>
  <c r="AK113" i="30"/>
  <c r="AJ113" i="30"/>
  <c r="AG113" i="30"/>
  <c r="AF113" i="30"/>
  <c r="AA113" i="30"/>
  <c r="Z113" i="30"/>
  <c r="Y113" i="30"/>
  <c r="W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Q112" i="30"/>
  <c r="AP112" i="30"/>
  <c r="AO112" i="30"/>
  <c r="AN112" i="30"/>
  <c r="AM112" i="30"/>
  <c r="AL112" i="30"/>
  <c r="AK112" i="30"/>
  <c r="AJ112" i="30"/>
  <c r="AG112" i="30"/>
  <c r="AF112" i="30"/>
  <c r="AA112" i="30"/>
  <c r="Z112" i="30"/>
  <c r="Y112" i="30"/>
  <c r="W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Q111" i="30"/>
  <c r="AP111" i="30"/>
  <c r="AO111" i="30"/>
  <c r="AN111" i="30"/>
  <c r="AM111" i="30"/>
  <c r="AL111" i="30"/>
  <c r="AK111" i="30"/>
  <c r="AJ111" i="30"/>
  <c r="AG111" i="30"/>
  <c r="AF111" i="30"/>
  <c r="AA111" i="30"/>
  <c r="Z111" i="30"/>
  <c r="Y111" i="30"/>
  <c r="W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Q110" i="30"/>
  <c r="AP110" i="30"/>
  <c r="AO110" i="30"/>
  <c r="AN110" i="30"/>
  <c r="AM110" i="30"/>
  <c r="AL110" i="30"/>
  <c r="AK110" i="30"/>
  <c r="AJ110" i="30"/>
  <c r="AG110" i="30"/>
  <c r="AF110" i="30"/>
  <c r="AA110" i="30"/>
  <c r="Z110" i="30"/>
  <c r="Y110" i="30"/>
  <c r="W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N103" i="30" s="1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M103" i="30" s="1"/>
  <c r="AL108" i="30"/>
  <c r="AK108" i="30"/>
  <c r="AJ108" i="30"/>
  <c r="AI108" i="30"/>
  <c r="AH108" i="30"/>
  <c r="AG108" i="30"/>
  <c r="AG103" i="30" s="1"/>
  <c r="AF108" i="30"/>
  <c r="AE108" i="30"/>
  <c r="AD108" i="30"/>
  <c r="AC108" i="30"/>
  <c r="AB108" i="30"/>
  <c r="AA108" i="30"/>
  <c r="AA103" i="30" s="1"/>
  <c r="Z108" i="30"/>
  <c r="Y108" i="30"/>
  <c r="X108" i="30"/>
  <c r="W108" i="30"/>
  <c r="V108" i="30"/>
  <c r="U108" i="30"/>
  <c r="U103" i="30" s="1"/>
  <c r="T108" i="30"/>
  <c r="S108" i="30"/>
  <c r="R108" i="30"/>
  <c r="Q108" i="30"/>
  <c r="P108" i="30"/>
  <c r="O108" i="30"/>
  <c r="O103" i="30" s="1"/>
  <c r="N108" i="30"/>
  <c r="M108" i="30"/>
  <c r="L108" i="30"/>
  <c r="K108" i="30"/>
  <c r="J108" i="30"/>
  <c r="I108" i="30"/>
  <c r="I103" i="30" s="1"/>
  <c r="AQ107" i="30"/>
  <c r="AP107" i="30"/>
  <c r="AO107" i="30"/>
  <c r="AN107" i="30"/>
  <c r="AM107" i="30"/>
  <c r="AL107" i="30"/>
  <c r="AL103" i="30" s="1"/>
  <c r="AK107" i="30"/>
  <c r="AJ107" i="30"/>
  <c r="AG107" i="30"/>
  <c r="AF107" i="30"/>
  <c r="AA107" i="30"/>
  <c r="Z107" i="30"/>
  <c r="Y107" i="30"/>
  <c r="W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Q103" i="30" s="1"/>
  <c r="AP106" i="30"/>
  <c r="AO106" i="30"/>
  <c r="AN106" i="30"/>
  <c r="AM106" i="30"/>
  <c r="AL106" i="30"/>
  <c r="AK106" i="30"/>
  <c r="AK103" i="30" s="1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Y103" i="30" s="1"/>
  <c r="X106" i="30"/>
  <c r="W106" i="30"/>
  <c r="V106" i="30"/>
  <c r="U106" i="30"/>
  <c r="T106" i="30"/>
  <c r="S106" i="30"/>
  <c r="S103" i="30" s="1"/>
  <c r="R106" i="30"/>
  <c r="Q106" i="30"/>
  <c r="P106" i="30"/>
  <c r="O106" i="30"/>
  <c r="N106" i="30"/>
  <c r="M106" i="30"/>
  <c r="M103" i="30" s="1"/>
  <c r="L106" i="30"/>
  <c r="K106" i="30"/>
  <c r="J106" i="30"/>
  <c r="I106" i="30"/>
  <c r="AQ105" i="30"/>
  <c r="AP105" i="30"/>
  <c r="AP103" i="30" s="1"/>
  <c r="AO105" i="30"/>
  <c r="AN105" i="30"/>
  <c r="AM105" i="30"/>
  <c r="AL105" i="30"/>
  <c r="AK105" i="30"/>
  <c r="AJ105" i="30"/>
  <c r="AJ103" i="30" s="1"/>
  <c r="AG105" i="30"/>
  <c r="AF105" i="30"/>
  <c r="AA105" i="30"/>
  <c r="Z105" i="30"/>
  <c r="Y105" i="30"/>
  <c r="W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Q104" i="30"/>
  <c r="AP104" i="30"/>
  <c r="AO104" i="30"/>
  <c r="AN104" i="30"/>
  <c r="AM104" i="30"/>
  <c r="AL104" i="30"/>
  <c r="AK104" i="30"/>
  <c r="AJ104" i="30"/>
  <c r="AG104" i="30"/>
  <c r="AF104" i="30"/>
  <c r="AA104" i="30"/>
  <c r="Z104" i="30"/>
  <c r="Y104" i="30"/>
  <c r="W104" i="30"/>
  <c r="W103" i="30" s="1"/>
  <c r="V104" i="30"/>
  <c r="U104" i="30"/>
  <c r="T104" i="30"/>
  <c r="T103" i="30" s="1"/>
  <c r="S104" i="30"/>
  <c r="Q104" i="30"/>
  <c r="P104" i="30"/>
  <c r="P103" i="30" s="1"/>
  <c r="O104" i="30"/>
  <c r="N104" i="30"/>
  <c r="N103" i="30" s="1"/>
  <c r="M104" i="30"/>
  <c r="L104" i="30"/>
  <c r="K104" i="30"/>
  <c r="J104" i="30"/>
  <c r="J103" i="30" s="1"/>
  <c r="I104" i="30"/>
  <c r="V103" i="30"/>
  <c r="L103" i="30"/>
  <c r="Q100" i="30"/>
  <c r="P100" i="30"/>
  <c r="O100" i="30"/>
  <c r="N100" i="30"/>
  <c r="M100" i="30"/>
  <c r="L100" i="30"/>
  <c r="K100" i="30"/>
  <c r="J100" i="30"/>
  <c r="I100" i="30"/>
  <c r="AQ99" i="30"/>
  <c r="AP99" i="30"/>
  <c r="AO99" i="30"/>
  <c r="AN99" i="30"/>
  <c r="AM99" i="30"/>
  <c r="AL99" i="30"/>
  <c r="AK99" i="30"/>
  <c r="AJ99" i="30"/>
  <c r="AG99" i="30"/>
  <c r="AF99" i="30"/>
  <c r="AB99" i="30"/>
  <c r="AA99" i="30"/>
  <c r="Z99" i="30"/>
  <c r="Y99" i="30"/>
  <c r="W99" i="30"/>
  <c r="V99" i="30"/>
  <c r="U99" i="30"/>
  <c r="T99" i="30"/>
  <c r="S99" i="30"/>
  <c r="AX98" i="30"/>
  <c r="AV98" i="30"/>
  <c r="AS98" i="30"/>
  <c r="BC98" i="30" s="1"/>
  <c r="AR98" i="30"/>
  <c r="AH98" i="30"/>
  <c r="AZ98" i="30" s="1"/>
  <c r="AE98" i="30"/>
  <c r="AY98" i="30" s="1"/>
  <c r="AC98" i="30"/>
  <c r="AB98" i="30"/>
  <c r="AW98" i="30" s="1"/>
  <c r="R98" i="30"/>
  <c r="X98" i="30" s="1"/>
  <c r="AD98" i="30" s="1"/>
  <c r="BC97" i="30"/>
  <c r="AZ97" i="30"/>
  <c r="AT97" i="30"/>
  <c r="BA97" i="30" s="1"/>
  <c r="AS97" i="30"/>
  <c r="AR97" i="30"/>
  <c r="BB97" i="30" s="1"/>
  <c r="AH97" i="30"/>
  <c r="AD97" i="30"/>
  <c r="AX97" i="30" s="1"/>
  <c r="AB97" i="30"/>
  <c r="AW97" i="30" s="1"/>
  <c r="X97" i="30"/>
  <c r="R97" i="30"/>
  <c r="BC96" i="30"/>
  <c r="BB96" i="30"/>
  <c r="AW96" i="30"/>
  <c r="AT96" i="30"/>
  <c r="BA96" i="30" s="1"/>
  <c r="AS96" i="30"/>
  <c r="AR96" i="30"/>
  <c r="AH96" i="30"/>
  <c r="AB96" i="30"/>
  <c r="X96" i="30"/>
  <c r="R96" i="30"/>
  <c r="BB95" i="30"/>
  <c r="AS95" i="30"/>
  <c r="BC95" i="30" s="1"/>
  <c r="AR95" i="30"/>
  <c r="AH95" i="30"/>
  <c r="AZ95" i="30" s="1"/>
  <c r="AC95" i="30"/>
  <c r="AB95" i="30"/>
  <c r="AW95" i="30" s="1"/>
  <c r="R95" i="30"/>
  <c r="X95" i="30" s="1"/>
  <c r="BC94" i="30"/>
  <c r="AZ94" i="30"/>
  <c r="AX94" i="30"/>
  <c r="AW94" i="30"/>
  <c r="AW99" i="30" s="1"/>
  <c r="AT94" i="30"/>
  <c r="BA94" i="30" s="1"/>
  <c r="AS94" i="30"/>
  <c r="AR94" i="30"/>
  <c r="BB94" i="30" s="1"/>
  <c r="AH94" i="30"/>
  <c r="AE94" i="30"/>
  <c r="AY94" i="30" s="1"/>
  <c r="AD94" i="30"/>
  <c r="AB94" i="30"/>
  <c r="X94" i="30"/>
  <c r="R94" i="30"/>
  <c r="BB93" i="30"/>
  <c r="AZ93" i="30"/>
  <c r="AW93" i="30"/>
  <c r="AV93" i="30"/>
  <c r="AS93" i="30"/>
  <c r="AR93" i="30"/>
  <c r="AH93" i="30"/>
  <c r="AD93" i="30"/>
  <c r="AB93" i="30"/>
  <c r="X93" i="30"/>
  <c r="AE93" i="30" s="1"/>
  <c r="R93" i="30"/>
  <c r="R99" i="30" s="1"/>
  <c r="AQ92" i="30"/>
  <c r="AP92" i="30"/>
  <c r="AO92" i="30"/>
  <c r="AN92" i="30"/>
  <c r="AM92" i="30"/>
  <c r="AL92" i="30"/>
  <c r="AK92" i="30"/>
  <c r="AJ92" i="30"/>
  <c r="AG92" i="30"/>
  <c r="AF92" i="30"/>
  <c r="AA92" i="30"/>
  <c r="Z92" i="30"/>
  <c r="Y92" i="30"/>
  <c r="W92" i="30"/>
  <c r="V92" i="30"/>
  <c r="U92" i="30"/>
  <c r="T92" i="30"/>
  <c r="S92" i="30"/>
  <c r="BC91" i="30"/>
  <c r="AZ91" i="30"/>
  <c r="AS91" i="30"/>
  <c r="AR91" i="30"/>
  <c r="BB91" i="30" s="1"/>
  <c r="AH91" i="30"/>
  <c r="AD91" i="30"/>
  <c r="AX91" i="30" s="1"/>
  <c r="AB91" i="30"/>
  <c r="AW91" i="30" s="1"/>
  <c r="X91" i="30"/>
  <c r="R91" i="30"/>
  <c r="AZ90" i="30"/>
  <c r="AS90" i="30"/>
  <c r="BC90" i="30" s="1"/>
  <c r="AR90" i="30"/>
  <c r="BB90" i="30" s="1"/>
  <c r="AH90" i="30"/>
  <c r="AB90" i="30"/>
  <c r="AW90" i="30" s="1"/>
  <c r="R90" i="30"/>
  <c r="X90" i="30" s="1"/>
  <c r="BB89" i="30"/>
  <c r="AS89" i="30"/>
  <c r="BC89" i="30" s="1"/>
  <c r="AR89" i="30"/>
  <c r="AT89" i="30" s="1"/>
  <c r="BA89" i="30" s="1"/>
  <c r="AH89" i="30"/>
  <c r="AZ89" i="30" s="1"/>
  <c r="AE89" i="30"/>
  <c r="AY89" i="30" s="1"/>
  <c r="AB89" i="30"/>
  <c r="AW89" i="30" s="1"/>
  <c r="R89" i="30"/>
  <c r="X89" i="30" s="1"/>
  <c r="AC89" i="30" s="1"/>
  <c r="BC88" i="30"/>
  <c r="BB88" i="30"/>
  <c r="BA88" i="30"/>
  <c r="AW88" i="30"/>
  <c r="AT88" i="30"/>
  <c r="AS88" i="30"/>
  <c r="AR88" i="30"/>
  <c r="AH88" i="30"/>
  <c r="AZ88" i="30" s="1"/>
  <c r="AB88" i="30"/>
  <c r="R88" i="30"/>
  <c r="X88" i="30" s="1"/>
  <c r="AE88" i="30" s="1"/>
  <c r="AY88" i="30" s="1"/>
  <c r="BB87" i="30"/>
  <c r="AW87" i="30"/>
  <c r="AV87" i="30"/>
  <c r="AS87" i="30"/>
  <c r="AR87" i="30"/>
  <c r="AH87" i="30"/>
  <c r="AZ87" i="30" s="1"/>
  <c r="AD87" i="30"/>
  <c r="AX87" i="30" s="1"/>
  <c r="AC87" i="30"/>
  <c r="AI87" i="30" s="1"/>
  <c r="AU87" i="30" s="1"/>
  <c r="AB87" i="30"/>
  <c r="X87" i="30"/>
  <c r="AE87" i="30" s="1"/>
  <c r="AY87" i="30" s="1"/>
  <c r="R87" i="30"/>
  <c r="AZ86" i="30"/>
  <c r="AZ92" i="30" s="1"/>
  <c r="AS86" i="30"/>
  <c r="AR86" i="30"/>
  <c r="AH86" i="30"/>
  <c r="AB86" i="30"/>
  <c r="R86" i="30"/>
  <c r="AQ85" i="30"/>
  <c r="AP85" i="30"/>
  <c r="AO85" i="30"/>
  <c r="AN85" i="30"/>
  <c r="AM85" i="30"/>
  <c r="AL85" i="30"/>
  <c r="AK85" i="30"/>
  <c r="AJ85" i="30"/>
  <c r="AG85" i="30"/>
  <c r="AF85" i="30"/>
  <c r="AB85" i="30"/>
  <c r="AA85" i="30"/>
  <c r="Z85" i="30"/>
  <c r="Y85" i="30"/>
  <c r="W85" i="30"/>
  <c r="V85" i="30"/>
  <c r="U85" i="30"/>
  <c r="T85" i="30"/>
  <c r="S85" i="30"/>
  <c r="BB84" i="30"/>
  <c r="AT84" i="30"/>
  <c r="BA84" i="30" s="1"/>
  <c r="AS84" i="30"/>
  <c r="BC84" i="30" s="1"/>
  <c r="AR84" i="30"/>
  <c r="AH84" i="30"/>
  <c r="AH85" i="30" s="1"/>
  <c r="AB84" i="30"/>
  <c r="AW84" i="30" s="1"/>
  <c r="R84" i="30"/>
  <c r="X84" i="30" s="1"/>
  <c r="AD84" i="30" s="1"/>
  <c r="AX84" i="30" s="1"/>
  <c r="BC83" i="30"/>
  <c r="AV83" i="30"/>
  <c r="AS83" i="30"/>
  <c r="AR83" i="30"/>
  <c r="AR85" i="30" s="1"/>
  <c r="AH83" i="30"/>
  <c r="AZ83" i="30" s="1"/>
  <c r="AE83" i="30"/>
  <c r="AY83" i="30" s="1"/>
  <c r="AB83" i="30"/>
  <c r="AW83" i="30" s="1"/>
  <c r="R83" i="30"/>
  <c r="X83" i="30" s="1"/>
  <c r="AZ82" i="30"/>
  <c r="AX82" i="30"/>
  <c r="AT82" i="30"/>
  <c r="AS82" i="30"/>
  <c r="BC82" i="30" s="1"/>
  <c r="BC85" i="30" s="1"/>
  <c r="AR82" i="30"/>
  <c r="BB82" i="30" s="1"/>
  <c r="AH82" i="30"/>
  <c r="AD82" i="30"/>
  <c r="AC82" i="30"/>
  <c r="AB82" i="30"/>
  <c r="AW82" i="30" s="1"/>
  <c r="AW85" i="30" s="1"/>
  <c r="X82" i="30"/>
  <c r="R82" i="30"/>
  <c r="R85" i="30" s="1"/>
  <c r="AQ81" i="30"/>
  <c r="AP81" i="30"/>
  <c r="AO81" i="30"/>
  <c r="AN81" i="30"/>
  <c r="AM81" i="30"/>
  <c r="AL81" i="30"/>
  <c r="AK81" i="30"/>
  <c r="AJ81" i="30"/>
  <c r="AH81" i="30"/>
  <c r="AG81" i="30"/>
  <c r="AF81" i="30"/>
  <c r="AA81" i="30"/>
  <c r="Z81" i="30"/>
  <c r="Y81" i="30"/>
  <c r="W81" i="30"/>
  <c r="V81" i="30"/>
  <c r="U81" i="30"/>
  <c r="T81" i="30"/>
  <c r="S81" i="30"/>
  <c r="BC80" i="30"/>
  <c r="AV80" i="30"/>
  <c r="AS80" i="30"/>
  <c r="AR80" i="30"/>
  <c r="AH80" i="30"/>
  <c r="AZ80" i="30" s="1"/>
  <c r="AB80" i="30"/>
  <c r="AW80" i="30" s="1"/>
  <c r="R80" i="30"/>
  <c r="X80" i="30" s="1"/>
  <c r="AE80" i="30" s="1"/>
  <c r="AY80" i="30" s="1"/>
  <c r="AZ79" i="30"/>
  <c r="AS79" i="30"/>
  <c r="AR79" i="30"/>
  <c r="BB79" i="30" s="1"/>
  <c r="AH79" i="30"/>
  <c r="AC79" i="30"/>
  <c r="AB79" i="30"/>
  <c r="AW79" i="30" s="1"/>
  <c r="X79" i="30"/>
  <c r="AD79" i="30" s="1"/>
  <c r="AX79" i="30" s="1"/>
  <c r="R79" i="30"/>
  <c r="BB78" i="30"/>
  <c r="AT78" i="30"/>
  <c r="BA78" i="30" s="1"/>
  <c r="AS78" i="30"/>
  <c r="BC78" i="30" s="1"/>
  <c r="AR78" i="30"/>
  <c r="AH78" i="30"/>
  <c r="AZ78" i="30" s="1"/>
  <c r="AZ81" i="30" s="1"/>
  <c r="AD78" i="30"/>
  <c r="AX78" i="30" s="1"/>
  <c r="AB78" i="30"/>
  <c r="AW78" i="30" s="1"/>
  <c r="R78" i="30"/>
  <c r="X78" i="30" s="1"/>
  <c r="BC77" i="30"/>
  <c r="AS77" i="30"/>
  <c r="AR77" i="30"/>
  <c r="AH77" i="30"/>
  <c r="AZ77" i="30" s="1"/>
  <c r="AB77" i="30"/>
  <c r="AW77" i="30" s="1"/>
  <c r="R77" i="30"/>
  <c r="AZ76" i="30"/>
  <c r="AX76" i="30"/>
  <c r="AT76" i="30"/>
  <c r="BA76" i="30" s="1"/>
  <c r="AS76" i="30"/>
  <c r="AR76" i="30"/>
  <c r="AH76" i="30"/>
  <c r="AD76" i="30"/>
  <c r="AC76" i="30"/>
  <c r="AB76" i="30"/>
  <c r="AW76" i="30" s="1"/>
  <c r="X76" i="30"/>
  <c r="R76" i="30"/>
  <c r="AQ75" i="30"/>
  <c r="AP75" i="30"/>
  <c r="AO75" i="30"/>
  <c r="AN75" i="30"/>
  <c r="AM75" i="30"/>
  <c r="AL75" i="30"/>
  <c r="AK75" i="30"/>
  <c r="AJ75" i="30"/>
  <c r="AH75" i="30"/>
  <c r="AG75" i="30"/>
  <c r="AF75" i="30"/>
  <c r="AA75" i="30"/>
  <c r="Z75" i="30"/>
  <c r="Y75" i="30"/>
  <c r="W75" i="30"/>
  <c r="V75" i="30"/>
  <c r="U75" i="30"/>
  <c r="T75" i="30"/>
  <c r="S75" i="30"/>
  <c r="BC74" i="30"/>
  <c r="AS74" i="30"/>
  <c r="AR74" i="30"/>
  <c r="AH74" i="30"/>
  <c r="AZ74" i="30" s="1"/>
  <c r="AE74" i="30"/>
  <c r="AY74" i="30" s="1"/>
  <c r="AB74" i="30"/>
  <c r="AW74" i="30" s="1"/>
  <c r="R74" i="30"/>
  <c r="X74" i="30" s="1"/>
  <c r="AS73" i="30"/>
  <c r="AR73" i="30"/>
  <c r="BB73" i="30" s="1"/>
  <c r="AH73" i="30"/>
  <c r="AZ73" i="30" s="1"/>
  <c r="AZ75" i="30" s="1"/>
  <c r="AB73" i="30"/>
  <c r="AW73" i="30" s="1"/>
  <c r="R73" i="30"/>
  <c r="X73" i="30" s="1"/>
  <c r="AZ72" i="30"/>
  <c r="AS72" i="30"/>
  <c r="AR72" i="30"/>
  <c r="AH72" i="30"/>
  <c r="AB72" i="30"/>
  <c r="R72" i="30"/>
  <c r="X72" i="30" s="1"/>
  <c r="AE72" i="30" s="1"/>
  <c r="AY72" i="30" s="1"/>
  <c r="AW71" i="30"/>
  <c r="AQ71" i="30"/>
  <c r="AP71" i="30"/>
  <c r="AO71" i="30"/>
  <c r="AN71" i="30"/>
  <c r="AM71" i="30"/>
  <c r="AL71" i="30"/>
  <c r="AK71" i="30"/>
  <c r="AJ71" i="30"/>
  <c r="AG71" i="30"/>
  <c r="AF71" i="30"/>
  <c r="AB71" i="30"/>
  <c r="AA71" i="30"/>
  <c r="Z71" i="30"/>
  <c r="Y71" i="30"/>
  <c r="W71" i="30"/>
  <c r="V71" i="30"/>
  <c r="U71" i="30"/>
  <c r="T71" i="30"/>
  <c r="S71" i="30"/>
  <c r="BB70" i="30"/>
  <c r="AW70" i="30"/>
  <c r="AT70" i="30"/>
  <c r="BA70" i="30" s="1"/>
  <c r="AS70" i="30"/>
  <c r="BC70" i="30" s="1"/>
  <c r="AR70" i="30"/>
  <c r="AH70" i="30"/>
  <c r="AZ70" i="30" s="1"/>
  <c r="AB70" i="30"/>
  <c r="R70" i="30"/>
  <c r="X70" i="30" s="1"/>
  <c r="BB69" i="30"/>
  <c r="AZ69" i="30"/>
  <c r="AV69" i="30"/>
  <c r="AS69" i="30"/>
  <c r="BC69" i="30" s="1"/>
  <c r="AR69" i="30"/>
  <c r="AT69" i="30" s="1"/>
  <c r="BA69" i="30" s="1"/>
  <c r="AH69" i="30"/>
  <c r="AE69" i="30"/>
  <c r="AY69" i="30" s="1"/>
  <c r="AD69" i="30"/>
  <c r="AX69" i="30" s="1"/>
  <c r="AB69" i="30"/>
  <c r="AW69" i="30" s="1"/>
  <c r="R69" i="30"/>
  <c r="X69" i="30" s="1"/>
  <c r="AC69" i="30" s="1"/>
  <c r="BC68" i="30"/>
  <c r="AZ68" i="30"/>
  <c r="AW68" i="30"/>
  <c r="AS68" i="30"/>
  <c r="AR68" i="30"/>
  <c r="BB68" i="30" s="1"/>
  <c r="AH68" i="30"/>
  <c r="AB68" i="30"/>
  <c r="X68" i="30"/>
  <c r="AD68" i="30" s="1"/>
  <c r="AX68" i="30" s="1"/>
  <c r="R68" i="30"/>
  <c r="BB67" i="30"/>
  <c r="AZ67" i="30"/>
  <c r="AS67" i="30"/>
  <c r="AR67" i="30"/>
  <c r="AH67" i="30"/>
  <c r="AB67" i="30"/>
  <c r="AW67" i="30" s="1"/>
  <c r="R67" i="30"/>
  <c r="X67" i="30" s="1"/>
  <c r="AZ66" i="30"/>
  <c r="AS66" i="30"/>
  <c r="AR66" i="30"/>
  <c r="AH66" i="30"/>
  <c r="AE66" i="30"/>
  <c r="AY66" i="30" s="1"/>
  <c r="AB66" i="30"/>
  <c r="AW66" i="30" s="1"/>
  <c r="R66" i="30"/>
  <c r="X66" i="30" s="1"/>
  <c r="X71" i="30" s="1"/>
  <c r="AQ65" i="30"/>
  <c r="AP65" i="30"/>
  <c r="AO65" i="30"/>
  <c r="AN65" i="30"/>
  <c r="AM65" i="30"/>
  <c r="AL65" i="30"/>
  <c r="AK65" i="30"/>
  <c r="AJ65" i="30"/>
  <c r="AG65" i="30"/>
  <c r="AF65" i="30"/>
  <c r="AB65" i="30"/>
  <c r="AA65" i="30"/>
  <c r="Z65" i="30"/>
  <c r="Y65" i="30"/>
  <c r="W65" i="30"/>
  <c r="V65" i="30"/>
  <c r="U65" i="30"/>
  <c r="T65" i="30"/>
  <c r="S65" i="30"/>
  <c r="BB64" i="30"/>
  <c r="AZ64" i="30"/>
  <c r="AW64" i="30"/>
  <c r="AW65" i="30" s="1"/>
  <c r="AT64" i="30"/>
  <c r="BA64" i="30" s="1"/>
  <c r="AS64" i="30"/>
  <c r="BC64" i="30" s="1"/>
  <c r="AR64" i="30"/>
  <c r="AH64" i="30"/>
  <c r="AH65" i="30" s="1"/>
  <c r="AC64" i="30"/>
  <c r="AB64" i="30"/>
  <c r="R64" i="30"/>
  <c r="X64" i="30" s="1"/>
  <c r="AZ63" i="30"/>
  <c r="AV63" i="30"/>
  <c r="AS63" i="30"/>
  <c r="BC63" i="30" s="1"/>
  <c r="BC65" i="30" s="1"/>
  <c r="AR63" i="30"/>
  <c r="AT63" i="30" s="1"/>
  <c r="BA63" i="30" s="1"/>
  <c r="AH63" i="30"/>
  <c r="AD63" i="30"/>
  <c r="AX63" i="30" s="1"/>
  <c r="AB63" i="30"/>
  <c r="AW63" i="30" s="1"/>
  <c r="R63" i="30"/>
  <c r="X63" i="30" s="1"/>
  <c r="AE63" i="30" s="1"/>
  <c r="AY63" i="30" s="1"/>
  <c r="BC62" i="30"/>
  <c r="BB62" i="30"/>
  <c r="AZ62" i="30"/>
  <c r="AZ65" i="30" s="1"/>
  <c r="AW62" i="30"/>
  <c r="AS62" i="30"/>
  <c r="AR62" i="30"/>
  <c r="AR65" i="30" s="1"/>
  <c r="AH62" i="30"/>
  <c r="AD62" i="30"/>
  <c r="AB62" i="30"/>
  <c r="X62" i="30"/>
  <c r="R62" i="30"/>
  <c r="R65" i="30" s="1"/>
  <c r="AQ61" i="30"/>
  <c r="AP61" i="30"/>
  <c r="AO61" i="30"/>
  <c r="AN61" i="30"/>
  <c r="AM61" i="30"/>
  <c r="AL61" i="30"/>
  <c r="AK61" i="30"/>
  <c r="AJ61" i="30"/>
  <c r="AG61" i="30"/>
  <c r="AF61" i="30"/>
  <c r="AA61" i="30"/>
  <c r="Z61" i="30"/>
  <c r="Y61" i="30"/>
  <c r="W61" i="30"/>
  <c r="V61" i="30"/>
  <c r="U61" i="30"/>
  <c r="T61" i="30"/>
  <c r="S61" i="30"/>
  <c r="BB60" i="30"/>
  <c r="AT60" i="30"/>
  <c r="BA60" i="30" s="1"/>
  <c r="AS60" i="30"/>
  <c r="BC60" i="30" s="1"/>
  <c r="AR60" i="30"/>
  <c r="AH60" i="30"/>
  <c r="AZ60" i="30" s="1"/>
  <c r="AB60" i="30"/>
  <c r="AW60" i="30" s="1"/>
  <c r="R60" i="30"/>
  <c r="X60" i="30" s="1"/>
  <c r="BC59" i="30"/>
  <c r="BB59" i="30"/>
  <c r="BA59" i="30"/>
  <c r="AW59" i="30"/>
  <c r="AV59" i="30"/>
  <c r="AT59" i="30"/>
  <c r="AS59" i="30"/>
  <c r="AR59" i="30"/>
  <c r="AH59" i="30"/>
  <c r="AZ59" i="30" s="1"/>
  <c r="AD59" i="30"/>
  <c r="AX59" i="30" s="1"/>
  <c r="AB59" i="30"/>
  <c r="R59" i="30"/>
  <c r="X59" i="30" s="1"/>
  <c r="AW58" i="30"/>
  <c r="AS58" i="30"/>
  <c r="AR58" i="30"/>
  <c r="AH58" i="30"/>
  <c r="AZ58" i="30" s="1"/>
  <c r="AD58" i="30"/>
  <c r="AX58" i="30" s="1"/>
  <c r="AB58" i="30"/>
  <c r="X58" i="30"/>
  <c r="R58" i="30"/>
  <c r="BB57" i="30"/>
  <c r="AT57" i="30"/>
  <c r="BA57" i="30" s="1"/>
  <c r="AS57" i="30"/>
  <c r="BC57" i="30" s="1"/>
  <c r="AR57" i="30"/>
  <c r="AH57" i="30"/>
  <c r="AZ57" i="30" s="1"/>
  <c r="AD57" i="30"/>
  <c r="AX57" i="30" s="1"/>
  <c r="AB57" i="30"/>
  <c r="AW57" i="30" s="1"/>
  <c r="R57" i="30"/>
  <c r="X57" i="30" s="1"/>
  <c r="AC57" i="30" s="1"/>
  <c r="BC56" i="30"/>
  <c r="AZ56" i="30"/>
  <c r="AV56" i="30"/>
  <c r="AT56" i="30"/>
  <c r="BA56" i="30" s="1"/>
  <c r="AS56" i="30"/>
  <c r="AR56" i="30"/>
  <c r="BB56" i="30" s="1"/>
  <c r="AH56" i="30"/>
  <c r="AD56" i="30"/>
  <c r="AX56" i="30" s="1"/>
  <c r="AB56" i="30"/>
  <c r="AW56" i="30" s="1"/>
  <c r="R56" i="30"/>
  <c r="X56" i="30" s="1"/>
  <c r="BC55" i="30"/>
  <c r="AS55" i="30"/>
  <c r="AR55" i="30"/>
  <c r="AH55" i="30"/>
  <c r="AH61" i="30" s="1"/>
  <c r="AB55" i="30"/>
  <c r="AB61" i="30" s="1"/>
  <c r="X55" i="30"/>
  <c r="AD55" i="30" s="1"/>
  <c r="AX55" i="30" s="1"/>
  <c r="R55" i="30"/>
  <c r="AQ54" i="30"/>
  <c r="AP54" i="30"/>
  <c r="AO54" i="30"/>
  <c r="AN54" i="30"/>
  <c r="AM54" i="30"/>
  <c r="AL54" i="30"/>
  <c r="AK54" i="30"/>
  <c r="AJ54" i="30"/>
  <c r="AG54" i="30"/>
  <c r="AF54" i="30"/>
  <c r="AA54" i="30"/>
  <c r="Z54" i="30"/>
  <c r="Y54" i="30"/>
  <c r="W54" i="30"/>
  <c r="V54" i="30"/>
  <c r="U54" i="30"/>
  <c r="T54" i="30"/>
  <c r="S54" i="30"/>
  <c r="BC53" i="30"/>
  <c r="AW53" i="30"/>
  <c r="AT53" i="30"/>
  <c r="BA53" i="30" s="1"/>
  <c r="AS53" i="30"/>
  <c r="AR53" i="30"/>
  <c r="AH53" i="30"/>
  <c r="AZ53" i="30" s="1"/>
  <c r="AB53" i="30"/>
  <c r="X53" i="30"/>
  <c r="R53" i="30"/>
  <c r="BB52" i="30"/>
  <c r="AT52" i="30"/>
  <c r="BA52" i="30" s="1"/>
  <c r="AS52" i="30"/>
  <c r="BC52" i="30" s="1"/>
  <c r="AR52" i="30"/>
  <c r="AH52" i="30"/>
  <c r="AZ52" i="30" s="1"/>
  <c r="AB52" i="30"/>
  <c r="AW52" i="30" s="1"/>
  <c r="R52" i="30"/>
  <c r="X52" i="30" s="1"/>
  <c r="AZ51" i="30"/>
  <c r="AS51" i="30"/>
  <c r="BC51" i="30" s="1"/>
  <c r="AR51" i="30"/>
  <c r="AH51" i="30"/>
  <c r="AE51" i="30"/>
  <c r="AY51" i="30" s="1"/>
  <c r="AB51" i="30"/>
  <c r="AW51" i="30" s="1"/>
  <c r="R51" i="30"/>
  <c r="X51" i="30" s="1"/>
  <c r="AV51" i="30" s="1"/>
  <c r="BC50" i="30"/>
  <c r="BB50" i="30"/>
  <c r="BA50" i="30"/>
  <c r="AZ50" i="30"/>
  <c r="AT50" i="30"/>
  <c r="AS50" i="30"/>
  <c r="AR50" i="30"/>
  <c r="AH50" i="30"/>
  <c r="AB50" i="30"/>
  <c r="AW50" i="30" s="1"/>
  <c r="R50" i="30"/>
  <c r="BB49" i="30"/>
  <c r="AT49" i="30"/>
  <c r="AS49" i="30"/>
  <c r="AR49" i="30"/>
  <c r="AH49" i="30"/>
  <c r="AB49" i="30"/>
  <c r="X49" i="30"/>
  <c r="R49" i="30"/>
  <c r="AR48" i="30"/>
  <c r="AQ48" i="30"/>
  <c r="AP48" i="30"/>
  <c r="AO48" i="30"/>
  <c r="AN48" i="30"/>
  <c r="AM48" i="30"/>
  <c r="AL48" i="30"/>
  <c r="AK48" i="30"/>
  <c r="AJ48" i="30"/>
  <c r="AG48" i="30"/>
  <c r="AF48" i="30"/>
  <c r="AB48" i="30"/>
  <c r="AA48" i="30"/>
  <c r="Z48" i="30"/>
  <c r="Y48" i="30"/>
  <c r="W48" i="30"/>
  <c r="V48" i="30"/>
  <c r="U48" i="30"/>
  <c r="T48" i="30"/>
  <c r="S48" i="30"/>
  <c r="R48" i="30"/>
  <c r="BC47" i="30"/>
  <c r="BB47" i="30"/>
  <c r="AZ47" i="30"/>
  <c r="AW47" i="30"/>
  <c r="AS47" i="30"/>
  <c r="AR47" i="30"/>
  <c r="AT47" i="30" s="1"/>
  <c r="BA47" i="30" s="1"/>
  <c r="AH47" i="30"/>
  <c r="AE47" i="30"/>
  <c r="AY47" i="30" s="1"/>
  <c r="AB47" i="30"/>
  <c r="X47" i="30"/>
  <c r="R47" i="30"/>
  <c r="BC46" i="30"/>
  <c r="AW46" i="30"/>
  <c r="AS46" i="30"/>
  <c r="AR46" i="30"/>
  <c r="AH46" i="30"/>
  <c r="AZ46" i="30" s="1"/>
  <c r="AD46" i="30"/>
  <c r="AX46" i="30" s="1"/>
  <c r="AB46" i="30"/>
  <c r="X46" i="30"/>
  <c r="X48" i="30" s="1"/>
  <c r="R46" i="30"/>
  <c r="BB45" i="30"/>
  <c r="AX45" i="30"/>
  <c r="AV45" i="30"/>
  <c r="AT45" i="30"/>
  <c r="BA45" i="30" s="1"/>
  <c r="AS45" i="30"/>
  <c r="AR45" i="30"/>
  <c r="AH45" i="30"/>
  <c r="AE45" i="30"/>
  <c r="AD45" i="30"/>
  <c r="AC45" i="30"/>
  <c r="AB45" i="30"/>
  <c r="AW45" i="30" s="1"/>
  <c r="R45" i="30"/>
  <c r="X45" i="30" s="1"/>
  <c r="AQ44" i="30"/>
  <c r="AP44" i="30"/>
  <c r="AO44" i="30"/>
  <c r="AN44" i="30"/>
  <c r="AM44" i="30"/>
  <c r="AL44" i="30"/>
  <c r="AK44" i="30"/>
  <c r="AJ44" i="30"/>
  <c r="AG44" i="30"/>
  <c r="AF44" i="30"/>
  <c r="AA44" i="30"/>
  <c r="Z44" i="30"/>
  <c r="Y44" i="30"/>
  <c r="W44" i="30"/>
  <c r="V44" i="30"/>
  <c r="U44" i="30"/>
  <c r="T44" i="30"/>
  <c r="S44" i="30"/>
  <c r="BB43" i="30"/>
  <c r="AZ43" i="30"/>
  <c r="AS43" i="30"/>
  <c r="BC43" i="30" s="1"/>
  <c r="AR43" i="30"/>
  <c r="AH43" i="30"/>
  <c r="AB43" i="30"/>
  <c r="AW43" i="30" s="1"/>
  <c r="X43" i="30"/>
  <c r="AD43" i="30" s="1"/>
  <c r="AX43" i="30" s="1"/>
  <c r="R43" i="30"/>
  <c r="AS42" i="30"/>
  <c r="BC42" i="30" s="1"/>
  <c r="AR42" i="30"/>
  <c r="AH42" i="30"/>
  <c r="AZ42" i="30" s="1"/>
  <c r="AB42" i="30"/>
  <c r="AW42" i="30" s="1"/>
  <c r="X42" i="30"/>
  <c r="R42" i="30"/>
  <c r="BB41" i="30"/>
  <c r="BA41" i="30"/>
  <c r="AT41" i="30"/>
  <c r="AS41" i="30"/>
  <c r="BC41" i="30" s="1"/>
  <c r="AR41" i="30"/>
  <c r="AH41" i="30"/>
  <c r="AZ41" i="30" s="1"/>
  <c r="AD41" i="30"/>
  <c r="AX41" i="30" s="1"/>
  <c r="AC41" i="30"/>
  <c r="AB41" i="30"/>
  <c r="AW41" i="30" s="1"/>
  <c r="R41" i="30"/>
  <c r="X41" i="30" s="1"/>
  <c r="AV41" i="30" s="1"/>
  <c r="BC40" i="30"/>
  <c r="BA40" i="30"/>
  <c r="AV40" i="30"/>
  <c r="AT40" i="30"/>
  <c r="AS40" i="30"/>
  <c r="AR40" i="30"/>
  <c r="BB40" i="30" s="1"/>
  <c r="AH40" i="30"/>
  <c r="AZ40" i="30" s="1"/>
  <c r="AB40" i="30"/>
  <c r="AW40" i="30" s="1"/>
  <c r="R40" i="30"/>
  <c r="X40" i="30" s="1"/>
  <c r="BC39" i="30"/>
  <c r="AZ39" i="30"/>
  <c r="AS39" i="30"/>
  <c r="AR39" i="30"/>
  <c r="AH39" i="30"/>
  <c r="AD39" i="30"/>
  <c r="AX39" i="30" s="1"/>
  <c r="AB39" i="30"/>
  <c r="X39" i="30"/>
  <c r="R39" i="30"/>
  <c r="AT38" i="30"/>
  <c r="AS38" i="30"/>
  <c r="AR38" i="30"/>
  <c r="AH38" i="30"/>
  <c r="AB38" i="30"/>
  <c r="AW38" i="30" s="1"/>
  <c r="R38" i="30"/>
  <c r="AQ37" i="30"/>
  <c r="AP37" i="30"/>
  <c r="AO37" i="30"/>
  <c r="AN37" i="30"/>
  <c r="AM37" i="30"/>
  <c r="AL37" i="30"/>
  <c r="AK37" i="30"/>
  <c r="AJ37" i="30"/>
  <c r="AG37" i="30"/>
  <c r="AF37" i="30"/>
  <c r="AA37" i="30"/>
  <c r="Z37" i="30"/>
  <c r="Y37" i="30"/>
  <c r="W37" i="30"/>
  <c r="V37" i="30"/>
  <c r="U37" i="30"/>
  <c r="T37" i="30"/>
  <c r="S37" i="30"/>
  <c r="R37" i="30"/>
  <c r="BC36" i="30"/>
  <c r="AW36" i="30"/>
  <c r="AS36" i="30"/>
  <c r="AR36" i="30"/>
  <c r="AH36" i="30"/>
  <c r="AZ36" i="30" s="1"/>
  <c r="AD36" i="30"/>
  <c r="AX36" i="30" s="1"/>
  <c r="AB36" i="30"/>
  <c r="X36" i="30"/>
  <c r="R36" i="30"/>
  <c r="BB35" i="30"/>
  <c r="BA35" i="30"/>
  <c r="AT35" i="30"/>
  <c r="AS35" i="30"/>
  <c r="BC35" i="30" s="1"/>
  <c r="AR35" i="30"/>
  <c r="AH35" i="30"/>
  <c r="AZ35" i="30" s="1"/>
  <c r="AD35" i="30"/>
  <c r="AX35" i="30" s="1"/>
  <c r="AC35" i="30"/>
  <c r="AB35" i="30"/>
  <c r="AW35" i="30" s="1"/>
  <c r="R35" i="30"/>
  <c r="X35" i="30" s="1"/>
  <c r="AV35" i="30" s="1"/>
  <c r="BC34" i="30"/>
  <c r="BA34" i="30"/>
  <c r="AT34" i="30"/>
  <c r="AS34" i="30"/>
  <c r="AR34" i="30"/>
  <c r="BB34" i="30" s="1"/>
  <c r="AH34" i="30"/>
  <c r="AZ34" i="30" s="1"/>
  <c r="AD34" i="30"/>
  <c r="AX34" i="30" s="1"/>
  <c r="AB34" i="30"/>
  <c r="AW34" i="30" s="1"/>
  <c r="R34" i="30"/>
  <c r="X34" i="30" s="1"/>
  <c r="BC33" i="30"/>
  <c r="AZ33" i="30"/>
  <c r="AS33" i="30"/>
  <c r="AR33" i="30"/>
  <c r="AH33" i="30"/>
  <c r="AD33" i="30"/>
  <c r="AX33" i="30" s="1"/>
  <c r="AB33" i="30"/>
  <c r="AW33" i="30" s="1"/>
  <c r="X33" i="30"/>
  <c r="R33" i="30"/>
  <c r="AT32" i="30"/>
  <c r="BA32" i="30" s="1"/>
  <c r="AS32" i="30"/>
  <c r="AR32" i="30"/>
  <c r="AH32" i="30"/>
  <c r="AB32" i="30"/>
  <c r="R32" i="30"/>
  <c r="BC31" i="30"/>
  <c r="BB31" i="30"/>
  <c r="AZ31" i="30"/>
  <c r="AV31" i="30"/>
  <c r="AT31" i="30"/>
  <c r="AS31" i="30"/>
  <c r="AS37" i="30" s="1"/>
  <c r="AR31" i="30"/>
  <c r="AH31" i="30"/>
  <c r="AB31" i="30"/>
  <c r="AB37" i="30" s="1"/>
  <c r="R31" i="30"/>
  <c r="X31" i="30" s="1"/>
  <c r="AR30" i="30"/>
  <c r="AQ30" i="30"/>
  <c r="AP30" i="30"/>
  <c r="AO30" i="30"/>
  <c r="AN30" i="30"/>
  <c r="AM30" i="30"/>
  <c r="AL30" i="30"/>
  <c r="AK30" i="30"/>
  <c r="AJ30" i="30"/>
  <c r="AH30" i="30"/>
  <c r="AG30" i="30"/>
  <c r="AF30" i="30"/>
  <c r="AB30" i="30"/>
  <c r="AA30" i="30"/>
  <c r="Z30" i="30"/>
  <c r="Y30" i="30"/>
  <c r="W30" i="30"/>
  <c r="V30" i="30"/>
  <c r="U30" i="30"/>
  <c r="T30" i="30"/>
  <c r="S30" i="30"/>
  <c r="R30" i="30"/>
  <c r="AZ29" i="30"/>
  <c r="AS29" i="30"/>
  <c r="AR29" i="30"/>
  <c r="AR112" i="30" s="1"/>
  <c r="AH29" i="30"/>
  <c r="AH112" i="30" s="1"/>
  <c r="AB29" i="30"/>
  <c r="R29" i="30"/>
  <c r="AQ28" i="30"/>
  <c r="AP28" i="30"/>
  <c r="AO28" i="30"/>
  <c r="AN28" i="30"/>
  <c r="AM28" i="30"/>
  <c r="AL28" i="30"/>
  <c r="AK28" i="30"/>
  <c r="AJ28" i="30"/>
  <c r="AH28" i="30"/>
  <c r="AG28" i="30"/>
  <c r="AF28" i="30"/>
  <c r="AA28" i="30"/>
  <c r="Z28" i="30"/>
  <c r="Y28" i="30"/>
  <c r="W28" i="30"/>
  <c r="V28" i="30"/>
  <c r="U28" i="30"/>
  <c r="T28" i="30"/>
  <c r="S28" i="30"/>
  <c r="BC27" i="30"/>
  <c r="AW27" i="30"/>
  <c r="AT27" i="30"/>
  <c r="BA27" i="30" s="1"/>
  <c r="AS27" i="30"/>
  <c r="AR27" i="30"/>
  <c r="BB27" i="30" s="1"/>
  <c r="AH27" i="30"/>
  <c r="AZ27" i="30" s="1"/>
  <c r="AB27" i="30"/>
  <c r="X27" i="30"/>
  <c r="AC27" i="30" s="1"/>
  <c r="R27" i="30"/>
  <c r="BB26" i="30"/>
  <c r="AZ26" i="30"/>
  <c r="AX26" i="30"/>
  <c r="AV26" i="30"/>
  <c r="AS26" i="30"/>
  <c r="AR26" i="30"/>
  <c r="AH26" i="30"/>
  <c r="AE26" i="30"/>
  <c r="AY26" i="30" s="1"/>
  <c r="AD26" i="30"/>
  <c r="AB26" i="30"/>
  <c r="R26" i="30"/>
  <c r="X26" i="30" s="1"/>
  <c r="BC25" i="30"/>
  <c r="AV25" i="30"/>
  <c r="AS25" i="30"/>
  <c r="AR25" i="30"/>
  <c r="AT25" i="30" s="1"/>
  <c r="BA25" i="30" s="1"/>
  <c r="AH25" i="30"/>
  <c r="AZ25" i="30" s="1"/>
  <c r="AZ28" i="30" s="1"/>
  <c r="AB25" i="30"/>
  <c r="AW25" i="30" s="1"/>
  <c r="X25" i="30"/>
  <c r="AE25" i="30" s="1"/>
  <c r="AY25" i="30" s="1"/>
  <c r="R25" i="30"/>
  <c r="BC24" i="30"/>
  <c r="BB24" i="30"/>
  <c r="AZ24" i="30"/>
  <c r="AT24" i="30"/>
  <c r="AS24" i="30"/>
  <c r="AR24" i="30"/>
  <c r="AR28" i="30" s="1"/>
  <c r="AH24" i="30"/>
  <c r="AB24" i="30"/>
  <c r="AW24" i="30" s="1"/>
  <c r="R24" i="30"/>
  <c r="R28" i="30" s="1"/>
  <c r="AQ23" i="30"/>
  <c r="AP23" i="30"/>
  <c r="AO23" i="30"/>
  <c r="AN23" i="30"/>
  <c r="AM23" i="30"/>
  <c r="AL23" i="30"/>
  <c r="AK23" i="30"/>
  <c r="AJ23" i="30"/>
  <c r="AG23" i="30"/>
  <c r="AF23" i="30"/>
  <c r="AA23" i="30"/>
  <c r="Z23" i="30"/>
  <c r="Y23" i="30"/>
  <c r="W23" i="30"/>
  <c r="V23" i="30"/>
  <c r="U23" i="30"/>
  <c r="T23" i="30"/>
  <c r="S23" i="30"/>
  <c r="BC22" i="30"/>
  <c r="AZ22" i="30"/>
  <c r="AT22" i="30"/>
  <c r="BA22" i="30" s="1"/>
  <c r="AS22" i="30"/>
  <c r="AR22" i="30"/>
  <c r="BB22" i="30" s="1"/>
  <c r="AH22" i="30"/>
  <c r="AB22" i="30"/>
  <c r="AW22" i="30" s="1"/>
  <c r="X22" i="30"/>
  <c r="AV22" i="30" s="1"/>
  <c r="R22" i="30"/>
  <c r="AW21" i="30"/>
  <c r="AS21" i="30"/>
  <c r="BC21" i="30" s="1"/>
  <c r="AR21" i="30"/>
  <c r="AH21" i="30"/>
  <c r="AZ21" i="30" s="1"/>
  <c r="AB21" i="30"/>
  <c r="R21" i="30"/>
  <c r="X21" i="30" s="1"/>
  <c r="AS20" i="30"/>
  <c r="AR20" i="30"/>
  <c r="BB20" i="30" s="1"/>
  <c r="AH20" i="30"/>
  <c r="AB20" i="30"/>
  <c r="R20" i="30"/>
  <c r="BC19" i="30"/>
  <c r="BB19" i="30"/>
  <c r="BA19" i="30"/>
  <c r="AW19" i="30"/>
  <c r="AV19" i="30"/>
  <c r="AT19" i="30"/>
  <c r="AS19" i="30"/>
  <c r="AR19" i="30"/>
  <c r="AH19" i="30"/>
  <c r="AZ19" i="30" s="1"/>
  <c r="AE19" i="30"/>
  <c r="AY19" i="30" s="1"/>
  <c r="AD19" i="30"/>
  <c r="AX19" i="30" s="1"/>
  <c r="AB19" i="30"/>
  <c r="R19" i="30"/>
  <c r="X19" i="30" s="1"/>
  <c r="BB18" i="30"/>
  <c r="AZ18" i="30"/>
  <c r="AS18" i="30"/>
  <c r="AS105" i="30" s="1"/>
  <c r="AR18" i="30"/>
  <c r="AH18" i="30"/>
  <c r="AB18" i="30"/>
  <c r="X18" i="30"/>
  <c r="R18" i="30"/>
  <c r="AS17" i="30"/>
  <c r="AQ17" i="30"/>
  <c r="AP17" i="30"/>
  <c r="AO17" i="30"/>
  <c r="AN17" i="30"/>
  <c r="AM17" i="30"/>
  <c r="AL17" i="30"/>
  <c r="AK17" i="30"/>
  <c r="AJ17" i="30"/>
  <c r="AH17" i="30"/>
  <c r="AG17" i="30"/>
  <c r="AF17" i="30"/>
  <c r="AB17" i="30"/>
  <c r="AA17" i="30"/>
  <c r="Z17" i="30"/>
  <c r="Y17" i="30"/>
  <c r="W17" i="30"/>
  <c r="V17" i="30"/>
  <c r="U17" i="30"/>
  <c r="T17" i="30"/>
  <c r="S17" i="30"/>
  <c r="BC16" i="30"/>
  <c r="BB16" i="30"/>
  <c r="BB113" i="30" s="1"/>
  <c r="AZ16" i="30"/>
  <c r="AZ113" i="30" s="1"/>
  <c r="AT16" i="30"/>
  <c r="AT113" i="30" s="1"/>
  <c r="AS16" i="30"/>
  <c r="AS113" i="30" s="1"/>
  <c r="AR16" i="30"/>
  <c r="AR113" i="30" s="1"/>
  <c r="AH16" i="30"/>
  <c r="AH113" i="30" s="1"/>
  <c r="AB16" i="30"/>
  <c r="AB113" i="30" s="1"/>
  <c r="R16" i="30"/>
  <c r="R113" i="30" s="1"/>
  <c r="AR15" i="30"/>
  <c r="AQ15" i="30"/>
  <c r="AQ100" i="30" s="1"/>
  <c r="AP15" i="30"/>
  <c r="AP100" i="30" s="1"/>
  <c r="AO15" i="30"/>
  <c r="AN15" i="30"/>
  <c r="AM15" i="30"/>
  <c r="AL15" i="30"/>
  <c r="AL100" i="30" s="1"/>
  <c r="AK15" i="30"/>
  <c r="AK100" i="30" s="1"/>
  <c r="AJ15" i="30"/>
  <c r="AJ100" i="30" s="1"/>
  <c r="AG15" i="30"/>
  <c r="AF15" i="30"/>
  <c r="AA15" i="30"/>
  <c r="Z15" i="30"/>
  <c r="Y15" i="30"/>
  <c r="W15" i="30"/>
  <c r="W100" i="30" s="1"/>
  <c r="V15" i="30"/>
  <c r="V100" i="30" s="1"/>
  <c r="U15" i="30"/>
  <c r="T15" i="30"/>
  <c r="T100" i="30" s="1"/>
  <c r="S15" i="30"/>
  <c r="BB14" i="30"/>
  <c r="BA14" i="30"/>
  <c r="AT14" i="30"/>
  <c r="AS14" i="30"/>
  <c r="AR14" i="30"/>
  <c r="AR110" i="30" s="1"/>
  <c r="AH14" i="30"/>
  <c r="AB14" i="30"/>
  <c r="R14" i="30"/>
  <c r="BC13" i="30"/>
  <c r="BB13" i="30"/>
  <c r="AZ13" i="30"/>
  <c r="AW13" i="30"/>
  <c r="AT13" i="30"/>
  <c r="BA13" i="30" s="1"/>
  <c r="AS13" i="30"/>
  <c r="AR13" i="30"/>
  <c r="AH13" i="30"/>
  <c r="AB13" i="30"/>
  <c r="R13" i="30"/>
  <c r="X13" i="30" s="1"/>
  <c r="AC13" i="30" s="1"/>
  <c r="BC12" i="30"/>
  <c r="BB12" i="30"/>
  <c r="BB15" i="30" s="1"/>
  <c r="AV12" i="30"/>
  <c r="AT12" i="30"/>
  <c r="AT15" i="30" s="1"/>
  <c r="AS12" i="30"/>
  <c r="AS104" i="30" s="1"/>
  <c r="AR12" i="30"/>
  <c r="AR104" i="30" s="1"/>
  <c r="AH12" i="30"/>
  <c r="AB12" i="30"/>
  <c r="AB104" i="30" s="1"/>
  <c r="X12" i="30"/>
  <c r="R12" i="30"/>
  <c r="AQ201" i="29"/>
  <c r="AP201" i="29"/>
  <c r="AO201" i="29"/>
  <c r="AN201" i="29"/>
  <c r="AM201" i="29"/>
  <c r="AL201" i="29"/>
  <c r="AK201" i="29"/>
  <c r="AJ201" i="29"/>
  <c r="AG201" i="29"/>
  <c r="AF201" i="29"/>
  <c r="AA201" i="29"/>
  <c r="Z201" i="29"/>
  <c r="Y201" i="29"/>
  <c r="W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Q200" i="29"/>
  <c r="AP200" i="29"/>
  <c r="AO200" i="29"/>
  <c r="AN200" i="29"/>
  <c r="AM200" i="29"/>
  <c r="AL200" i="29"/>
  <c r="AK200" i="29"/>
  <c r="AJ200" i="29"/>
  <c r="AG200" i="29"/>
  <c r="AF200" i="29"/>
  <c r="AA200" i="29"/>
  <c r="Z200" i="29"/>
  <c r="Y200" i="29"/>
  <c r="W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Q199" i="29"/>
  <c r="AP199" i="29"/>
  <c r="AO199" i="29"/>
  <c r="AN199" i="29"/>
  <c r="AM199" i="29"/>
  <c r="AL199" i="29"/>
  <c r="AK199" i="29"/>
  <c r="AJ199" i="29"/>
  <c r="AG199" i="29"/>
  <c r="AF199" i="29"/>
  <c r="AA199" i="29"/>
  <c r="Z199" i="29"/>
  <c r="Y199" i="29"/>
  <c r="W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Q198" i="29"/>
  <c r="AP198" i="29"/>
  <c r="AO198" i="29"/>
  <c r="AN198" i="29"/>
  <c r="AM198" i="29"/>
  <c r="AL198" i="29"/>
  <c r="AK198" i="29"/>
  <c r="AJ198" i="29"/>
  <c r="AG198" i="29"/>
  <c r="AF198" i="29"/>
  <c r="AA198" i="29"/>
  <c r="Z198" i="29"/>
  <c r="Y198" i="29"/>
  <c r="W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P191" i="29" s="1"/>
  <c r="O197" i="29"/>
  <c r="N197" i="29"/>
  <c r="M197" i="29"/>
  <c r="L197" i="29"/>
  <c r="K197" i="29"/>
  <c r="J197" i="29"/>
  <c r="I197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Q195" i="29"/>
  <c r="AP195" i="29"/>
  <c r="AO195" i="29"/>
  <c r="AN195" i="29"/>
  <c r="AM195" i="29"/>
  <c r="AL195" i="29"/>
  <c r="AK195" i="29"/>
  <c r="AJ195" i="29"/>
  <c r="AG195" i="29"/>
  <c r="AF195" i="29"/>
  <c r="AA195" i="29"/>
  <c r="Z195" i="29"/>
  <c r="Y195" i="29"/>
  <c r="W195" i="29"/>
  <c r="V195" i="29"/>
  <c r="U195" i="29"/>
  <c r="T195" i="29"/>
  <c r="S195" i="29"/>
  <c r="Q195" i="29"/>
  <c r="P195" i="29"/>
  <c r="O195" i="29"/>
  <c r="N195" i="29"/>
  <c r="M195" i="29"/>
  <c r="L195" i="29"/>
  <c r="K195" i="29"/>
  <c r="J195" i="29"/>
  <c r="I195" i="29"/>
  <c r="BC194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M191" i="29" s="1"/>
  <c r="L194" i="29"/>
  <c r="K194" i="29"/>
  <c r="J194" i="29"/>
  <c r="I194" i="29"/>
  <c r="AQ193" i="29"/>
  <c r="AP193" i="29"/>
  <c r="AP191" i="29" s="1"/>
  <c r="AO193" i="29"/>
  <c r="AN193" i="29"/>
  <c r="AM193" i="29"/>
  <c r="AL193" i="29"/>
  <c r="AK193" i="29"/>
  <c r="AJ193" i="29"/>
  <c r="AJ191" i="29" s="1"/>
  <c r="AG193" i="29"/>
  <c r="AF193" i="29"/>
  <c r="AA193" i="29"/>
  <c r="Z193" i="29"/>
  <c r="Y193" i="29"/>
  <c r="W193" i="29"/>
  <c r="V193" i="29"/>
  <c r="U193" i="29"/>
  <c r="T193" i="29"/>
  <c r="S193" i="29"/>
  <c r="Q193" i="29"/>
  <c r="P193" i="29"/>
  <c r="O193" i="29"/>
  <c r="N193" i="29"/>
  <c r="M193" i="29"/>
  <c r="L193" i="29"/>
  <c r="L191" i="29" s="1"/>
  <c r="K193" i="29"/>
  <c r="J193" i="29"/>
  <c r="I193" i="29"/>
  <c r="AQ192" i="29"/>
  <c r="AP192" i="29"/>
  <c r="AO192" i="29"/>
  <c r="AN192" i="29"/>
  <c r="AM192" i="29"/>
  <c r="AL192" i="29"/>
  <c r="AK192" i="29"/>
  <c r="AJ192" i="29"/>
  <c r="AG192" i="29"/>
  <c r="AF192" i="29"/>
  <c r="AA192" i="29"/>
  <c r="Z192" i="29"/>
  <c r="Y192" i="29"/>
  <c r="W192" i="29"/>
  <c r="W191" i="29" s="1"/>
  <c r="V192" i="29"/>
  <c r="U192" i="29"/>
  <c r="T192" i="29"/>
  <c r="S192" i="29"/>
  <c r="S191" i="29" s="1"/>
  <c r="Q192" i="29"/>
  <c r="P192" i="29"/>
  <c r="O192" i="29"/>
  <c r="O191" i="29" s="1"/>
  <c r="N192" i="29"/>
  <c r="M192" i="29"/>
  <c r="L192" i="29"/>
  <c r="K192" i="29"/>
  <c r="J192" i="29"/>
  <c r="I192" i="29"/>
  <c r="I191" i="29" s="1"/>
  <c r="AQ191" i="29"/>
  <c r="AO191" i="29"/>
  <c r="AK191" i="29"/>
  <c r="AF191" i="29"/>
  <c r="Y191" i="29"/>
  <c r="V191" i="29"/>
  <c r="T191" i="29"/>
  <c r="N191" i="29"/>
  <c r="Q188" i="29"/>
  <c r="O189" i="29" s="1"/>
  <c r="P188" i="29"/>
  <c r="O188" i="29"/>
  <c r="N188" i="29"/>
  <c r="M188" i="29"/>
  <c r="I189" i="29" s="1"/>
  <c r="L188" i="29"/>
  <c r="K188" i="29"/>
  <c r="J188" i="29"/>
  <c r="I188" i="29"/>
  <c r="AR187" i="29"/>
  <c r="AQ187" i="29"/>
  <c r="AP187" i="29"/>
  <c r="AO187" i="29"/>
  <c r="AN187" i="29"/>
  <c r="AM187" i="29"/>
  <c r="AL187" i="29"/>
  <c r="AK187" i="29"/>
  <c r="AJ187" i="29"/>
  <c r="AG187" i="29"/>
  <c r="AF187" i="29"/>
  <c r="AA187" i="29"/>
  <c r="Z187" i="29"/>
  <c r="Y187" i="29"/>
  <c r="X187" i="29"/>
  <c r="W187" i="29"/>
  <c r="V187" i="29"/>
  <c r="U187" i="29"/>
  <c r="T187" i="29"/>
  <c r="S187" i="29"/>
  <c r="R187" i="29"/>
  <c r="BC186" i="29"/>
  <c r="AW186" i="29"/>
  <c r="AT186" i="29"/>
  <c r="BA186" i="29" s="1"/>
  <c r="AS186" i="29"/>
  <c r="AR186" i="29"/>
  <c r="BB186" i="29" s="1"/>
  <c r="AH186" i="29"/>
  <c r="AZ186" i="29" s="1"/>
  <c r="AB186" i="29"/>
  <c r="R186" i="29"/>
  <c r="X186" i="29" s="1"/>
  <c r="BB185" i="29"/>
  <c r="AZ185" i="29"/>
  <c r="AV185" i="29"/>
  <c r="AS185" i="29"/>
  <c r="AR185" i="29"/>
  <c r="AH185" i="29"/>
  <c r="AE185" i="29"/>
  <c r="AY185" i="29" s="1"/>
  <c r="AD185" i="29"/>
  <c r="AX185" i="29" s="1"/>
  <c r="AB185" i="29"/>
  <c r="R185" i="29"/>
  <c r="X185" i="29" s="1"/>
  <c r="BC184" i="29"/>
  <c r="BB184" i="29"/>
  <c r="AT184" i="29"/>
  <c r="BA184" i="29" s="1"/>
  <c r="AS184" i="29"/>
  <c r="AR184" i="29"/>
  <c r="AH184" i="29"/>
  <c r="AZ184" i="29" s="1"/>
  <c r="AE184" i="29"/>
  <c r="AY184" i="29" s="1"/>
  <c r="AB184" i="29"/>
  <c r="AW184" i="29" s="1"/>
  <c r="X184" i="29"/>
  <c r="R184" i="29"/>
  <c r="BB183" i="29"/>
  <c r="AZ183" i="29"/>
  <c r="AX183" i="29"/>
  <c r="AS183" i="29"/>
  <c r="BC183" i="29" s="1"/>
  <c r="AR183" i="29"/>
  <c r="AH183" i="29"/>
  <c r="AD183" i="29"/>
  <c r="AB183" i="29"/>
  <c r="AW183" i="29" s="1"/>
  <c r="R183" i="29"/>
  <c r="X183" i="29" s="1"/>
  <c r="AY182" i="29"/>
  <c r="AS182" i="29"/>
  <c r="AR182" i="29"/>
  <c r="BB182" i="29" s="1"/>
  <c r="AH182" i="29"/>
  <c r="AZ182" i="29" s="1"/>
  <c r="AE182" i="29"/>
  <c r="AB182" i="29"/>
  <c r="AW182" i="29" s="1"/>
  <c r="R182" i="29"/>
  <c r="X182" i="29" s="1"/>
  <c r="BC181" i="29"/>
  <c r="AW181" i="29"/>
  <c r="AS181" i="29"/>
  <c r="AR181" i="29"/>
  <c r="AT181" i="29" s="1"/>
  <c r="AH181" i="29"/>
  <c r="AB181" i="29"/>
  <c r="R181" i="29"/>
  <c r="X181" i="29" s="1"/>
  <c r="AR180" i="29"/>
  <c r="AQ180" i="29"/>
  <c r="AP180" i="29"/>
  <c r="AO180" i="29"/>
  <c r="AN180" i="29"/>
  <c r="AM180" i="29"/>
  <c r="AL180" i="29"/>
  <c r="AK180" i="29"/>
  <c r="AJ180" i="29"/>
  <c r="AH180" i="29"/>
  <c r="AG180" i="29"/>
  <c r="AF180" i="29"/>
  <c r="AA180" i="29"/>
  <c r="Z180" i="29"/>
  <c r="Y180" i="29"/>
  <c r="W180" i="29"/>
  <c r="V180" i="29"/>
  <c r="U180" i="29"/>
  <c r="T180" i="29"/>
  <c r="S180" i="29"/>
  <c r="BA179" i="29"/>
  <c r="AZ179" i="29"/>
  <c r="AT179" i="29"/>
  <c r="AS179" i="29"/>
  <c r="BC179" i="29" s="1"/>
  <c r="AR179" i="29"/>
  <c r="BB179" i="29" s="1"/>
  <c r="AH179" i="29"/>
  <c r="AB179" i="29"/>
  <c r="R179" i="29"/>
  <c r="X179" i="29" s="1"/>
  <c r="BC178" i="29"/>
  <c r="AZ178" i="29"/>
  <c r="AW178" i="29"/>
  <c r="AS178" i="29"/>
  <c r="AR178" i="29"/>
  <c r="AH178" i="29"/>
  <c r="AE178" i="29"/>
  <c r="AY178" i="29" s="1"/>
  <c r="AB178" i="29"/>
  <c r="R178" i="29"/>
  <c r="X178" i="29" s="1"/>
  <c r="AS177" i="29"/>
  <c r="AR177" i="29"/>
  <c r="BB177" i="29" s="1"/>
  <c r="AH177" i="29"/>
  <c r="AZ177" i="29" s="1"/>
  <c r="AB177" i="29"/>
  <c r="AW177" i="29" s="1"/>
  <c r="R177" i="29"/>
  <c r="AX176" i="29"/>
  <c r="AV176" i="29"/>
  <c r="AS176" i="29"/>
  <c r="AR176" i="29"/>
  <c r="AH176" i="29"/>
  <c r="AZ176" i="29" s="1"/>
  <c r="AE176" i="29"/>
  <c r="AY176" i="29" s="1"/>
  <c r="AD176" i="29"/>
  <c r="AB176" i="29"/>
  <c r="R176" i="29"/>
  <c r="X176" i="29" s="1"/>
  <c r="BC175" i="29"/>
  <c r="AW175" i="29"/>
  <c r="AS175" i="29"/>
  <c r="AR175" i="29"/>
  <c r="AH175" i="29"/>
  <c r="AZ175" i="29" s="1"/>
  <c r="AE175" i="29"/>
  <c r="AY175" i="29" s="1"/>
  <c r="AB175" i="29"/>
  <c r="X175" i="29"/>
  <c r="R175" i="29"/>
  <c r="AR174" i="29"/>
  <c r="AQ174" i="29"/>
  <c r="AP174" i="29"/>
  <c r="AO174" i="29"/>
  <c r="AN174" i="29"/>
  <c r="AM174" i="29"/>
  <c r="AL174" i="29"/>
  <c r="AK174" i="29"/>
  <c r="AJ174" i="29"/>
  <c r="AG174" i="29"/>
  <c r="AF174" i="29"/>
  <c r="AA174" i="29"/>
  <c r="Z174" i="29"/>
  <c r="Y174" i="29"/>
  <c r="X174" i="29"/>
  <c r="W174" i="29"/>
  <c r="V174" i="29"/>
  <c r="U174" i="29"/>
  <c r="T174" i="29"/>
  <c r="S174" i="29"/>
  <c r="R174" i="29"/>
  <c r="AV173" i="29"/>
  <c r="AS173" i="29"/>
  <c r="BC173" i="29" s="1"/>
  <c r="AR173" i="29"/>
  <c r="AH173" i="29"/>
  <c r="AZ173" i="29" s="1"/>
  <c r="AB173" i="29"/>
  <c r="AW173" i="29" s="1"/>
  <c r="AW174" i="29" s="1"/>
  <c r="X173" i="29"/>
  <c r="R173" i="29"/>
  <c r="BB172" i="29"/>
  <c r="BA172" i="29"/>
  <c r="AV172" i="29"/>
  <c r="AV174" i="29" s="1"/>
  <c r="AT172" i="29"/>
  <c r="AS172" i="29"/>
  <c r="AR172" i="29"/>
  <c r="AH172" i="29"/>
  <c r="AE172" i="29"/>
  <c r="AY172" i="29" s="1"/>
  <c r="AC172" i="29"/>
  <c r="AB172" i="29"/>
  <c r="AW172" i="29" s="1"/>
  <c r="R172" i="29"/>
  <c r="X172" i="29" s="1"/>
  <c r="AD172" i="29" s="1"/>
  <c r="AX172" i="29" s="1"/>
  <c r="BC171" i="29"/>
  <c r="AQ171" i="29"/>
  <c r="AP171" i="29"/>
  <c r="AO171" i="29"/>
  <c r="AN171" i="29"/>
  <c r="AM171" i="29"/>
  <c r="AL171" i="29"/>
  <c r="AK171" i="29"/>
  <c r="AJ171" i="29"/>
  <c r="AG171" i="29"/>
  <c r="AF171" i="29"/>
  <c r="AA171" i="29"/>
  <c r="Z171" i="29"/>
  <c r="Y171" i="29"/>
  <c r="W171" i="29"/>
  <c r="V171" i="29"/>
  <c r="U171" i="29"/>
  <c r="T171" i="29"/>
  <c r="S171" i="29"/>
  <c r="BC170" i="29"/>
  <c r="AY170" i="29"/>
  <c r="AV170" i="29"/>
  <c r="AT170" i="29"/>
  <c r="BA170" i="29" s="1"/>
  <c r="AS170" i="29"/>
  <c r="AR170" i="29"/>
  <c r="BB170" i="29" s="1"/>
  <c r="AH170" i="29"/>
  <c r="AZ170" i="29" s="1"/>
  <c r="AB170" i="29"/>
  <c r="X170" i="29"/>
  <c r="AE170" i="29" s="1"/>
  <c r="R170" i="29"/>
  <c r="BB169" i="29"/>
  <c r="AT169" i="29"/>
  <c r="BA169" i="29" s="1"/>
  <c r="AS169" i="29"/>
  <c r="BC169" i="29" s="1"/>
  <c r="AR169" i="29"/>
  <c r="AH169" i="29"/>
  <c r="AZ169" i="29" s="1"/>
  <c r="AD169" i="29"/>
  <c r="AX169" i="29" s="1"/>
  <c r="AB169" i="29"/>
  <c r="R169" i="29"/>
  <c r="X169" i="29" s="1"/>
  <c r="BC168" i="29"/>
  <c r="BA168" i="29"/>
  <c r="AW168" i="29"/>
  <c r="AT168" i="29"/>
  <c r="AS168" i="29"/>
  <c r="AR168" i="29"/>
  <c r="BB168" i="29" s="1"/>
  <c r="AH168" i="29"/>
  <c r="AZ168" i="29" s="1"/>
  <c r="AB168" i="29"/>
  <c r="X168" i="29"/>
  <c r="R168" i="29"/>
  <c r="BC167" i="29"/>
  <c r="AZ167" i="29"/>
  <c r="AW167" i="29"/>
  <c r="AS167" i="29"/>
  <c r="AR167" i="29"/>
  <c r="AH167" i="29"/>
  <c r="AB167" i="29"/>
  <c r="AB195" i="29" s="1"/>
  <c r="R167" i="29"/>
  <c r="X167" i="29" s="1"/>
  <c r="AS166" i="29"/>
  <c r="BC166" i="29" s="1"/>
  <c r="AR166" i="29"/>
  <c r="AH166" i="29"/>
  <c r="AB166" i="29"/>
  <c r="AW166" i="29" s="1"/>
  <c r="R166" i="29"/>
  <c r="BC165" i="29"/>
  <c r="BB165" i="29"/>
  <c r="BA165" i="29"/>
  <c r="AV165" i="29"/>
  <c r="AT165" i="29"/>
  <c r="AS165" i="29"/>
  <c r="AS171" i="29" s="1"/>
  <c r="AR165" i="29"/>
  <c r="AH165" i="29"/>
  <c r="AZ165" i="29" s="1"/>
  <c r="AE165" i="29"/>
  <c r="AD165" i="29"/>
  <c r="AB165" i="29"/>
  <c r="R165" i="29"/>
  <c r="X165" i="29" s="1"/>
  <c r="AQ164" i="29"/>
  <c r="AP164" i="29"/>
  <c r="AO164" i="29"/>
  <c r="AN164" i="29"/>
  <c r="AM164" i="29"/>
  <c r="AL164" i="29"/>
  <c r="AK164" i="29"/>
  <c r="AJ164" i="29"/>
  <c r="AG164" i="29"/>
  <c r="AF164" i="29"/>
  <c r="AB164" i="29"/>
  <c r="AA164" i="29"/>
  <c r="Z164" i="29"/>
  <c r="Y164" i="29"/>
  <c r="W164" i="29"/>
  <c r="V164" i="29"/>
  <c r="U164" i="29"/>
  <c r="T164" i="29"/>
  <c r="S164" i="29"/>
  <c r="AV163" i="29"/>
  <c r="AT163" i="29"/>
  <c r="BA163" i="29" s="1"/>
  <c r="AS163" i="29"/>
  <c r="BC163" i="29" s="1"/>
  <c r="AR163" i="29"/>
  <c r="BB163" i="29" s="1"/>
  <c r="AH163" i="29"/>
  <c r="AZ163" i="29" s="1"/>
  <c r="AB163" i="29"/>
  <c r="R163" i="29"/>
  <c r="X163" i="29" s="1"/>
  <c r="AD163" i="29" s="1"/>
  <c r="AX163" i="29" s="1"/>
  <c r="BC162" i="29"/>
  <c r="BB162" i="29"/>
  <c r="AW162" i="29"/>
  <c r="AT162" i="29"/>
  <c r="BA162" i="29" s="1"/>
  <c r="AS162" i="29"/>
  <c r="AR162" i="29"/>
  <c r="AR164" i="29" s="1"/>
  <c r="AH162" i="29"/>
  <c r="AZ162" i="29" s="1"/>
  <c r="AD162" i="29"/>
  <c r="AX162" i="29" s="1"/>
  <c r="AB162" i="29"/>
  <c r="R162" i="29"/>
  <c r="X162" i="29" s="1"/>
  <c r="BB161" i="29"/>
  <c r="BB164" i="29" s="1"/>
  <c r="AT161" i="29"/>
  <c r="AS161" i="29"/>
  <c r="BC161" i="29" s="1"/>
  <c r="AR161" i="29"/>
  <c r="AH161" i="29"/>
  <c r="AB161" i="29"/>
  <c r="AW161" i="29" s="1"/>
  <c r="R161" i="29"/>
  <c r="X161" i="29" s="1"/>
  <c r="AQ160" i="29"/>
  <c r="AP160" i="29"/>
  <c r="AO160" i="29"/>
  <c r="AN160" i="29"/>
  <c r="AM160" i="29"/>
  <c r="AL160" i="29"/>
  <c r="AK160" i="29"/>
  <c r="AJ160" i="29"/>
  <c r="AG160" i="29"/>
  <c r="AF160" i="29"/>
  <c r="AA160" i="29"/>
  <c r="Z160" i="29"/>
  <c r="Y160" i="29"/>
  <c r="W160" i="29"/>
  <c r="V160" i="29"/>
  <c r="U160" i="29"/>
  <c r="T160" i="29"/>
  <c r="S160" i="29"/>
  <c r="BC159" i="29"/>
  <c r="AZ159" i="29"/>
  <c r="AS159" i="29"/>
  <c r="AR159" i="29"/>
  <c r="AH159" i="29"/>
  <c r="AE159" i="29"/>
  <c r="AY159" i="29" s="1"/>
  <c r="AB159" i="29"/>
  <c r="AW159" i="29" s="1"/>
  <c r="X159" i="29"/>
  <c r="R159" i="29"/>
  <c r="BC158" i="29"/>
  <c r="AZ158" i="29"/>
  <c r="AT158" i="29"/>
  <c r="BA158" i="29" s="1"/>
  <c r="AS158" i="29"/>
  <c r="AR158" i="29"/>
  <c r="BB158" i="29" s="1"/>
  <c r="AH158" i="29"/>
  <c r="AB158" i="29"/>
  <c r="AW158" i="29" s="1"/>
  <c r="X158" i="29"/>
  <c r="R158" i="29"/>
  <c r="AZ157" i="29"/>
  <c r="AX157" i="29"/>
  <c r="AV157" i="29"/>
  <c r="AS157" i="29"/>
  <c r="AR157" i="29"/>
  <c r="BB157" i="29" s="1"/>
  <c r="AH157" i="29"/>
  <c r="AE157" i="29"/>
  <c r="AY157" i="29" s="1"/>
  <c r="AB157" i="29"/>
  <c r="R157" i="29"/>
  <c r="X157" i="29" s="1"/>
  <c r="AD157" i="29" s="1"/>
  <c r="BC156" i="29"/>
  <c r="BB156" i="29"/>
  <c r="AS156" i="29"/>
  <c r="AR156" i="29"/>
  <c r="AT156" i="29" s="1"/>
  <c r="AH156" i="29"/>
  <c r="AB156" i="29"/>
  <c r="AW156" i="29" s="1"/>
  <c r="X156" i="29"/>
  <c r="R156" i="29"/>
  <c r="AQ155" i="29"/>
  <c r="AP155" i="29"/>
  <c r="AO155" i="29"/>
  <c r="AN155" i="29"/>
  <c r="AM155" i="29"/>
  <c r="AL155" i="29"/>
  <c r="AK155" i="29"/>
  <c r="AJ155" i="29"/>
  <c r="AH155" i="29"/>
  <c r="AG155" i="29"/>
  <c r="AF155" i="29"/>
  <c r="AA155" i="29"/>
  <c r="Z155" i="29"/>
  <c r="Y155" i="29"/>
  <c r="W155" i="29"/>
  <c r="V155" i="29"/>
  <c r="U155" i="29"/>
  <c r="T155" i="29"/>
  <c r="S155" i="29"/>
  <c r="BB154" i="29"/>
  <c r="AZ154" i="29"/>
  <c r="AS154" i="29"/>
  <c r="BC154" i="29" s="1"/>
  <c r="AR154" i="29"/>
  <c r="AT154" i="29" s="1"/>
  <c r="BA154" i="29" s="1"/>
  <c r="AH154" i="29"/>
  <c r="AB154" i="29"/>
  <c r="AW154" i="29" s="1"/>
  <c r="R154" i="29"/>
  <c r="X154" i="29" s="1"/>
  <c r="BC153" i="29"/>
  <c r="AZ153" i="29"/>
  <c r="AW153" i="29"/>
  <c r="AT153" i="29"/>
  <c r="BA153" i="29" s="1"/>
  <c r="AS153" i="29"/>
  <c r="AR153" i="29"/>
  <c r="AH153" i="29"/>
  <c r="AB153" i="29"/>
  <c r="R153" i="29"/>
  <c r="X153" i="29" s="1"/>
  <c r="BB152" i="29"/>
  <c r="AW152" i="29"/>
  <c r="AW155" i="29" s="1"/>
  <c r="AS152" i="29"/>
  <c r="AR152" i="29"/>
  <c r="AH152" i="29"/>
  <c r="AZ152" i="29" s="1"/>
  <c r="AZ155" i="29" s="1"/>
  <c r="AB152" i="29"/>
  <c r="AB155" i="29" s="1"/>
  <c r="R152" i="29"/>
  <c r="AQ151" i="29"/>
  <c r="AP151" i="29"/>
  <c r="AO151" i="29"/>
  <c r="AN151" i="29"/>
  <c r="AM151" i="29"/>
  <c r="AL151" i="29"/>
  <c r="AK151" i="29"/>
  <c r="AJ151" i="29"/>
  <c r="AG151" i="29"/>
  <c r="AF151" i="29"/>
  <c r="AB151" i="29"/>
  <c r="AA151" i="29"/>
  <c r="Z151" i="29"/>
  <c r="Y151" i="29"/>
  <c r="W151" i="29"/>
  <c r="V151" i="29"/>
  <c r="U151" i="29"/>
  <c r="T151" i="29"/>
  <c r="S151" i="29"/>
  <c r="BC150" i="29"/>
  <c r="AS150" i="29"/>
  <c r="AR150" i="29"/>
  <c r="AT150" i="29" s="1"/>
  <c r="BA150" i="29" s="1"/>
  <c r="AH150" i="29"/>
  <c r="AZ150" i="29" s="1"/>
  <c r="AE150" i="29"/>
  <c r="AY150" i="29" s="1"/>
  <c r="AB150" i="29"/>
  <c r="AW150" i="29" s="1"/>
  <c r="X150" i="29"/>
  <c r="R150" i="29"/>
  <c r="BC149" i="29"/>
  <c r="AW149" i="29"/>
  <c r="AS149" i="29"/>
  <c r="AR149" i="29"/>
  <c r="AH149" i="29"/>
  <c r="AZ149" i="29" s="1"/>
  <c r="AD149" i="29"/>
  <c r="AX149" i="29" s="1"/>
  <c r="AB149" i="29"/>
  <c r="X149" i="29"/>
  <c r="R149" i="29"/>
  <c r="BB148" i="29"/>
  <c r="AX148" i="29"/>
  <c r="AV148" i="29"/>
  <c r="AS148" i="29"/>
  <c r="BC148" i="29" s="1"/>
  <c r="AR148" i="29"/>
  <c r="AH148" i="29"/>
  <c r="AZ148" i="29" s="1"/>
  <c r="AE148" i="29"/>
  <c r="AY148" i="29" s="1"/>
  <c r="AD148" i="29"/>
  <c r="AB148" i="29"/>
  <c r="AW148" i="29" s="1"/>
  <c r="R148" i="29"/>
  <c r="X148" i="29" s="1"/>
  <c r="BC147" i="29"/>
  <c r="AZ147" i="29"/>
  <c r="AS147" i="29"/>
  <c r="AR147" i="29"/>
  <c r="AT147" i="29" s="1"/>
  <c r="BA147" i="29" s="1"/>
  <c r="AH147" i="29"/>
  <c r="AB147" i="29"/>
  <c r="AW147" i="29" s="1"/>
  <c r="X147" i="29"/>
  <c r="R147" i="29"/>
  <c r="BC146" i="29"/>
  <c r="BB146" i="29"/>
  <c r="AZ146" i="29"/>
  <c r="AT146" i="29"/>
  <c r="BA146" i="29" s="1"/>
  <c r="AS146" i="29"/>
  <c r="AR146" i="29"/>
  <c r="AH146" i="29"/>
  <c r="AB146" i="29"/>
  <c r="AW146" i="29" s="1"/>
  <c r="R146" i="29"/>
  <c r="X146" i="29" s="1"/>
  <c r="AX145" i="29"/>
  <c r="AV145" i="29"/>
  <c r="AS145" i="29"/>
  <c r="BC145" i="29" s="1"/>
  <c r="AR145" i="29"/>
  <c r="BB145" i="29" s="1"/>
  <c r="AH145" i="29"/>
  <c r="AE145" i="29"/>
  <c r="AC145" i="29"/>
  <c r="AB145" i="29"/>
  <c r="AW145" i="29" s="1"/>
  <c r="R145" i="29"/>
  <c r="X145" i="29" s="1"/>
  <c r="AD145" i="29" s="1"/>
  <c r="AR144" i="29"/>
  <c r="AQ144" i="29"/>
  <c r="AP144" i="29"/>
  <c r="AO144" i="29"/>
  <c r="AN144" i="29"/>
  <c r="AM144" i="29"/>
  <c r="AL144" i="29"/>
  <c r="AK144" i="29"/>
  <c r="AJ144" i="29"/>
  <c r="AG144" i="29"/>
  <c r="AF144" i="29"/>
  <c r="AB144" i="29"/>
  <c r="AA144" i="29"/>
  <c r="Z144" i="29"/>
  <c r="Y144" i="29"/>
  <c r="W144" i="29"/>
  <c r="V144" i="29"/>
  <c r="U144" i="29"/>
  <c r="T144" i="29"/>
  <c r="S144" i="29"/>
  <c r="BC143" i="29"/>
  <c r="AW143" i="29"/>
  <c r="AT143" i="29"/>
  <c r="BA143" i="29" s="1"/>
  <c r="AS143" i="29"/>
  <c r="AR143" i="29"/>
  <c r="BB143" i="29" s="1"/>
  <c r="AH143" i="29"/>
  <c r="AZ143" i="29" s="1"/>
  <c r="AC143" i="29"/>
  <c r="AB143" i="29"/>
  <c r="R143" i="29"/>
  <c r="X143" i="29" s="1"/>
  <c r="BB142" i="29"/>
  <c r="AX142" i="29"/>
  <c r="AV142" i="29"/>
  <c r="AT142" i="29"/>
  <c r="BA142" i="29" s="1"/>
  <c r="AS142" i="29"/>
  <c r="BC142" i="29" s="1"/>
  <c r="AR142" i="29"/>
  <c r="AH142" i="29"/>
  <c r="AZ142" i="29" s="1"/>
  <c r="AE142" i="29"/>
  <c r="AY142" i="29" s="1"/>
  <c r="AD142" i="29"/>
  <c r="AC142" i="29"/>
  <c r="AI142" i="29" s="1"/>
  <c r="AU142" i="29" s="1"/>
  <c r="AB142" i="29"/>
  <c r="AW142" i="29" s="1"/>
  <c r="R142" i="29"/>
  <c r="X142" i="29" s="1"/>
  <c r="BC141" i="29"/>
  <c r="AS141" i="29"/>
  <c r="AR141" i="29"/>
  <c r="AT141" i="29" s="1"/>
  <c r="BA141" i="29" s="1"/>
  <c r="AH141" i="29"/>
  <c r="AZ141" i="29" s="1"/>
  <c r="AE141" i="29"/>
  <c r="AY141" i="29" s="1"/>
  <c r="AB141" i="29"/>
  <c r="AW141" i="29" s="1"/>
  <c r="X141" i="29"/>
  <c r="R141" i="29"/>
  <c r="BC140" i="29"/>
  <c r="AZ140" i="29"/>
  <c r="AS140" i="29"/>
  <c r="AR140" i="29"/>
  <c r="AH140" i="29"/>
  <c r="AD140" i="29"/>
  <c r="AX140" i="29" s="1"/>
  <c r="AB140" i="29"/>
  <c r="AW140" i="29" s="1"/>
  <c r="X140" i="29"/>
  <c r="R140" i="29"/>
  <c r="AV139" i="29"/>
  <c r="AT139" i="29"/>
  <c r="BA139" i="29" s="1"/>
  <c r="AS139" i="29"/>
  <c r="BC139" i="29" s="1"/>
  <c r="AR139" i="29"/>
  <c r="BB139" i="29" s="1"/>
  <c r="AH139" i="29"/>
  <c r="AE139" i="29"/>
  <c r="AY139" i="29" s="1"/>
  <c r="AB139" i="29"/>
  <c r="R139" i="29"/>
  <c r="X139" i="29" s="1"/>
  <c r="AD139" i="29" s="1"/>
  <c r="AX139" i="29" s="1"/>
  <c r="BC138" i="29"/>
  <c r="BB138" i="29"/>
  <c r="AV138" i="29"/>
  <c r="AS138" i="29"/>
  <c r="AR138" i="29"/>
  <c r="AT138" i="29" s="1"/>
  <c r="BA138" i="29" s="1"/>
  <c r="AH138" i="29"/>
  <c r="AZ138" i="29" s="1"/>
  <c r="AE138" i="29"/>
  <c r="AY138" i="29" s="1"/>
  <c r="AB138" i="29"/>
  <c r="AW138" i="29" s="1"/>
  <c r="X138" i="29"/>
  <c r="R138" i="29"/>
  <c r="BC137" i="29"/>
  <c r="AW137" i="29"/>
  <c r="AT137" i="29"/>
  <c r="AS137" i="29"/>
  <c r="AR137" i="29"/>
  <c r="BB137" i="29" s="1"/>
  <c r="AH137" i="29"/>
  <c r="AZ137" i="29" s="1"/>
  <c r="AB137" i="29"/>
  <c r="R137" i="29"/>
  <c r="AR136" i="29"/>
  <c r="AQ136" i="29"/>
  <c r="AP136" i="29"/>
  <c r="AO136" i="29"/>
  <c r="AN136" i="29"/>
  <c r="AM136" i="29"/>
  <c r="AL136" i="29"/>
  <c r="AK136" i="29"/>
  <c r="AJ136" i="29"/>
  <c r="AG136" i="29"/>
  <c r="AF136" i="29"/>
  <c r="AB136" i="29"/>
  <c r="AA136" i="29"/>
  <c r="Z136" i="29"/>
  <c r="Y136" i="29"/>
  <c r="W136" i="29"/>
  <c r="V136" i="29"/>
  <c r="U136" i="29"/>
  <c r="T136" i="29"/>
  <c r="S136" i="29"/>
  <c r="BB135" i="29"/>
  <c r="AW135" i="29"/>
  <c r="AW200" i="29" s="1"/>
  <c r="AV135" i="29"/>
  <c r="AS135" i="29"/>
  <c r="AR135" i="29"/>
  <c r="AR200" i="29" s="1"/>
  <c r="AH135" i="29"/>
  <c r="AB135" i="29"/>
  <c r="AB200" i="29" s="1"/>
  <c r="X135" i="29"/>
  <c r="R135" i="29"/>
  <c r="AR134" i="29"/>
  <c r="AQ134" i="29"/>
  <c r="AP134" i="29"/>
  <c r="AO134" i="29"/>
  <c r="AN134" i="29"/>
  <c r="AM134" i="29"/>
  <c r="AL134" i="29"/>
  <c r="AK134" i="29"/>
  <c r="AJ134" i="29"/>
  <c r="AG134" i="29"/>
  <c r="AF134" i="29"/>
  <c r="AA134" i="29"/>
  <c r="Z134" i="29"/>
  <c r="Y134" i="29"/>
  <c r="W134" i="29"/>
  <c r="V134" i="29"/>
  <c r="U134" i="29"/>
  <c r="T134" i="29"/>
  <c r="S134" i="29"/>
  <c r="R134" i="29"/>
  <c r="BC133" i="29"/>
  <c r="AZ133" i="29"/>
  <c r="AT133" i="29"/>
  <c r="BA133" i="29" s="1"/>
  <c r="AS133" i="29"/>
  <c r="AR133" i="29"/>
  <c r="BB133" i="29" s="1"/>
  <c r="AH133" i="29"/>
  <c r="AE133" i="29"/>
  <c r="AY133" i="29" s="1"/>
  <c r="AD133" i="29"/>
  <c r="AX133" i="29" s="1"/>
  <c r="AB133" i="29"/>
  <c r="AW133" i="29" s="1"/>
  <c r="X133" i="29"/>
  <c r="R133" i="29"/>
  <c r="BB132" i="29"/>
  <c r="AZ132" i="29"/>
  <c r="AW132" i="29"/>
  <c r="AS132" i="29"/>
  <c r="AR132" i="29"/>
  <c r="AH132" i="29"/>
  <c r="AD132" i="29"/>
  <c r="AX132" i="29" s="1"/>
  <c r="AB132" i="29"/>
  <c r="X132" i="29"/>
  <c r="R132" i="29"/>
  <c r="AX131" i="29"/>
  <c r="AV131" i="29"/>
  <c r="AS131" i="29"/>
  <c r="BC131" i="29" s="1"/>
  <c r="AR131" i="29"/>
  <c r="AH131" i="29"/>
  <c r="AZ131" i="29" s="1"/>
  <c r="AE131" i="29"/>
  <c r="AY131" i="29" s="1"/>
  <c r="AC131" i="29"/>
  <c r="AB131" i="29"/>
  <c r="AW131" i="29" s="1"/>
  <c r="R131" i="29"/>
  <c r="X131" i="29" s="1"/>
  <c r="AD131" i="29" s="1"/>
  <c r="BC130" i="29"/>
  <c r="AZ130" i="29"/>
  <c r="AW130" i="29"/>
  <c r="AT130" i="29"/>
  <c r="BA130" i="29" s="1"/>
  <c r="AS130" i="29"/>
  <c r="AR130" i="29"/>
  <c r="BB130" i="29" s="1"/>
  <c r="AH130" i="29"/>
  <c r="AB130" i="29"/>
  <c r="X130" i="29"/>
  <c r="R130" i="29"/>
  <c r="BB129" i="29"/>
  <c r="AZ129" i="29"/>
  <c r="AZ134" i="29" s="1"/>
  <c r="AW129" i="29"/>
  <c r="AW134" i="29" s="1"/>
  <c r="AS129" i="29"/>
  <c r="BC129" i="29" s="1"/>
  <c r="AR129" i="29"/>
  <c r="AH129" i="29"/>
  <c r="AH134" i="29" s="1"/>
  <c r="AD129" i="29"/>
  <c r="AX129" i="29" s="1"/>
  <c r="AB129" i="29"/>
  <c r="AB134" i="29" s="1"/>
  <c r="X129" i="29"/>
  <c r="R129" i="29"/>
  <c r="AQ128" i="29"/>
  <c r="AP128" i="29"/>
  <c r="AO128" i="29"/>
  <c r="AN128" i="29"/>
  <c r="AM128" i="29"/>
  <c r="AL128" i="29"/>
  <c r="AK128" i="29"/>
  <c r="AJ128" i="29"/>
  <c r="AG128" i="29"/>
  <c r="AF128" i="29"/>
  <c r="AA128" i="29"/>
  <c r="Z128" i="29"/>
  <c r="Y128" i="29"/>
  <c r="X128" i="29"/>
  <c r="W128" i="29"/>
  <c r="V128" i="29"/>
  <c r="U128" i="29"/>
  <c r="T128" i="29"/>
  <c r="S128" i="29"/>
  <c r="R128" i="29"/>
  <c r="BC127" i="29"/>
  <c r="AZ127" i="29"/>
  <c r="AX127" i="29"/>
  <c r="AT127" i="29"/>
  <c r="BA127" i="29" s="1"/>
  <c r="AS127" i="29"/>
  <c r="AR127" i="29"/>
  <c r="BB127" i="29" s="1"/>
  <c r="AH127" i="29"/>
  <c r="AE127" i="29"/>
  <c r="AY127" i="29" s="1"/>
  <c r="AD127" i="29"/>
  <c r="AB127" i="29"/>
  <c r="AW127" i="29" s="1"/>
  <c r="X127" i="29"/>
  <c r="R127" i="29"/>
  <c r="BB126" i="29"/>
  <c r="AZ126" i="29"/>
  <c r="AW126" i="29"/>
  <c r="AV126" i="29"/>
  <c r="AS126" i="29"/>
  <c r="AR126" i="29"/>
  <c r="AH126" i="29"/>
  <c r="AB126" i="29"/>
  <c r="X126" i="29"/>
  <c r="R126" i="29"/>
  <c r="AX125" i="29"/>
  <c r="AV125" i="29"/>
  <c r="AS125" i="29"/>
  <c r="BC125" i="29" s="1"/>
  <c r="AR125" i="29"/>
  <c r="AH125" i="29"/>
  <c r="AZ125" i="29" s="1"/>
  <c r="AE125" i="29"/>
  <c r="AY125" i="29" s="1"/>
  <c r="AC125" i="29"/>
  <c r="AI125" i="29" s="1"/>
  <c r="AU125" i="29" s="1"/>
  <c r="AB125" i="29"/>
  <c r="AW125" i="29" s="1"/>
  <c r="R125" i="29"/>
  <c r="X125" i="29" s="1"/>
  <c r="AD125" i="29" s="1"/>
  <c r="BC124" i="29"/>
  <c r="AZ124" i="29"/>
  <c r="AW124" i="29"/>
  <c r="AS124" i="29"/>
  <c r="AR124" i="29"/>
  <c r="AH124" i="29"/>
  <c r="AD124" i="29"/>
  <c r="AX124" i="29" s="1"/>
  <c r="AB124" i="29"/>
  <c r="X124" i="29"/>
  <c r="R124" i="29"/>
  <c r="BB123" i="29"/>
  <c r="AZ123" i="29"/>
  <c r="AZ128" i="29" s="1"/>
  <c r="AW123" i="29"/>
  <c r="AW128" i="29" s="1"/>
  <c r="AS123" i="29"/>
  <c r="BC123" i="29" s="1"/>
  <c r="AR123" i="29"/>
  <c r="AH123" i="29"/>
  <c r="AH128" i="29" s="1"/>
  <c r="AD123" i="29"/>
  <c r="AX123" i="29" s="1"/>
  <c r="AB123" i="29"/>
  <c r="AB128" i="29" s="1"/>
  <c r="X123" i="29"/>
  <c r="R123" i="29"/>
  <c r="AQ122" i="29"/>
  <c r="AP122" i="29"/>
  <c r="AO122" i="29"/>
  <c r="AN122" i="29"/>
  <c r="AM122" i="29"/>
  <c r="AL122" i="29"/>
  <c r="AK122" i="29"/>
  <c r="AJ122" i="29"/>
  <c r="AG122" i="29"/>
  <c r="AF122" i="29"/>
  <c r="AA122" i="29"/>
  <c r="Z122" i="29"/>
  <c r="Y122" i="29"/>
  <c r="W122" i="29"/>
  <c r="V122" i="29"/>
  <c r="U122" i="29"/>
  <c r="T122" i="29"/>
  <c r="S122" i="29"/>
  <c r="R122" i="29"/>
  <c r="BC121" i="29"/>
  <c r="AZ121" i="29"/>
  <c r="AX121" i="29"/>
  <c r="AT121" i="29"/>
  <c r="BA121" i="29" s="1"/>
  <c r="AS121" i="29"/>
  <c r="AR121" i="29"/>
  <c r="BB121" i="29" s="1"/>
  <c r="AH121" i="29"/>
  <c r="AE121" i="29"/>
  <c r="AY121" i="29" s="1"/>
  <c r="AD121" i="29"/>
  <c r="AB121" i="29"/>
  <c r="AW121" i="29" s="1"/>
  <c r="X121" i="29"/>
  <c r="R121" i="29"/>
  <c r="BB120" i="29"/>
  <c r="AZ120" i="29"/>
  <c r="AW120" i="29"/>
  <c r="AS120" i="29"/>
  <c r="AR120" i="29"/>
  <c r="AH120" i="29"/>
  <c r="AD120" i="29"/>
  <c r="AX120" i="29" s="1"/>
  <c r="AB120" i="29"/>
  <c r="X120" i="29"/>
  <c r="R120" i="29"/>
  <c r="AX119" i="29"/>
  <c r="AV119" i="29"/>
  <c r="AS119" i="29"/>
  <c r="BC119" i="29" s="1"/>
  <c r="AR119" i="29"/>
  <c r="AH119" i="29"/>
  <c r="AZ119" i="29" s="1"/>
  <c r="AE119" i="29"/>
  <c r="AY119" i="29" s="1"/>
  <c r="AC119" i="29"/>
  <c r="AI119" i="29" s="1"/>
  <c r="AU119" i="29" s="1"/>
  <c r="AB119" i="29"/>
  <c r="AW119" i="29" s="1"/>
  <c r="R119" i="29"/>
  <c r="X119" i="29" s="1"/>
  <c r="AD119" i="29" s="1"/>
  <c r="BC118" i="29"/>
  <c r="AZ118" i="29"/>
  <c r="AW118" i="29"/>
  <c r="AT118" i="29"/>
  <c r="BA118" i="29" s="1"/>
  <c r="AS118" i="29"/>
  <c r="AR118" i="29"/>
  <c r="BB118" i="29" s="1"/>
  <c r="AH118" i="29"/>
  <c r="AD118" i="29"/>
  <c r="AX118" i="29" s="1"/>
  <c r="AB118" i="29"/>
  <c r="X118" i="29"/>
  <c r="R118" i="29"/>
  <c r="BB117" i="29"/>
  <c r="AW117" i="29"/>
  <c r="AV117" i="29"/>
  <c r="AS117" i="29"/>
  <c r="BC117" i="29" s="1"/>
  <c r="AR117" i="29"/>
  <c r="AH117" i="29"/>
  <c r="AB117" i="29"/>
  <c r="AB122" i="29" s="1"/>
  <c r="X117" i="29"/>
  <c r="R117" i="29"/>
  <c r="AR116" i="29"/>
  <c r="AQ116" i="29"/>
  <c r="AP116" i="29"/>
  <c r="AO116" i="29"/>
  <c r="AN116" i="29"/>
  <c r="AM116" i="29"/>
  <c r="AL116" i="29"/>
  <c r="AK116" i="29"/>
  <c r="AJ116" i="29"/>
  <c r="AG116" i="29"/>
  <c r="AF116" i="29"/>
  <c r="AA116" i="29"/>
  <c r="Z116" i="29"/>
  <c r="Y116" i="29"/>
  <c r="W116" i="29"/>
  <c r="V116" i="29"/>
  <c r="U116" i="29"/>
  <c r="T116" i="29"/>
  <c r="S116" i="29"/>
  <c r="R116" i="29"/>
  <c r="BC115" i="29"/>
  <c r="AZ115" i="29"/>
  <c r="AT115" i="29"/>
  <c r="BA115" i="29" s="1"/>
  <c r="AS115" i="29"/>
  <c r="AR115" i="29"/>
  <c r="BB115" i="29" s="1"/>
  <c r="AH115" i="29"/>
  <c r="AE115" i="29"/>
  <c r="AY115" i="29" s="1"/>
  <c r="AD115" i="29"/>
  <c r="AX115" i="29" s="1"/>
  <c r="AB115" i="29"/>
  <c r="AW115" i="29" s="1"/>
  <c r="X115" i="29"/>
  <c r="R115" i="29"/>
  <c r="BB114" i="29"/>
  <c r="AZ114" i="29"/>
  <c r="AW114" i="29"/>
  <c r="AS114" i="29"/>
  <c r="AR114" i="29"/>
  <c r="AH114" i="29"/>
  <c r="AD114" i="29"/>
  <c r="AX114" i="29" s="1"/>
  <c r="AB114" i="29"/>
  <c r="X114" i="29"/>
  <c r="R114" i="29"/>
  <c r="AX113" i="29"/>
  <c r="AV113" i="29"/>
  <c r="AS113" i="29"/>
  <c r="BC113" i="29" s="1"/>
  <c r="AR113" i="29"/>
  <c r="AH113" i="29"/>
  <c r="AZ113" i="29" s="1"/>
  <c r="AE113" i="29"/>
  <c r="AY113" i="29" s="1"/>
  <c r="AC113" i="29"/>
  <c r="AB113" i="29"/>
  <c r="AW113" i="29" s="1"/>
  <c r="R113" i="29"/>
  <c r="X113" i="29" s="1"/>
  <c r="AD113" i="29" s="1"/>
  <c r="BC112" i="29"/>
  <c r="AZ112" i="29"/>
  <c r="AW112" i="29"/>
  <c r="AT112" i="29"/>
  <c r="BA112" i="29" s="1"/>
  <c r="AS112" i="29"/>
  <c r="AR112" i="29"/>
  <c r="BB112" i="29" s="1"/>
  <c r="AH112" i="29"/>
  <c r="AB112" i="29"/>
  <c r="X112" i="29"/>
  <c r="R112" i="29"/>
  <c r="BB111" i="29"/>
  <c r="AZ111" i="29"/>
  <c r="AZ116" i="29" s="1"/>
  <c r="AW111" i="29"/>
  <c r="AW116" i="29" s="1"/>
  <c r="AS111" i="29"/>
  <c r="BC111" i="29" s="1"/>
  <c r="AR111" i="29"/>
  <c r="AH111" i="29"/>
  <c r="AH116" i="29" s="1"/>
  <c r="AD111" i="29"/>
  <c r="AX111" i="29" s="1"/>
  <c r="AB111" i="29"/>
  <c r="AB116" i="29" s="1"/>
  <c r="X111" i="29"/>
  <c r="R111" i="29"/>
  <c r="AQ110" i="29"/>
  <c r="AP110" i="29"/>
  <c r="AO110" i="29"/>
  <c r="AN110" i="29"/>
  <c r="AM110" i="29"/>
  <c r="AL110" i="29"/>
  <c r="AK110" i="29"/>
  <c r="AJ110" i="29"/>
  <c r="AG110" i="29"/>
  <c r="AF110" i="29"/>
  <c r="AA110" i="29"/>
  <c r="Z110" i="29"/>
  <c r="Y110" i="29"/>
  <c r="X110" i="29"/>
  <c r="W110" i="29"/>
  <c r="V110" i="29"/>
  <c r="U110" i="29"/>
  <c r="T110" i="29"/>
  <c r="S110" i="29"/>
  <c r="R110" i="29"/>
  <c r="BC109" i="29"/>
  <c r="AZ109" i="29"/>
  <c r="AX109" i="29"/>
  <c r="AT109" i="29"/>
  <c r="BA109" i="29" s="1"/>
  <c r="AS109" i="29"/>
  <c r="AR109" i="29"/>
  <c r="BB109" i="29" s="1"/>
  <c r="AH109" i="29"/>
  <c r="AE109" i="29"/>
  <c r="AY109" i="29" s="1"/>
  <c r="AD109" i="29"/>
  <c r="AB109" i="29"/>
  <c r="AW109" i="29" s="1"/>
  <c r="X109" i="29"/>
  <c r="R109" i="29"/>
  <c r="BB108" i="29"/>
  <c r="AZ108" i="29"/>
  <c r="AW108" i="29"/>
  <c r="AV108" i="29"/>
  <c r="AS108" i="29"/>
  <c r="AR108" i="29"/>
  <c r="AH108" i="29"/>
  <c r="AB108" i="29"/>
  <c r="X108" i="29"/>
  <c r="R108" i="29"/>
  <c r="AX107" i="29"/>
  <c r="AV107" i="29"/>
  <c r="AS107" i="29"/>
  <c r="BC107" i="29" s="1"/>
  <c r="AR107" i="29"/>
  <c r="AH107" i="29"/>
  <c r="AZ107" i="29" s="1"/>
  <c r="AE107" i="29"/>
  <c r="AY107" i="29" s="1"/>
  <c r="AC107" i="29"/>
  <c r="AI107" i="29" s="1"/>
  <c r="AU107" i="29" s="1"/>
  <c r="AB107" i="29"/>
  <c r="AW107" i="29" s="1"/>
  <c r="R107" i="29"/>
  <c r="X107" i="29" s="1"/>
  <c r="AD107" i="29" s="1"/>
  <c r="BC106" i="29"/>
  <c r="AZ106" i="29"/>
  <c r="AW106" i="29"/>
  <c r="AS106" i="29"/>
  <c r="AR106" i="29"/>
  <c r="AH106" i="29"/>
  <c r="AD106" i="29"/>
  <c r="AX106" i="29" s="1"/>
  <c r="AB106" i="29"/>
  <c r="X106" i="29"/>
  <c r="R106" i="29"/>
  <c r="BB105" i="29"/>
  <c r="AZ105" i="29"/>
  <c r="AZ110" i="29" s="1"/>
  <c r="AW105" i="29"/>
  <c r="AW110" i="29" s="1"/>
  <c r="AS105" i="29"/>
  <c r="BC105" i="29" s="1"/>
  <c r="AR105" i="29"/>
  <c r="AH105" i="29"/>
  <c r="AH110" i="29" s="1"/>
  <c r="AD105" i="29"/>
  <c r="AX105" i="29" s="1"/>
  <c r="AB105" i="29"/>
  <c r="AB110" i="29" s="1"/>
  <c r="X105" i="29"/>
  <c r="R105" i="29"/>
  <c r="AS104" i="29"/>
  <c r="AQ104" i="29"/>
  <c r="AP104" i="29"/>
  <c r="AO104" i="29"/>
  <c r="AN104" i="29"/>
  <c r="AM104" i="29"/>
  <c r="AL104" i="29"/>
  <c r="AK104" i="29"/>
  <c r="AJ104" i="29"/>
  <c r="AG104" i="29"/>
  <c r="AF104" i="29"/>
  <c r="AA104" i="29"/>
  <c r="Z104" i="29"/>
  <c r="Y104" i="29"/>
  <c r="W104" i="29"/>
  <c r="V104" i="29"/>
  <c r="U104" i="29"/>
  <c r="T104" i="29"/>
  <c r="S104" i="29"/>
  <c r="BC103" i="29"/>
  <c r="AS103" i="29"/>
  <c r="AR103" i="29"/>
  <c r="AH103" i="29"/>
  <c r="AZ103" i="29" s="1"/>
  <c r="AB103" i="29"/>
  <c r="AW103" i="29" s="1"/>
  <c r="X103" i="29"/>
  <c r="R103" i="29"/>
  <c r="BC102" i="29"/>
  <c r="BB102" i="29"/>
  <c r="AZ102" i="29"/>
  <c r="AT102" i="29"/>
  <c r="BA102" i="29" s="1"/>
  <c r="AS102" i="29"/>
  <c r="AR102" i="29"/>
  <c r="AH102" i="29"/>
  <c r="AB102" i="29"/>
  <c r="AW102" i="29" s="1"/>
  <c r="R102" i="29"/>
  <c r="AZ101" i="29"/>
  <c r="AV101" i="29"/>
  <c r="AS101" i="29"/>
  <c r="BC101" i="29" s="1"/>
  <c r="AR101" i="29"/>
  <c r="BB101" i="29" s="1"/>
  <c r="AH101" i="29"/>
  <c r="AE101" i="29"/>
  <c r="AY101" i="29" s="1"/>
  <c r="AC101" i="29"/>
  <c r="AI101" i="29" s="1"/>
  <c r="AU101" i="29" s="1"/>
  <c r="AB101" i="29"/>
  <c r="AW101" i="29" s="1"/>
  <c r="R101" i="29"/>
  <c r="X101" i="29" s="1"/>
  <c r="AD101" i="29" s="1"/>
  <c r="AX101" i="29" s="1"/>
  <c r="BC100" i="29"/>
  <c r="AZ100" i="29"/>
  <c r="AS100" i="29"/>
  <c r="AR100" i="29"/>
  <c r="AH100" i="29"/>
  <c r="AE100" i="29"/>
  <c r="AY100" i="29" s="1"/>
  <c r="AB100" i="29"/>
  <c r="AW100" i="29" s="1"/>
  <c r="X100" i="29"/>
  <c r="R100" i="29"/>
  <c r="BC99" i="29"/>
  <c r="AW99" i="29"/>
  <c r="AT99" i="29"/>
  <c r="AS99" i="29"/>
  <c r="AR99" i="29"/>
  <c r="AH99" i="29"/>
  <c r="AZ99" i="29" s="1"/>
  <c r="AZ104" i="29" s="1"/>
  <c r="AB99" i="29"/>
  <c r="X99" i="29"/>
  <c r="R99" i="29"/>
  <c r="AQ98" i="29"/>
  <c r="AP98" i="29"/>
  <c r="AO98" i="29"/>
  <c r="AN98" i="29"/>
  <c r="AM98" i="29"/>
  <c r="AL98" i="29"/>
  <c r="AK98" i="29"/>
  <c r="AJ98" i="29"/>
  <c r="AG98" i="29"/>
  <c r="AF98" i="29"/>
  <c r="AA98" i="29"/>
  <c r="Z98" i="29"/>
  <c r="Y98" i="29"/>
  <c r="W98" i="29"/>
  <c r="V98" i="29"/>
  <c r="U98" i="29"/>
  <c r="T98" i="29"/>
  <c r="S98" i="29"/>
  <c r="BC97" i="29"/>
  <c r="BB97" i="29"/>
  <c r="AW97" i="29"/>
  <c r="AT97" i="29"/>
  <c r="BA97" i="29" s="1"/>
  <c r="AS97" i="29"/>
  <c r="AR97" i="29"/>
  <c r="AH97" i="29"/>
  <c r="AZ97" i="29" s="1"/>
  <c r="AB97" i="29"/>
  <c r="R97" i="29"/>
  <c r="X97" i="29" s="1"/>
  <c r="AS96" i="29"/>
  <c r="AR96" i="29"/>
  <c r="AH96" i="29"/>
  <c r="AZ96" i="29" s="1"/>
  <c r="AD96" i="29"/>
  <c r="AX96" i="29" s="1"/>
  <c r="AB96" i="29"/>
  <c r="AW96" i="29" s="1"/>
  <c r="X96" i="29"/>
  <c r="R96" i="29"/>
  <c r="AT95" i="29"/>
  <c r="BA95" i="29" s="1"/>
  <c r="AS95" i="29"/>
  <c r="BC95" i="29" s="1"/>
  <c r="AR95" i="29"/>
  <c r="BB95" i="29" s="1"/>
  <c r="AH95" i="29"/>
  <c r="AZ95" i="29" s="1"/>
  <c r="AD95" i="29"/>
  <c r="AX95" i="29" s="1"/>
  <c r="AC95" i="29"/>
  <c r="AB95" i="29"/>
  <c r="AW95" i="29" s="1"/>
  <c r="R95" i="29"/>
  <c r="X95" i="29" s="1"/>
  <c r="BC94" i="29"/>
  <c r="BA94" i="29"/>
  <c r="AW94" i="29"/>
  <c r="AV94" i="29"/>
  <c r="AT94" i="29"/>
  <c r="AS94" i="29"/>
  <c r="AR94" i="29"/>
  <c r="BB94" i="29" s="1"/>
  <c r="AH94" i="29"/>
  <c r="AD94" i="29"/>
  <c r="AX94" i="29" s="1"/>
  <c r="AB94" i="29"/>
  <c r="R94" i="29"/>
  <c r="X94" i="29" s="1"/>
  <c r="X98" i="29" s="1"/>
  <c r="BC93" i="29"/>
  <c r="AW93" i="29"/>
  <c r="AW98" i="29" s="1"/>
  <c r="AS93" i="29"/>
  <c r="AR93" i="29"/>
  <c r="AH93" i="29"/>
  <c r="AZ93" i="29" s="1"/>
  <c r="AD93" i="29"/>
  <c r="AX93" i="29" s="1"/>
  <c r="AB93" i="29"/>
  <c r="AB98" i="29" s="1"/>
  <c r="X93" i="29"/>
  <c r="R93" i="29"/>
  <c r="AR92" i="29"/>
  <c r="AQ92" i="29"/>
  <c r="AP92" i="29"/>
  <c r="AO92" i="29"/>
  <c r="AN92" i="29"/>
  <c r="AM92" i="29"/>
  <c r="AL92" i="29"/>
  <c r="AK92" i="29"/>
  <c r="AJ92" i="29"/>
  <c r="AG92" i="29"/>
  <c r="AF92" i="29"/>
  <c r="AA92" i="29"/>
  <c r="Z92" i="29"/>
  <c r="Y92" i="29"/>
  <c r="X92" i="29"/>
  <c r="W92" i="29"/>
  <c r="V92" i="29"/>
  <c r="U92" i="29"/>
  <c r="T92" i="29"/>
  <c r="S92" i="29"/>
  <c r="R92" i="29"/>
  <c r="BC91" i="29"/>
  <c r="AW91" i="29"/>
  <c r="AS91" i="29"/>
  <c r="AR91" i="29"/>
  <c r="AH91" i="29"/>
  <c r="AZ91" i="29" s="1"/>
  <c r="AE91" i="29"/>
  <c r="AY91" i="29" s="1"/>
  <c r="AB91" i="29"/>
  <c r="X91" i="29"/>
  <c r="R91" i="29"/>
  <c r="BB90" i="29"/>
  <c r="AZ90" i="29"/>
  <c r="AT90" i="29"/>
  <c r="BA90" i="29" s="1"/>
  <c r="AS90" i="29"/>
  <c r="BC90" i="29" s="1"/>
  <c r="AR90" i="29"/>
  <c r="AH90" i="29"/>
  <c r="AB90" i="29"/>
  <c r="R90" i="29"/>
  <c r="X90" i="29" s="1"/>
  <c r="AZ89" i="29"/>
  <c r="AV89" i="29"/>
  <c r="AS89" i="29"/>
  <c r="BC89" i="29" s="1"/>
  <c r="AR89" i="29"/>
  <c r="AT89" i="29" s="1"/>
  <c r="BA89" i="29" s="1"/>
  <c r="AH89" i="29"/>
  <c r="AE89" i="29"/>
  <c r="AY89" i="29" s="1"/>
  <c r="AD89" i="29"/>
  <c r="AX89" i="29" s="1"/>
  <c r="AB89" i="29"/>
  <c r="AW89" i="29" s="1"/>
  <c r="R89" i="29"/>
  <c r="X89" i="29" s="1"/>
  <c r="BC88" i="29"/>
  <c r="BB88" i="29"/>
  <c r="AZ88" i="29"/>
  <c r="AW88" i="29"/>
  <c r="AT88" i="29"/>
  <c r="BA88" i="29" s="1"/>
  <c r="AS88" i="29"/>
  <c r="AR88" i="29"/>
  <c r="AH88" i="29"/>
  <c r="AB88" i="29"/>
  <c r="R88" i="29"/>
  <c r="X88" i="29" s="1"/>
  <c r="AD88" i="29" s="1"/>
  <c r="AX88" i="29" s="1"/>
  <c r="BB87" i="29"/>
  <c r="AS87" i="29"/>
  <c r="AR87" i="29"/>
  <c r="AH87" i="29"/>
  <c r="AB87" i="29"/>
  <c r="AW87" i="29" s="1"/>
  <c r="R87" i="29"/>
  <c r="X87" i="29" s="1"/>
  <c r="AS86" i="29"/>
  <c r="AQ86" i="29"/>
  <c r="AP86" i="29"/>
  <c r="AO86" i="29"/>
  <c r="AN86" i="29"/>
  <c r="AM86" i="29"/>
  <c r="AL86" i="29"/>
  <c r="AK86" i="29"/>
  <c r="AJ86" i="29"/>
  <c r="AG86" i="29"/>
  <c r="AF86" i="29"/>
  <c r="AA86" i="29"/>
  <c r="Z86" i="29"/>
  <c r="Y86" i="29"/>
  <c r="W86" i="29"/>
  <c r="V86" i="29"/>
  <c r="U86" i="29"/>
  <c r="T86" i="29"/>
  <c r="S86" i="29"/>
  <c r="BC85" i="29"/>
  <c r="AV85" i="29"/>
  <c r="AS85" i="29"/>
  <c r="AR85" i="29"/>
  <c r="AT85" i="29" s="1"/>
  <c r="BA85" i="29" s="1"/>
  <c r="AH85" i="29"/>
  <c r="AZ85" i="29" s="1"/>
  <c r="AE85" i="29"/>
  <c r="AY85" i="29" s="1"/>
  <c r="AB85" i="29"/>
  <c r="X85" i="29"/>
  <c r="R85" i="29"/>
  <c r="BC84" i="29"/>
  <c r="AW84" i="29"/>
  <c r="AT84" i="29"/>
  <c r="AS84" i="29"/>
  <c r="AR84" i="29"/>
  <c r="AH84" i="29"/>
  <c r="AZ84" i="29" s="1"/>
  <c r="AB84" i="29"/>
  <c r="R84" i="29"/>
  <c r="BB83" i="29"/>
  <c r="AX83" i="29"/>
  <c r="AV83" i="29"/>
  <c r="AT83" i="29"/>
  <c r="BA83" i="29" s="1"/>
  <c r="AS83" i="29"/>
  <c r="BC83" i="29" s="1"/>
  <c r="AR83" i="29"/>
  <c r="AH83" i="29"/>
  <c r="AZ83" i="29" s="1"/>
  <c r="AE83" i="29"/>
  <c r="AY83" i="29" s="1"/>
  <c r="AD83" i="29"/>
  <c r="AC83" i="29"/>
  <c r="AB83" i="29"/>
  <c r="AW83" i="29" s="1"/>
  <c r="R83" i="29"/>
  <c r="X83" i="29" s="1"/>
  <c r="BC82" i="29"/>
  <c r="AS82" i="29"/>
  <c r="AR82" i="29"/>
  <c r="AT82" i="29" s="1"/>
  <c r="BA82" i="29" s="1"/>
  <c r="AH82" i="29"/>
  <c r="AZ82" i="29" s="1"/>
  <c r="AE82" i="29"/>
  <c r="AY82" i="29" s="1"/>
  <c r="AB82" i="29"/>
  <c r="AW82" i="29" s="1"/>
  <c r="X82" i="29"/>
  <c r="R82" i="29"/>
  <c r="BC81" i="29"/>
  <c r="AZ81" i="29"/>
  <c r="AS81" i="29"/>
  <c r="AR81" i="29"/>
  <c r="AH81" i="29"/>
  <c r="AD81" i="29"/>
  <c r="AB81" i="29"/>
  <c r="AW81" i="29" s="1"/>
  <c r="X81" i="29"/>
  <c r="R81" i="29"/>
  <c r="R193" i="29" s="1"/>
  <c r="AQ80" i="29"/>
  <c r="AP80" i="29"/>
  <c r="AO80" i="29"/>
  <c r="AN80" i="29"/>
  <c r="AM80" i="29"/>
  <c r="AL80" i="29"/>
  <c r="AK80" i="29"/>
  <c r="AJ80" i="29"/>
  <c r="AG80" i="29"/>
  <c r="AF80" i="29"/>
  <c r="AA80" i="29"/>
  <c r="Z80" i="29"/>
  <c r="Y80" i="29"/>
  <c r="W80" i="29"/>
  <c r="V80" i="29"/>
  <c r="U80" i="29"/>
  <c r="T80" i="29"/>
  <c r="S80" i="29"/>
  <c r="BB79" i="29"/>
  <c r="AW79" i="29"/>
  <c r="AS79" i="29"/>
  <c r="AR79" i="29"/>
  <c r="AH79" i="29"/>
  <c r="AZ79" i="29" s="1"/>
  <c r="AB79" i="29"/>
  <c r="R79" i="29"/>
  <c r="X79" i="29" s="1"/>
  <c r="BB78" i="29"/>
  <c r="AS78" i="29"/>
  <c r="BC78" i="29" s="1"/>
  <c r="AR78" i="29"/>
  <c r="AH78" i="29"/>
  <c r="AZ78" i="29" s="1"/>
  <c r="AE78" i="29"/>
  <c r="AY78" i="29" s="1"/>
  <c r="AB78" i="29"/>
  <c r="AW78" i="29" s="1"/>
  <c r="R78" i="29"/>
  <c r="X78" i="29" s="1"/>
  <c r="BC77" i="29"/>
  <c r="AZ77" i="29"/>
  <c r="AS77" i="29"/>
  <c r="AR77" i="29"/>
  <c r="AH77" i="29"/>
  <c r="AB77" i="29"/>
  <c r="AB80" i="29" s="1"/>
  <c r="X77" i="29"/>
  <c r="AE77" i="29" s="1"/>
  <c r="AY77" i="29" s="1"/>
  <c r="R77" i="29"/>
  <c r="BB76" i="29"/>
  <c r="AW76" i="29"/>
  <c r="AS76" i="29"/>
  <c r="AR76" i="29"/>
  <c r="AH76" i="29"/>
  <c r="AZ76" i="29" s="1"/>
  <c r="AZ80" i="29" s="1"/>
  <c r="AB76" i="29"/>
  <c r="R76" i="29"/>
  <c r="AS75" i="29"/>
  <c r="AQ75" i="29"/>
  <c r="AP75" i="29"/>
  <c r="AO75" i="29"/>
  <c r="AN75" i="29"/>
  <c r="AM75" i="29"/>
  <c r="AL75" i="29"/>
  <c r="AK75" i="29"/>
  <c r="AJ75" i="29"/>
  <c r="AG75" i="29"/>
  <c r="AF75" i="29"/>
  <c r="AA75" i="29"/>
  <c r="Z75" i="29"/>
  <c r="Y75" i="29"/>
  <c r="W75" i="29"/>
  <c r="V75" i="29"/>
  <c r="U75" i="29"/>
  <c r="T75" i="29"/>
  <c r="S75" i="29"/>
  <c r="R75" i="29"/>
  <c r="BC74" i="29"/>
  <c r="AZ74" i="29"/>
  <c r="AW74" i="29"/>
  <c r="AS74" i="29"/>
  <c r="AR74" i="29"/>
  <c r="AH74" i="29"/>
  <c r="AB74" i="29"/>
  <c r="X74" i="29"/>
  <c r="R74" i="29"/>
  <c r="BB73" i="29"/>
  <c r="AW73" i="29"/>
  <c r="AS73" i="29"/>
  <c r="AR73" i="29"/>
  <c r="AH73" i="29"/>
  <c r="AZ73" i="29" s="1"/>
  <c r="AB73" i="29"/>
  <c r="R73" i="29"/>
  <c r="X73" i="29" s="1"/>
  <c r="BB72" i="29"/>
  <c r="AS72" i="29"/>
  <c r="BC72" i="29" s="1"/>
  <c r="AR72" i="29"/>
  <c r="AH72" i="29"/>
  <c r="AE72" i="29"/>
  <c r="AB72" i="29"/>
  <c r="R72" i="29"/>
  <c r="X72" i="29" s="1"/>
  <c r="AQ71" i="29"/>
  <c r="AP71" i="29"/>
  <c r="AO71" i="29"/>
  <c r="AN71" i="29"/>
  <c r="AM71" i="29"/>
  <c r="AL71" i="29"/>
  <c r="AK71" i="29"/>
  <c r="AJ71" i="29"/>
  <c r="AG71" i="29"/>
  <c r="AF71" i="29"/>
  <c r="AA71" i="29"/>
  <c r="Z71" i="29"/>
  <c r="Y71" i="29"/>
  <c r="W71" i="29"/>
  <c r="V71" i="29"/>
  <c r="U71" i="29"/>
  <c r="T71" i="29"/>
  <c r="S71" i="29"/>
  <c r="BB70" i="29"/>
  <c r="AW70" i="29"/>
  <c r="AS70" i="29"/>
  <c r="AR70" i="29"/>
  <c r="AH70" i="29"/>
  <c r="AZ70" i="29" s="1"/>
  <c r="AB70" i="29"/>
  <c r="R70" i="29"/>
  <c r="X70" i="29" s="1"/>
  <c r="BB69" i="29"/>
  <c r="AS69" i="29"/>
  <c r="BC69" i="29" s="1"/>
  <c r="AR69" i="29"/>
  <c r="AH69" i="29"/>
  <c r="AZ69" i="29" s="1"/>
  <c r="AB69" i="29"/>
  <c r="AW69" i="29" s="1"/>
  <c r="R69" i="29"/>
  <c r="X69" i="29" s="1"/>
  <c r="BC68" i="29"/>
  <c r="AZ68" i="29"/>
  <c r="AZ71" i="29" s="1"/>
  <c r="AS68" i="29"/>
  <c r="AR68" i="29"/>
  <c r="AH68" i="29"/>
  <c r="AE68" i="29"/>
  <c r="AY68" i="29" s="1"/>
  <c r="AB68" i="29"/>
  <c r="X68" i="29"/>
  <c r="R68" i="29"/>
  <c r="AS67" i="29"/>
  <c r="AQ67" i="29"/>
  <c r="AP67" i="29"/>
  <c r="AO67" i="29"/>
  <c r="AN67" i="29"/>
  <c r="AM67" i="29"/>
  <c r="AL67" i="29"/>
  <c r="AK67" i="29"/>
  <c r="AJ67" i="29"/>
  <c r="AG67" i="29"/>
  <c r="AF67" i="29"/>
  <c r="AA67" i="29"/>
  <c r="Z67" i="29"/>
  <c r="Y67" i="29"/>
  <c r="W67" i="29"/>
  <c r="V67" i="29"/>
  <c r="U67" i="29"/>
  <c r="T67" i="29"/>
  <c r="S67" i="29"/>
  <c r="AV66" i="29"/>
  <c r="AS66" i="29"/>
  <c r="BC66" i="29" s="1"/>
  <c r="AR66" i="29"/>
  <c r="AH66" i="29"/>
  <c r="AZ66" i="29" s="1"/>
  <c r="AB66" i="29"/>
  <c r="R66" i="29"/>
  <c r="X66" i="29" s="1"/>
  <c r="AD66" i="29" s="1"/>
  <c r="AX66" i="29" s="1"/>
  <c r="BC65" i="29"/>
  <c r="BA65" i="29"/>
  <c r="AZ65" i="29"/>
  <c r="AW65" i="29"/>
  <c r="AT65" i="29"/>
  <c r="AS65" i="29"/>
  <c r="AR65" i="29"/>
  <c r="BB65" i="29" s="1"/>
  <c r="AH65" i="29"/>
  <c r="AE65" i="29"/>
  <c r="AY65" i="29" s="1"/>
  <c r="AD65" i="29"/>
  <c r="AX65" i="29" s="1"/>
  <c r="AB65" i="29"/>
  <c r="AB67" i="29" s="1"/>
  <c r="X65" i="29"/>
  <c r="R65" i="29"/>
  <c r="BC64" i="29"/>
  <c r="BB64" i="29"/>
  <c r="AZ64" i="29"/>
  <c r="AZ67" i="29" s="1"/>
  <c r="AW64" i="29"/>
  <c r="AT64" i="29"/>
  <c r="AS64" i="29"/>
  <c r="AR64" i="29"/>
  <c r="AR67" i="29" s="1"/>
  <c r="AH64" i="29"/>
  <c r="AB64" i="29"/>
  <c r="R64" i="29"/>
  <c r="X64" i="29" s="1"/>
  <c r="AQ63" i="29"/>
  <c r="AP63" i="29"/>
  <c r="AO63" i="29"/>
  <c r="AN63" i="29"/>
  <c r="AM63" i="29"/>
  <c r="AL63" i="29"/>
  <c r="AK63" i="29"/>
  <c r="AJ63" i="29"/>
  <c r="AG63" i="29"/>
  <c r="AF63" i="29"/>
  <c r="AA63" i="29"/>
  <c r="Z63" i="29"/>
  <c r="Y63" i="29"/>
  <c r="W63" i="29"/>
  <c r="V63" i="29"/>
  <c r="U63" i="29"/>
  <c r="T63" i="29"/>
  <c r="S63" i="29"/>
  <c r="BC62" i="29"/>
  <c r="BA62" i="29"/>
  <c r="AZ62" i="29"/>
  <c r="AX62" i="29"/>
  <c r="AW62" i="29"/>
  <c r="AT62" i="29"/>
  <c r="AS62" i="29"/>
  <c r="AR62" i="29"/>
  <c r="BB62" i="29" s="1"/>
  <c r="AH62" i="29"/>
  <c r="AD62" i="29"/>
  <c r="AB62" i="29"/>
  <c r="X62" i="29"/>
  <c r="R62" i="29"/>
  <c r="BC61" i="29"/>
  <c r="BB61" i="29"/>
  <c r="AZ61" i="29"/>
  <c r="AW61" i="29"/>
  <c r="AV61" i="29"/>
  <c r="AT61" i="29"/>
  <c r="BA61" i="29" s="1"/>
  <c r="AS61" i="29"/>
  <c r="AR61" i="29"/>
  <c r="AH61" i="29"/>
  <c r="AD61" i="29"/>
  <c r="AB61" i="29"/>
  <c r="R61" i="29"/>
  <c r="X61" i="29" s="1"/>
  <c r="AE61" i="29" s="1"/>
  <c r="AY61" i="29" s="1"/>
  <c r="AV60" i="29"/>
  <c r="AS60" i="29"/>
  <c r="BC60" i="29" s="1"/>
  <c r="AR60" i="29"/>
  <c r="AH60" i="29"/>
  <c r="AB60" i="29"/>
  <c r="R60" i="29"/>
  <c r="X60" i="29" s="1"/>
  <c r="AD60" i="29" s="1"/>
  <c r="AX60" i="29" s="1"/>
  <c r="AR59" i="29"/>
  <c r="AQ59" i="29"/>
  <c r="AP59" i="29"/>
  <c r="AO59" i="29"/>
  <c r="AN59" i="29"/>
  <c r="AM59" i="29"/>
  <c r="AL59" i="29"/>
  <c r="AK59" i="29"/>
  <c r="AJ59" i="29"/>
  <c r="AG59" i="29"/>
  <c r="AF59" i="29"/>
  <c r="AB59" i="29"/>
  <c r="AA59" i="29"/>
  <c r="Z59" i="29"/>
  <c r="Y59" i="29"/>
  <c r="W59" i="29"/>
  <c r="V59" i="29"/>
  <c r="U59" i="29"/>
  <c r="T59" i="29"/>
  <c r="S59" i="29"/>
  <c r="BC58" i="29"/>
  <c r="BB58" i="29"/>
  <c r="AZ58" i="29"/>
  <c r="AY58" i="29"/>
  <c r="AW58" i="29"/>
  <c r="AT58" i="29"/>
  <c r="BA58" i="29" s="1"/>
  <c r="AS58" i="29"/>
  <c r="AR58" i="29"/>
  <c r="AH58" i="29"/>
  <c r="AB58" i="29"/>
  <c r="R58" i="29"/>
  <c r="X58" i="29" s="1"/>
  <c r="AE58" i="29" s="1"/>
  <c r="BB57" i="29"/>
  <c r="AS57" i="29"/>
  <c r="BC57" i="29" s="1"/>
  <c r="AR57" i="29"/>
  <c r="AH57" i="29"/>
  <c r="AC57" i="29"/>
  <c r="AB57" i="29"/>
  <c r="AW57" i="29" s="1"/>
  <c r="AW59" i="29" s="1"/>
  <c r="R57" i="29"/>
  <c r="X57" i="29" s="1"/>
  <c r="BC56" i="29"/>
  <c r="BC59" i="29" s="1"/>
  <c r="AZ56" i="29"/>
  <c r="AY56" i="29"/>
  <c r="AS56" i="29"/>
  <c r="AR56" i="29"/>
  <c r="AH56" i="29"/>
  <c r="AE56" i="29"/>
  <c r="AD56" i="29"/>
  <c r="AC56" i="29"/>
  <c r="AB56" i="29"/>
  <c r="AW56" i="29" s="1"/>
  <c r="X56" i="29"/>
  <c r="R56" i="29"/>
  <c r="AZ55" i="29"/>
  <c r="AS55" i="29"/>
  <c r="AQ55" i="29"/>
  <c r="AP55" i="29"/>
  <c r="AO55" i="29"/>
  <c r="AN55" i="29"/>
  <c r="AM55" i="29"/>
  <c r="AL55" i="29"/>
  <c r="AK55" i="29"/>
  <c r="AJ55" i="29"/>
  <c r="AG55" i="29"/>
  <c r="AF55" i="29"/>
  <c r="AA55" i="29"/>
  <c r="Z55" i="29"/>
  <c r="Y55" i="29"/>
  <c r="W55" i="29"/>
  <c r="V55" i="29"/>
  <c r="U55" i="29"/>
  <c r="T55" i="29"/>
  <c r="S55" i="29"/>
  <c r="R55" i="29"/>
  <c r="AS54" i="29"/>
  <c r="BC54" i="29" s="1"/>
  <c r="AR54" i="29"/>
  <c r="AH54" i="29"/>
  <c r="AZ54" i="29" s="1"/>
  <c r="AB54" i="29"/>
  <c r="AW54" i="29" s="1"/>
  <c r="X54" i="29"/>
  <c r="AE54" i="29" s="1"/>
  <c r="AY54" i="29" s="1"/>
  <c r="R54" i="29"/>
  <c r="BC53" i="29"/>
  <c r="BC55" i="29" s="1"/>
  <c r="AZ53" i="29"/>
  <c r="AY53" i="29"/>
  <c r="AT53" i="29"/>
  <c r="BA53" i="29" s="1"/>
  <c r="AS53" i="29"/>
  <c r="AR53" i="29"/>
  <c r="AH53" i="29"/>
  <c r="AE53" i="29"/>
  <c r="AD53" i="29"/>
  <c r="AB53" i="29"/>
  <c r="X53" i="29"/>
  <c r="R53" i="29"/>
  <c r="AZ52" i="29"/>
  <c r="AQ52" i="29"/>
  <c r="AP52" i="29"/>
  <c r="AO52" i="29"/>
  <c r="AN52" i="29"/>
  <c r="AM52" i="29"/>
  <c r="AL52" i="29"/>
  <c r="AK52" i="29"/>
  <c r="AJ52" i="29"/>
  <c r="AH52" i="29"/>
  <c r="AG52" i="29"/>
  <c r="AF52" i="29"/>
  <c r="AB52" i="29"/>
  <c r="AA52" i="29"/>
  <c r="Z52" i="29"/>
  <c r="Y52" i="29"/>
  <c r="W52" i="29"/>
  <c r="V52" i="29"/>
  <c r="U52" i="29"/>
  <c r="T52" i="29"/>
  <c r="S52" i="29"/>
  <c r="BC51" i="29"/>
  <c r="AS51" i="29"/>
  <c r="AR51" i="29"/>
  <c r="AT51" i="29" s="1"/>
  <c r="BA51" i="29" s="1"/>
  <c r="AH51" i="29"/>
  <c r="AZ51" i="29" s="1"/>
  <c r="AB51" i="29"/>
  <c r="AW51" i="29" s="1"/>
  <c r="R51" i="29"/>
  <c r="X51" i="29" s="1"/>
  <c r="AZ50" i="29"/>
  <c r="AX50" i="29"/>
  <c r="AW50" i="29"/>
  <c r="AS50" i="29"/>
  <c r="BC50" i="29" s="1"/>
  <c r="AR50" i="29"/>
  <c r="BB50" i="29" s="1"/>
  <c r="AH50" i="29"/>
  <c r="AD50" i="29"/>
  <c r="AC50" i="29"/>
  <c r="AB50" i="29"/>
  <c r="X50" i="29"/>
  <c r="R50" i="29"/>
  <c r="BB49" i="29"/>
  <c r="AZ49" i="29"/>
  <c r="AW49" i="29"/>
  <c r="AT49" i="29"/>
  <c r="AS49" i="29"/>
  <c r="BC49" i="29" s="1"/>
  <c r="BC52" i="29" s="1"/>
  <c r="AR49" i="29"/>
  <c r="AR52" i="29" s="1"/>
  <c r="AH49" i="29"/>
  <c r="AD49" i="29"/>
  <c r="AB49" i="29"/>
  <c r="X49" i="29"/>
  <c r="AE49" i="29" s="1"/>
  <c r="R49" i="29"/>
  <c r="R52" i="29" s="1"/>
  <c r="AQ48" i="29"/>
  <c r="AP48" i="29"/>
  <c r="AO48" i="29"/>
  <c r="AN48" i="29"/>
  <c r="AM48" i="29"/>
  <c r="AL48" i="29"/>
  <c r="AK48" i="29"/>
  <c r="AJ48" i="29"/>
  <c r="AG48" i="29"/>
  <c r="AF48" i="29"/>
  <c r="AA48" i="29"/>
  <c r="Z48" i="29"/>
  <c r="Y48" i="29"/>
  <c r="W48" i="29"/>
  <c r="V48" i="29"/>
  <c r="U48" i="29"/>
  <c r="T48" i="29"/>
  <c r="S48" i="29"/>
  <c r="R48" i="29"/>
  <c r="AZ47" i="29"/>
  <c r="AS47" i="29"/>
  <c r="BC47" i="29" s="1"/>
  <c r="AR47" i="29"/>
  <c r="AH47" i="29"/>
  <c r="AE47" i="29"/>
  <c r="AY47" i="29" s="1"/>
  <c r="AB47" i="29"/>
  <c r="AW47" i="29" s="1"/>
  <c r="X47" i="29"/>
  <c r="AV47" i="29" s="1"/>
  <c r="R47" i="29"/>
  <c r="BB46" i="29"/>
  <c r="AW46" i="29"/>
  <c r="AS46" i="29"/>
  <c r="BC46" i="29" s="1"/>
  <c r="AR46" i="29"/>
  <c r="AH46" i="29"/>
  <c r="AZ46" i="29" s="1"/>
  <c r="AB46" i="29"/>
  <c r="R46" i="29"/>
  <c r="X46" i="29" s="1"/>
  <c r="BB45" i="29"/>
  <c r="AW45" i="29"/>
  <c r="AS45" i="29"/>
  <c r="AR45" i="29"/>
  <c r="AH45" i="29"/>
  <c r="AC45" i="29"/>
  <c r="AB45" i="29"/>
  <c r="R45" i="29"/>
  <c r="X45" i="29" s="1"/>
  <c r="AQ44" i="29"/>
  <c r="AP44" i="29"/>
  <c r="AO44" i="29"/>
  <c r="AN44" i="29"/>
  <c r="AM44" i="29"/>
  <c r="AL44" i="29"/>
  <c r="AK44" i="29"/>
  <c r="AJ44" i="29"/>
  <c r="AG44" i="29"/>
  <c r="AF44" i="29"/>
  <c r="AA44" i="29"/>
  <c r="Z44" i="29"/>
  <c r="Y44" i="29"/>
  <c r="W44" i="29"/>
  <c r="V44" i="29"/>
  <c r="U44" i="29"/>
  <c r="T44" i="29"/>
  <c r="S44" i="29"/>
  <c r="BB43" i="29"/>
  <c r="AZ43" i="29"/>
  <c r="AW43" i="29"/>
  <c r="AV43" i="29"/>
  <c r="AS43" i="29"/>
  <c r="BC43" i="29" s="1"/>
  <c r="AR43" i="29"/>
  <c r="AH43" i="29"/>
  <c r="AH44" i="29" s="1"/>
  <c r="AD43" i="29"/>
  <c r="AX43" i="29" s="1"/>
  <c r="AB43" i="29"/>
  <c r="X43" i="29"/>
  <c r="AE43" i="29" s="1"/>
  <c r="AY43" i="29" s="1"/>
  <c r="R43" i="29"/>
  <c r="AV42" i="29"/>
  <c r="AS42" i="29"/>
  <c r="BC42" i="29" s="1"/>
  <c r="AR42" i="29"/>
  <c r="AT42" i="29" s="1"/>
  <c r="BA42" i="29" s="1"/>
  <c r="AH42" i="29"/>
  <c r="AZ42" i="29" s="1"/>
  <c r="AC42" i="29"/>
  <c r="AB42" i="29"/>
  <c r="AW42" i="29" s="1"/>
  <c r="R42" i="29"/>
  <c r="X42" i="29" s="1"/>
  <c r="AD42" i="29" s="1"/>
  <c r="AX42" i="29" s="1"/>
  <c r="BC41" i="29"/>
  <c r="BC44" i="29" s="1"/>
  <c r="AZ41" i="29"/>
  <c r="AZ44" i="29" s="1"/>
  <c r="AW41" i="29"/>
  <c r="AW44" i="29" s="1"/>
  <c r="AT41" i="29"/>
  <c r="AS41" i="29"/>
  <c r="AR41" i="29"/>
  <c r="BB41" i="29" s="1"/>
  <c r="AH41" i="29"/>
  <c r="AE41" i="29"/>
  <c r="AY41" i="29" s="1"/>
  <c r="AD41" i="29"/>
  <c r="AD44" i="29" s="1"/>
  <c r="AB41" i="29"/>
  <c r="X41" i="29"/>
  <c r="R41" i="29"/>
  <c r="R44" i="29" s="1"/>
  <c r="AQ40" i="29"/>
  <c r="AP40" i="29"/>
  <c r="AO40" i="29"/>
  <c r="AN40" i="29"/>
  <c r="AM40" i="29"/>
  <c r="AL40" i="29"/>
  <c r="AK40" i="29"/>
  <c r="AJ40" i="29"/>
  <c r="AG40" i="29"/>
  <c r="AF40" i="29"/>
  <c r="AA40" i="29"/>
  <c r="Z40" i="29"/>
  <c r="Y40" i="29"/>
  <c r="W40" i="29"/>
  <c r="V40" i="29"/>
  <c r="U40" i="29"/>
  <c r="T40" i="29"/>
  <c r="S40" i="29"/>
  <c r="BB39" i="29"/>
  <c r="AS39" i="29"/>
  <c r="BC39" i="29" s="1"/>
  <c r="AR39" i="29"/>
  <c r="AH39" i="29"/>
  <c r="AZ39" i="29" s="1"/>
  <c r="AB39" i="29"/>
  <c r="AW39" i="29" s="1"/>
  <c r="R39" i="29"/>
  <c r="X39" i="29" s="1"/>
  <c r="AD39" i="29" s="1"/>
  <c r="AX39" i="29" s="1"/>
  <c r="BC38" i="29"/>
  <c r="AZ38" i="29"/>
  <c r="AW38" i="29"/>
  <c r="AS38" i="29"/>
  <c r="AR38" i="29"/>
  <c r="BB38" i="29" s="1"/>
  <c r="AH38" i="29"/>
  <c r="AE38" i="29"/>
  <c r="AY38" i="29" s="1"/>
  <c r="AB38" i="29"/>
  <c r="AB40" i="29" s="1"/>
  <c r="X38" i="29"/>
  <c r="R38" i="29"/>
  <c r="BB37" i="29"/>
  <c r="BB40" i="29" s="1"/>
  <c r="AW37" i="29"/>
  <c r="AW40" i="29" s="1"/>
  <c r="AS37" i="29"/>
  <c r="AS40" i="29" s="1"/>
  <c r="AR37" i="29"/>
  <c r="AH37" i="29"/>
  <c r="AZ37" i="29" s="1"/>
  <c r="AZ40" i="29" s="1"/>
  <c r="AB37" i="29"/>
  <c r="R37" i="29"/>
  <c r="X37" i="29" s="1"/>
  <c r="AQ36" i="29"/>
  <c r="AP36" i="29"/>
  <c r="AO36" i="29"/>
  <c r="AN36" i="29"/>
  <c r="AM36" i="29"/>
  <c r="AL36" i="29"/>
  <c r="AK36" i="29"/>
  <c r="AJ36" i="29"/>
  <c r="AG36" i="29"/>
  <c r="AF36" i="29"/>
  <c r="AA36" i="29"/>
  <c r="Z36" i="29"/>
  <c r="Y36" i="29"/>
  <c r="W36" i="29"/>
  <c r="V36" i="29"/>
  <c r="U36" i="29"/>
  <c r="T36" i="29"/>
  <c r="S36" i="29"/>
  <c r="R36" i="29"/>
  <c r="BC35" i="29"/>
  <c r="AZ35" i="29"/>
  <c r="AS35" i="29"/>
  <c r="AR35" i="29"/>
  <c r="BB35" i="29" s="1"/>
  <c r="AH35" i="29"/>
  <c r="AB35" i="29"/>
  <c r="AW35" i="29" s="1"/>
  <c r="X35" i="29"/>
  <c r="R35" i="29"/>
  <c r="BB34" i="29"/>
  <c r="BB36" i="29" s="1"/>
  <c r="AW34" i="29"/>
  <c r="AS34" i="29"/>
  <c r="BC34" i="29" s="1"/>
  <c r="BC36" i="29" s="1"/>
  <c r="AR34" i="29"/>
  <c r="AH34" i="29"/>
  <c r="AH36" i="29" s="1"/>
  <c r="AB34" i="29"/>
  <c r="AB36" i="29" s="1"/>
  <c r="R34" i="29"/>
  <c r="X34" i="29" s="1"/>
  <c r="AQ33" i="29"/>
  <c r="AP33" i="29"/>
  <c r="AO33" i="29"/>
  <c r="AN33" i="29"/>
  <c r="AM33" i="29"/>
  <c r="AL33" i="29"/>
  <c r="AK33" i="29"/>
  <c r="AJ33" i="29"/>
  <c r="AG33" i="29"/>
  <c r="AF33" i="29"/>
  <c r="AA33" i="29"/>
  <c r="Z33" i="29"/>
  <c r="Y33" i="29"/>
  <c r="W33" i="29"/>
  <c r="V33" i="29"/>
  <c r="U33" i="29"/>
  <c r="T33" i="29"/>
  <c r="S33" i="29"/>
  <c r="R33" i="29"/>
  <c r="BC32" i="29"/>
  <c r="AZ32" i="29"/>
  <c r="AW32" i="29"/>
  <c r="AS32" i="29"/>
  <c r="AR32" i="29"/>
  <c r="BB32" i="29" s="1"/>
  <c r="AH32" i="29"/>
  <c r="AE32" i="29"/>
  <c r="AY32" i="29" s="1"/>
  <c r="AB32" i="29"/>
  <c r="X32" i="29"/>
  <c r="R32" i="29"/>
  <c r="BB31" i="29"/>
  <c r="BB33" i="29" s="1"/>
  <c r="AW31" i="29"/>
  <c r="AS31" i="29"/>
  <c r="BC31" i="29" s="1"/>
  <c r="AR31" i="29"/>
  <c r="AH31" i="29"/>
  <c r="AZ31" i="29" s="1"/>
  <c r="AB31" i="29"/>
  <c r="R31" i="29"/>
  <c r="X31" i="29" s="1"/>
  <c r="BB30" i="29"/>
  <c r="AX30" i="29"/>
  <c r="AS30" i="29"/>
  <c r="BC30" i="29" s="1"/>
  <c r="AR30" i="29"/>
  <c r="AR33" i="29" s="1"/>
  <c r="AH30" i="29"/>
  <c r="AE30" i="29"/>
  <c r="AB30" i="29"/>
  <c r="R30" i="29"/>
  <c r="X30" i="29" s="1"/>
  <c r="AD30" i="29" s="1"/>
  <c r="AR29" i="29"/>
  <c r="AQ29" i="29"/>
  <c r="AP29" i="29"/>
  <c r="AO29" i="29"/>
  <c r="AN29" i="29"/>
  <c r="AM29" i="29"/>
  <c r="AL29" i="29"/>
  <c r="AK29" i="29"/>
  <c r="AJ29" i="29"/>
  <c r="AG29" i="29"/>
  <c r="AF29" i="29"/>
  <c r="AA29" i="29"/>
  <c r="Z29" i="29"/>
  <c r="Y29" i="29"/>
  <c r="W29" i="29"/>
  <c r="V29" i="29"/>
  <c r="U29" i="29"/>
  <c r="T29" i="29"/>
  <c r="S29" i="29"/>
  <c r="BB28" i="29"/>
  <c r="AW28" i="29"/>
  <c r="AS28" i="29"/>
  <c r="BC28" i="29" s="1"/>
  <c r="AR28" i="29"/>
  <c r="AH28" i="29"/>
  <c r="AZ28" i="29" s="1"/>
  <c r="AZ29" i="29" s="1"/>
  <c r="AB28" i="29"/>
  <c r="R28" i="29"/>
  <c r="X28" i="29" s="1"/>
  <c r="BB27" i="29"/>
  <c r="AS27" i="29"/>
  <c r="AR27" i="29"/>
  <c r="AH27" i="29"/>
  <c r="AZ27" i="29" s="1"/>
  <c r="AB27" i="29"/>
  <c r="AW27" i="29" s="1"/>
  <c r="AW29" i="29" s="1"/>
  <c r="R27" i="29"/>
  <c r="AZ26" i="29"/>
  <c r="AS26" i="29"/>
  <c r="AQ26" i="29"/>
  <c r="AP26" i="29"/>
  <c r="AO26" i="29"/>
  <c r="AN26" i="29"/>
  <c r="AM26" i="29"/>
  <c r="AL26" i="29"/>
  <c r="AK26" i="29"/>
  <c r="AJ26" i="29"/>
  <c r="AH26" i="29"/>
  <c r="AG26" i="29"/>
  <c r="AF26" i="29"/>
  <c r="AA26" i="29"/>
  <c r="Z26" i="29"/>
  <c r="Y26" i="29"/>
  <c r="W26" i="29"/>
  <c r="V26" i="29"/>
  <c r="U26" i="29"/>
  <c r="T26" i="29"/>
  <c r="S26" i="29"/>
  <c r="BB25" i="29"/>
  <c r="AZ25" i="29"/>
  <c r="AW25" i="29"/>
  <c r="AT25" i="29"/>
  <c r="BA25" i="29" s="1"/>
  <c r="AS25" i="29"/>
  <c r="BC25" i="29" s="1"/>
  <c r="AR25" i="29"/>
  <c r="AH25" i="29"/>
  <c r="AB25" i="29"/>
  <c r="X25" i="29"/>
  <c r="AC25" i="29" s="1"/>
  <c r="R25" i="29"/>
  <c r="BB24" i="29"/>
  <c r="BB26" i="29" s="1"/>
  <c r="AS24" i="29"/>
  <c r="BC24" i="29" s="1"/>
  <c r="BC26" i="29" s="1"/>
  <c r="AR24" i="29"/>
  <c r="AT24" i="29" s="1"/>
  <c r="BA24" i="29" s="1"/>
  <c r="AH24" i="29"/>
  <c r="AZ24" i="29" s="1"/>
  <c r="AB24" i="29"/>
  <c r="AB26" i="29" s="1"/>
  <c r="R24" i="29"/>
  <c r="R26" i="29" s="1"/>
  <c r="AW23" i="29"/>
  <c r="AR23" i="29"/>
  <c r="AQ23" i="29"/>
  <c r="AP23" i="29"/>
  <c r="AO23" i="29"/>
  <c r="AN23" i="29"/>
  <c r="AM23" i="29"/>
  <c r="AL23" i="29"/>
  <c r="AK23" i="29"/>
  <c r="AJ23" i="29"/>
  <c r="AG23" i="29"/>
  <c r="AF23" i="29"/>
  <c r="AA23" i="29"/>
  <c r="Z23" i="29"/>
  <c r="Y23" i="29"/>
  <c r="W23" i="29"/>
  <c r="V23" i="29"/>
  <c r="U23" i="29"/>
  <c r="T23" i="29"/>
  <c r="S23" i="29"/>
  <c r="BC22" i="29"/>
  <c r="BB22" i="29"/>
  <c r="BA22" i="29"/>
  <c r="AW22" i="29"/>
  <c r="AT22" i="29"/>
  <c r="AS22" i="29"/>
  <c r="AR22" i="29"/>
  <c r="AH22" i="29"/>
  <c r="AZ22" i="29" s="1"/>
  <c r="AD22" i="29"/>
  <c r="AX22" i="29" s="1"/>
  <c r="AB22" i="29"/>
  <c r="X22" i="29"/>
  <c r="AV22" i="29" s="1"/>
  <c r="R22" i="29"/>
  <c r="BC21" i="29"/>
  <c r="BB21" i="29"/>
  <c r="AW21" i="29"/>
  <c r="AS21" i="29"/>
  <c r="AR21" i="29"/>
  <c r="AT21" i="29" s="1"/>
  <c r="BA21" i="29" s="1"/>
  <c r="AH21" i="29"/>
  <c r="AZ21" i="29" s="1"/>
  <c r="AB21" i="29"/>
  <c r="R21" i="29"/>
  <c r="X21" i="29" s="1"/>
  <c r="AZ20" i="29"/>
  <c r="AZ23" i="29" s="1"/>
  <c r="AW20" i="29"/>
  <c r="AS20" i="29"/>
  <c r="BC20" i="29" s="1"/>
  <c r="BC23" i="29" s="1"/>
  <c r="AR20" i="29"/>
  <c r="BB20" i="29" s="1"/>
  <c r="AH20" i="29"/>
  <c r="AE20" i="29"/>
  <c r="AY20" i="29" s="1"/>
  <c r="AD20" i="29"/>
  <c r="AX20" i="29" s="1"/>
  <c r="AC20" i="29"/>
  <c r="AI20" i="29" s="1"/>
  <c r="AB20" i="29"/>
  <c r="AB23" i="29" s="1"/>
  <c r="X20" i="29"/>
  <c r="R20" i="29"/>
  <c r="R23" i="29" s="1"/>
  <c r="AQ19" i="29"/>
  <c r="AP19" i="29"/>
  <c r="AO19" i="29"/>
  <c r="AN19" i="29"/>
  <c r="AM19" i="29"/>
  <c r="AL19" i="29"/>
  <c r="AK19" i="29"/>
  <c r="AJ19" i="29"/>
  <c r="AG19" i="29"/>
  <c r="AF19" i="29"/>
  <c r="AA19" i="29"/>
  <c r="Z19" i="29"/>
  <c r="Y19" i="29"/>
  <c r="W19" i="29"/>
  <c r="V19" i="29"/>
  <c r="U19" i="29"/>
  <c r="T19" i="29"/>
  <c r="S19" i="29"/>
  <c r="R19" i="29"/>
  <c r="BB18" i="29"/>
  <c r="AS18" i="29"/>
  <c r="BC18" i="29" s="1"/>
  <c r="AR18" i="29"/>
  <c r="AH18" i="29"/>
  <c r="AZ18" i="29" s="1"/>
  <c r="AB18" i="29"/>
  <c r="AW18" i="29" s="1"/>
  <c r="R18" i="29"/>
  <c r="X18" i="29" s="1"/>
  <c r="BC17" i="29"/>
  <c r="AZ17" i="29"/>
  <c r="AZ19" i="29" s="1"/>
  <c r="AY17" i="29"/>
  <c r="AS17" i="29"/>
  <c r="AS19" i="29" s="1"/>
  <c r="AR17" i="29"/>
  <c r="AH17" i="29"/>
  <c r="AE17" i="29"/>
  <c r="AD17" i="29"/>
  <c r="AX17" i="29" s="1"/>
  <c r="AB17" i="29"/>
  <c r="AB19" i="29" s="1"/>
  <c r="X17" i="29"/>
  <c r="AV17" i="29" s="1"/>
  <c r="R17" i="29"/>
  <c r="AS16" i="29"/>
  <c r="AQ16" i="29"/>
  <c r="AP16" i="29"/>
  <c r="AO16" i="29"/>
  <c r="AN16" i="29"/>
  <c r="AM16" i="29"/>
  <c r="AL16" i="29"/>
  <c r="AK16" i="29"/>
  <c r="AJ16" i="29"/>
  <c r="AH16" i="29"/>
  <c r="AG16" i="29"/>
  <c r="AF16" i="29"/>
  <c r="AA16" i="29"/>
  <c r="Z16" i="29"/>
  <c r="Y16" i="29"/>
  <c r="W16" i="29"/>
  <c r="V16" i="29"/>
  <c r="U16" i="29"/>
  <c r="T16" i="29"/>
  <c r="S16" i="29"/>
  <c r="R16" i="29"/>
  <c r="BC15" i="29"/>
  <c r="AS15" i="29"/>
  <c r="AR15" i="29"/>
  <c r="AH15" i="29"/>
  <c r="AB15" i="29"/>
  <c r="AW15" i="29" s="1"/>
  <c r="X15" i="29"/>
  <c r="R15" i="29"/>
  <c r="AZ14" i="29"/>
  <c r="AT14" i="29"/>
  <c r="AS14" i="29"/>
  <c r="BC14" i="29" s="1"/>
  <c r="AR14" i="29"/>
  <c r="AH14" i="29"/>
  <c r="AB14" i="29"/>
  <c r="AW14" i="29" s="1"/>
  <c r="X14" i="29"/>
  <c r="R14" i="29"/>
  <c r="AS13" i="29"/>
  <c r="AQ13" i="29"/>
  <c r="AQ188" i="29" s="1"/>
  <c r="AP13" i="29"/>
  <c r="AO13" i="29"/>
  <c r="AN13" i="29"/>
  <c r="AM13" i="29"/>
  <c r="AL13" i="29"/>
  <c r="AK13" i="29"/>
  <c r="AK188" i="29" s="1"/>
  <c r="AJ13" i="29"/>
  <c r="AH13" i="29"/>
  <c r="AG13" i="29"/>
  <c r="AG188" i="29" s="1"/>
  <c r="AF13" i="29"/>
  <c r="AB13" i="29"/>
  <c r="AA13" i="29"/>
  <c r="Z13" i="29"/>
  <c r="Y13" i="29"/>
  <c r="Y188" i="29" s="1"/>
  <c r="W13" i="29"/>
  <c r="V13" i="29"/>
  <c r="U13" i="29"/>
  <c r="T13" i="29"/>
  <c r="S13" i="29"/>
  <c r="S188" i="29" s="1"/>
  <c r="BB12" i="29"/>
  <c r="BB201" i="29" s="1"/>
  <c r="AS12" i="29"/>
  <c r="AS201" i="29" s="1"/>
  <c r="AR12" i="29"/>
  <c r="AH12" i="29"/>
  <c r="AB12" i="29"/>
  <c r="AB201" i="29" s="1"/>
  <c r="R12" i="29"/>
  <c r="AT25" i="32" l="1"/>
  <c r="BA25" i="32" s="1"/>
  <c r="X43" i="32"/>
  <c r="BC307" i="32"/>
  <c r="AV29" i="47" s="1"/>
  <c r="BC109" i="32"/>
  <c r="BC313" i="32" s="1"/>
  <c r="AV35" i="47" s="1"/>
  <c r="AS256" i="32"/>
  <c r="X263" i="32"/>
  <c r="X291" i="32"/>
  <c r="X114" i="32"/>
  <c r="AT140" i="32"/>
  <c r="BA140" i="32" s="1"/>
  <c r="X158" i="32"/>
  <c r="X179" i="32"/>
  <c r="X185" i="32"/>
  <c r="X253" i="32"/>
  <c r="AD59" i="32"/>
  <c r="AR314" i="32"/>
  <c r="AH31" i="32"/>
  <c r="AC126" i="32"/>
  <c r="X215" i="32"/>
  <c r="AC67" i="32"/>
  <c r="AT70" i="32"/>
  <c r="BA70" i="32" s="1"/>
  <c r="AE139" i="32"/>
  <c r="AY139" i="32" s="1"/>
  <c r="X145" i="32"/>
  <c r="X16" i="32"/>
  <c r="AD16" i="32" s="1"/>
  <c r="AX16" i="32" s="1"/>
  <c r="X26" i="32"/>
  <c r="AV26" i="32" s="1"/>
  <c r="AB39" i="32"/>
  <c r="X57" i="32"/>
  <c r="AV57" i="32" s="1"/>
  <c r="X75" i="32"/>
  <c r="AV75" i="32" s="1"/>
  <c r="X76" i="32"/>
  <c r="AE76" i="32" s="1"/>
  <c r="AY76" i="32" s="1"/>
  <c r="X132" i="32"/>
  <c r="AC132" i="32" s="1"/>
  <c r="R147" i="32"/>
  <c r="X146" i="32"/>
  <c r="X147" i="32" s="1"/>
  <c r="AV163" i="32"/>
  <c r="X163" i="32"/>
  <c r="X165" i="32" s="1"/>
  <c r="X240" i="32"/>
  <c r="AE240" i="32" s="1"/>
  <c r="AY240" i="32" s="1"/>
  <c r="AD250" i="32"/>
  <c r="AX250" i="32" s="1"/>
  <c r="X250" i="32"/>
  <c r="X271" i="32"/>
  <c r="X15" i="32"/>
  <c r="AV15" i="32" s="1"/>
  <c r="X48" i="32"/>
  <c r="AV48" i="32" s="1"/>
  <c r="AV55" i="32"/>
  <c r="X55" i="32"/>
  <c r="X87" i="32"/>
  <c r="AE87" i="32" s="1"/>
  <c r="AY87" i="32" s="1"/>
  <c r="AD137" i="32"/>
  <c r="AX137" i="32" s="1"/>
  <c r="X137" i="32"/>
  <c r="AV139" i="32"/>
  <c r="AD161" i="32"/>
  <c r="AX161" i="32" s="1"/>
  <c r="X161" i="32"/>
  <c r="X169" i="32"/>
  <c r="AE169" i="32" s="1"/>
  <c r="AY169" i="32" s="1"/>
  <c r="X194" i="32"/>
  <c r="AV194" i="32" s="1"/>
  <c r="X195" i="32"/>
  <c r="AC195" i="32" s="1"/>
  <c r="X213" i="32"/>
  <c r="AE213" i="32" s="1"/>
  <c r="AY213" i="32" s="1"/>
  <c r="X32" i="32"/>
  <c r="AE54" i="32"/>
  <c r="AY54" i="32" s="1"/>
  <c r="X54" i="32"/>
  <c r="X58" i="32" s="1"/>
  <c r="X71" i="32"/>
  <c r="AD71" i="32" s="1"/>
  <c r="AX71" i="32" s="1"/>
  <c r="X73" i="32"/>
  <c r="AC73" i="32" s="1"/>
  <c r="AT83" i="32"/>
  <c r="BA83" i="32" s="1"/>
  <c r="X104" i="32"/>
  <c r="AV104" i="32" s="1"/>
  <c r="AV128" i="32"/>
  <c r="X128" i="32"/>
  <c r="X131" i="32" s="1"/>
  <c r="AD139" i="32"/>
  <c r="AX139" i="32" s="1"/>
  <c r="AE184" i="32"/>
  <c r="AY184" i="32" s="1"/>
  <c r="X184" i="32"/>
  <c r="X193" i="32"/>
  <c r="AD193" i="32" s="1"/>
  <c r="AX193" i="32" s="1"/>
  <c r="X205" i="32"/>
  <c r="AE205" i="32" s="1"/>
  <c r="AY205" i="32" s="1"/>
  <c r="AD238" i="32"/>
  <c r="AX238" i="32" s="1"/>
  <c r="X238" i="32"/>
  <c r="X268" i="32"/>
  <c r="AD268" i="32" s="1"/>
  <c r="AX268" i="32" s="1"/>
  <c r="X23" i="32"/>
  <c r="X80" i="32"/>
  <c r="AD80" i="32" s="1"/>
  <c r="AX80" i="32" s="1"/>
  <c r="X82" i="32"/>
  <c r="AE82" i="32" s="1"/>
  <c r="AY82" i="32" s="1"/>
  <c r="X84" i="32"/>
  <c r="AV84" i="32" s="1"/>
  <c r="AE94" i="32"/>
  <c r="AY94" i="32" s="1"/>
  <c r="X94" i="32"/>
  <c r="X95" i="32"/>
  <c r="AE95" i="32" s="1"/>
  <c r="AY95" i="32" s="1"/>
  <c r="X150" i="32"/>
  <c r="AC150" i="32" s="1"/>
  <c r="AT201" i="32"/>
  <c r="X229" i="32"/>
  <c r="AV237" i="32"/>
  <c r="X237" i="32"/>
  <c r="X242" i="32" s="1"/>
  <c r="X254" i="32"/>
  <c r="X267" i="32"/>
  <c r="AE267" i="32" s="1"/>
  <c r="AY267" i="32" s="1"/>
  <c r="AD296" i="32"/>
  <c r="AX296" i="32" s="1"/>
  <c r="X296" i="32"/>
  <c r="AE296" i="32" s="1"/>
  <c r="AY296" i="32" s="1"/>
  <c r="X20" i="32"/>
  <c r="AV20" i="32" s="1"/>
  <c r="X29" i="32"/>
  <c r="AV29" i="32" s="1"/>
  <c r="X37" i="32"/>
  <c r="AC37" i="32" s="1"/>
  <c r="X38" i="32"/>
  <c r="AV38" i="32" s="1"/>
  <c r="X41" i="32"/>
  <c r="AV41" i="32" s="1"/>
  <c r="AD42" i="32"/>
  <c r="AX42" i="32" s="1"/>
  <c r="X42" i="32"/>
  <c r="R45" i="32"/>
  <c r="X44" i="32"/>
  <c r="X45" i="32" s="1"/>
  <c r="X61" i="32"/>
  <c r="AV61" i="32" s="1"/>
  <c r="X69" i="32"/>
  <c r="X72" i="32" s="1"/>
  <c r="X79" i="32"/>
  <c r="X93" i="32"/>
  <c r="AC93" i="32" s="1"/>
  <c r="AV101" i="32"/>
  <c r="X101" i="32"/>
  <c r="AE101" i="32" s="1"/>
  <c r="AY101" i="32" s="1"/>
  <c r="AZ109" i="32"/>
  <c r="AV156" i="32"/>
  <c r="X156" i="32"/>
  <c r="AE156" i="32" s="1"/>
  <c r="AY156" i="32" s="1"/>
  <c r="X174" i="32"/>
  <c r="AE174" i="32" s="1"/>
  <c r="AY174" i="32" s="1"/>
  <c r="X190" i="32"/>
  <c r="AE201" i="32"/>
  <c r="AY201" i="32" s="1"/>
  <c r="X201" i="32"/>
  <c r="X202" i="32"/>
  <c r="AE202" i="32" s="1"/>
  <c r="AY202" i="32" s="1"/>
  <c r="X227" i="32"/>
  <c r="AD227" i="32" s="1"/>
  <c r="AX227" i="32" s="1"/>
  <c r="X273" i="32"/>
  <c r="AD273" i="32" s="1"/>
  <c r="AX273" i="32" s="1"/>
  <c r="X280" i="32"/>
  <c r="AE280" i="32" s="1"/>
  <c r="AY280" i="32" s="1"/>
  <c r="X281" i="32"/>
  <c r="AC281" i="32" s="1"/>
  <c r="AE282" i="32"/>
  <c r="AY282" i="32" s="1"/>
  <c r="X282" i="32"/>
  <c r="X283" i="32"/>
  <c r="AE283" i="32" s="1"/>
  <c r="AY283" i="32" s="1"/>
  <c r="X286" i="32"/>
  <c r="AD286" i="32" s="1"/>
  <c r="AX286" i="32" s="1"/>
  <c r="AC19" i="32"/>
  <c r="X19" i="32"/>
  <c r="AB31" i="32"/>
  <c r="AD68" i="32"/>
  <c r="AX68" i="32" s="1"/>
  <c r="X68" i="32"/>
  <c r="X77" i="32"/>
  <c r="AD77" i="32" s="1"/>
  <c r="AX77" i="32" s="1"/>
  <c r="X92" i="32"/>
  <c r="R307" i="32"/>
  <c r="K29" i="47" s="1"/>
  <c r="X100" i="32"/>
  <c r="X108" i="32" s="1"/>
  <c r="R313" i="32"/>
  <c r="K35" i="47" s="1"/>
  <c r="X109" i="32"/>
  <c r="X110" i="32" s="1"/>
  <c r="X148" i="32"/>
  <c r="AD148" i="32" s="1"/>
  <c r="AX148" i="32" s="1"/>
  <c r="AD155" i="32"/>
  <c r="AX155" i="32" s="1"/>
  <c r="X155" i="32"/>
  <c r="AD171" i="32"/>
  <c r="AX171" i="32" s="1"/>
  <c r="X171" i="32"/>
  <c r="X198" i="32"/>
  <c r="AC198" i="32" s="1"/>
  <c r="AC199" i="32"/>
  <c r="X199" i="32"/>
  <c r="X216" i="32"/>
  <c r="X222" i="32" s="1"/>
  <c r="X241" i="32"/>
  <c r="AD241" i="32" s="1"/>
  <c r="AX241" i="32" s="1"/>
  <c r="X243" i="32"/>
  <c r="X246" i="32" s="1"/>
  <c r="AV141" i="32"/>
  <c r="AE141" i="32"/>
  <c r="AY141" i="32" s="1"/>
  <c r="AZ65" i="32"/>
  <c r="BB12" i="32"/>
  <c r="BB314" i="32" s="1"/>
  <c r="AT15" i="32"/>
  <c r="BA15" i="32" s="1"/>
  <c r="BB25" i="32"/>
  <c r="AZ28" i="32"/>
  <c r="AZ31" i="32" s="1"/>
  <c r="AH108" i="32"/>
  <c r="AT100" i="32"/>
  <c r="BA100" i="32" s="1"/>
  <c r="BA307" i="32" s="1"/>
  <c r="AB151" i="32"/>
  <c r="AC160" i="32"/>
  <c r="AT164" i="32"/>
  <c r="BA164" i="32" s="1"/>
  <c r="AC170" i="32"/>
  <c r="AT203" i="32"/>
  <c r="BA203" i="32" s="1"/>
  <c r="AT211" i="32"/>
  <c r="BA211" i="32" s="1"/>
  <c r="AT219" i="32"/>
  <c r="BA219" i="32" s="1"/>
  <c r="AS298" i="32"/>
  <c r="AT170" i="32"/>
  <c r="BA170" i="32" s="1"/>
  <c r="AT55" i="32"/>
  <c r="BA55" i="32" s="1"/>
  <c r="AD76" i="32"/>
  <c r="AX76" i="32" s="1"/>
  <c r="AT82" i="32"/>
  <c r="BA82" i="32" s="1"/>
  <c r="BB88" i="32"/>
  <c r="AD95" i="32"/>
  <c r="AX95" i="32" s="1"/>
  <c r="AC103" i="32"/>
  <c r="AC157" i="32"/>
  <c r="R185" i="32"/>
  <c r="AT198" i="32"/>
  <c r="BA198" i="32" s="1"/>
  <c r="BB261" i="32"/>
  <c r="Y304" i="32"/>
  <c r="AT28" i="32"/>
  <c r="BC146" i="32"/>
  <c r="BC147" i="32" s="1"/>
  <c r="AR228" i="32"/>
  <c r="AT294" i="32"/>
  <c r="BA294" i="32" s="1"/>
  <c r="AB314" i="32"/>
  <c r="U36" i="47" s="1"/>
  <c r="AT94" i="32"/>
  <c r="BA94" i="32" s="1"/>
  <c r="AT106" i="32"/>
  <c r="BA106" i="32" s="1"/>
  <c r="AT174" i="32"/>
  <c r="BA174" i="32" s="1"/>
  <c r="AH196" i="32"/>
  <c r="AC265" i="32"/>
  <c r="AT105" i="32"/>
  <c r="BA105" i="32" s="1"/>
  <c r="AC184" i="32"/>
  <c r="AT192" i="32"/>
  <c r="BA192" i="32" s="1"/>
  <c r="AT231" i="32"/>
  <c r="BA231" i="32" s="1"/>
  <c r="AT241" i="32"/>
  <c r="BA241" i="32" s="1"/>
  <c r="AD56" i="32"/>
  <c r="AX56" i="32" s="1"/>
  <c r="AC56" i="32"/>
  <c r="AW246" i="32"/>
  <c r="AE274" i="32"/>
  <c r="AY274" i="32" s="1"/>
  <c r="AD274" i="32"/>
  <c r="AX274" i="32" s="1"/>
  <c r="AS314" i="32"/>
  <c r="AL36" i="47" s="1"/>
  <c r="BB15" i="32"/>
  <c r="AC32" i="32"/>
  <c r="AT34" i="32"/>
  <c r="BA34" i="32" s="1"/>
  <c r="AV44" i="32"/>
  <c r="AV45" i="32" s="1"/>
  <c r="AT67" i="32"/>
  <c r="BA67" i="32" s="1"/>
  <c r="AT84" i="32"/>
  <c r="BA84" i="32" s="1"/>
  <c r="AT89" i="32"/>
  <c r="BA89" i="32" s="1"/>
  <c r="AC95" i="32"/>
  <c r="AW307" i="32"/>
  <c r="AP29" i="47" s="1"/>
  <c r="AT102" i="32"/>
  <c r="BA102" i="32" s="1"/>
  <c r="AV148" i="32"/>
  <c r="AT149" i="32"/>
  <c r="BA149" i="32" s="1"/>
  <c r="AV184" i="32"/>
  <c r="AD223" i="32"/>
  <c r="AD224" i="32" s="1"/>
  <c r="AW253" i="32"/>
  <c r="AE250" i="32"/>
  <c r="AY250" i="32" s="1"/>
  <c r="AC266" i="32"/>
  <c r="R314" i="32"/>
  <c r="K36" i="47" s="1"/>
  <c r="AB35" i="32"/>
  <c r="AZ44" i="32"/>
  <c r="AZ45" i="32" s="1"/>
  <c r="AZ58" i="32"/>
  <c r="AE128" i="32"/>
  <c r="AY128" i="32" s="1"/>
  <c r="BC140" i="32"/>
  <c r="AC148" i="32"/>
  <c r="AT148" i="32"/>
  <c r="BA148" i="32" s="1"/>
  <c r="AE160" i="32"/>
  <c r="AY160" i="32" s="1"/>
  <c r="AD163" i="32"/>
  <c r="AX163" i="32" s="1"/>
  <c r="AH189" i="32"/>
  <c r="BB203" i="32"/>
  <c r="AT209" i="32"/>
  <c r="BA209" i="32" s="1"/>
  <c r="AB222" i="32"/>
  <c r="AC273" i="32"/>
  <c r="AW12" i="32"/>
  <c r="AW314" i="32" s="1"/>
  <c r="AP36" i="47" s="1"/>
  <c r="AD32" i="32"/>
  <c r="AX32" i="32" s="1"/>
  <c r="AT75" i="32"/>
  <c r="BA75" i="32" s="1"/>
  <c r="AV76" i="32"/>
  <c r="AH307" i="32"/>
  <c r="AA29" i="47" s="1"/>
  <c r="R310" i="32"/>
  <c r="K32" i="47" s="1"/>
  <c r="BB105" i="32"/>
  <c r="BB106" i="32"/>
  <c r="AT112" i="32"/>
  <c r="BA112" i="32" s="1"/>
  <c r="AT128" i="32"/>
  <c r="BA128" i="32" s="1"/>
  <c r="BB146" i="32"/>
  <c r="BB147" i="32" s="1"/>
  <c r="AD156" i="32"/>
  <c r="AX156" i="32" s="1"/>
  <c r="AD184" i="32"/>
  <c r="AX184" i="32" s="1"/>
  <c r="AD205" i="32"/>
  <c r="AX205" i="32" s="1"/>
  <c r="BB219" i="32"/>
  <c r="AT244" i="32"/>
  <c r="BA244" i="32" s="1"/>
  <c r="BC254" i="32"/>
  <c r="BC256" i="32" s="1"/>
  <c r="AT274" i="32"/>
  <c r="BA274" i="32" s="1"/>
  <c r="AR284" i="32"/>
  <c r="AZ27" i="32"/>
  <c r="BC138" i="32"/>
  <c r="AV174" i="32"/>
  <c r="AZ196" i="32"/>
  <c r="AC55" i="32"/>
  <c r="AV82" i="32"/>
  <c r="AW91" i="32"/>
  <c r="AS114" i="32"/>
  <c r="AC141" i="32"/>
  <c r="AT183" i="32"/>
  <c r="BA183" i="32" s="1"/>
  <c r="AV201" i="32"/>
  <c r="AS228" i="32"/>
  <c r="AT245" i="32"/>
  <c r="BA245" i="32" s="1"/>
  <c r="AC254" i="32"/>
  <c r="BC292" i="32"/>
  <c r="AT295" i="32"/>
  <c r="BA295" i="32" s="1"/>
  <c r="AT63" i="32"/>
  <c r="BA63" i="32" s="1"/>
  <c r="AT66" i="32"/>
  <c r="BA66" i="32" s="1"/>
  <c r="AW72" i="32"/>
  <c r="AD82" i="32"/>
  <c r="AX82" i="32" s="1"/>
  <c r="AE84" i="32"/>
  <c r="AY84" i="32" s="1"/>
  <c r="BB100" i="32"/>
  <c r="BB108" i="32" s="1"/>
  <c r="AT101" i="32"/>
  <c r="BA101" i="32" s="1"/>
  <c r="AC113" i="32"/>
  <c r="AT127" i="32"/>
  <c r="BA127" i="32" s="1"/>
  <c r="AD141" i="32"/>
  <c r="AX141" i="32" s="1"/>
  <c r="AT156" i="32"/>
  <c r="BA156" i="32" s="1"/>
  <c r="AW179" i="32"/>
  <c r="AT181" i="32"/>
  <c r="BA181" i="32" s="1"/>
  <c r="AT184" i="32"/>
  <c r="BA184" i="32" s="1"/>
  <c r="AC191" i="32"/>
  <c r="AB200" i="32"/>
  <c r="AT217" i="32"/>
  <c r="BA217" i="32" s="1"/>
  <c r="AS224" i="32"/>
  <c r="AC238" i="32"/>
  <c r="AT251" i="32"/>
  <c r="BA251" i="32" s="1"/>
  <c r="AT283" i="32"/>
  <c r="BA283" i="32" s="1"/>
  <c r="AT286" i="32"/>
  <c r="BA286" i="32" s="1"/>
  <c r="AC293" i="32"/>
  <c r="AE60" i="32"/>
  <c r="AY60" i="32" s="1"/>
  <c r="AV60" i="32"/>
  <c r="AD86" i="32"/>
  <c r="AX86" i="32" s="1"/>
  <c r="AD30" i="32"/>
  <c r="AX30" i="32" s="1"/>
  <c r="AE30" i="32"/>
  <c r="AY30" i="32" s="1"/>
  <c r="AV30" i="32"/>
  <c r="AD74" i="32"/>
  <c r="AX74" i="32" s="1"/>
  <c r="AC74" i="32"/>
  <c r="AM301" i="32"/>
  <c r="AF18" i="47" s="1"/>
  <c r="BC23" i="32"/>
  <c r="BC27" i="32" s="1"/>
  <c r="AS27" i="32"/>
  <c r="AD33" i="32"/>
  <c r="AX33" i="32" s="1"/>
  <c r="AC33" i="32"/>
  <c r="AV33" i="32"/>
  <c r="AB43" i="32"/>
  <c r="AW40" i="32"/>
  <c r="AW43" i="32" s="1"/>
  <c r="AB58" i="32"/>
  <c r="AW55" i="32"/>
  <c r="AT60" i="32"/>
  <c r="BA60" i="32" s="1"/>
  <c r="BB60" i="32"/>
  <c r="AE70" i="32"/>
  <c r="AY70" i="32" s="1"/>
  <c r="AV70" i="32"/>
  <c r="AD70" i="32"/>
  <c r="AX70" i="32" s="1"/>
  <c r="AC70" i="32"/>
  <c r="BB74" i="32"/>
  <c r="BB78" i="32" s="1"/>
  <c r="AT74" i="32"/>
  <c r="BA74" i="32" s="1"/>
  <c r="AE88" i="32"/>
  <c r="AY88" i="32" s="1"/>
  <c r="AD88" i="32"/>
  <c r="AX88" i="32" s="1"/>
  <c r="AT107" i="32"/>
  <c r="BA107" i="32" s="1"/>
  <c r="BB107" i="32"/>
  <c r="BB143" i="32"/>
  <c r="BB145" i="32" s="1"/>
  <c r="AT143" i="32"/>
  <c r="BA143" i="32" s="1"/>
  <c r="AW146" i="32"/>
  <c r="AW147" i="32" s="1"/>
  <c r="AB147" i="32"/>
  <c r="BB182" i="32"/>
  <c r="AT182" i="32"/>
  <c r="BA182" i="32" s="1"/>
  <c r="AH131" i="32"/>
  <c r="AZ126" i="32"/>
  <c r="AZ131" i="32" s="1"/>
  <c r="O28" i="47"/>
  <c r="V304" i="32"/>
  <c r="S304" i="32"/>
  <c r="L29" i="47"/>
  <c r="AV25" i="32"/>
  <c r="AC25" i="32"/>
  <c r="AE47" i="32"/>
  <c r="AY47" i="32" s="1"/>
  <c r="AD47" i="32"/>
  <c r="AX47" i="32" s="1"/>
  <c r="AC47" i="32"/>
  <c r="AD50" i="32"/>
  <c r="AX50" i="32" s="1"/>
  <c r="AC50" i="32"/>
  <c r="AC134" i="32"/>
  <c r="AE134" i="32"/>
  <c r="AY134" i="32" s="1"/>
  <c r="AV134" i="32"/>
  <c r="AD134" i="32"/>
  <c r="AX134" i="32" s="1"/>
  <c r="AE167" i="32"/>
  <c r="AY167" i="32" s="1"/>
  <c r="AD167" i="32"/>
  <c r="AX167" i="32" s="1"/>
  <c r="AV167" i="32"/>
  <c r="AT262" i="32"/>
  <c r="BA262" i="32" s="1"/>
  <c r="BC262" i="32"/>
  <c r="AG301" i="32"/>
  <c r="Z18" i="47" s="1"/>
  <c r="Z23" i="47" s="1"/>
  <c r="AO301" i="32"/>
  <c r="AH18" i="47" s="1"/>
  <c r="AH23" i="47" s="1"/>
  <c r="AZ22" i="32"/>
  <c r="R27" i="32"/>
  <c r="AD24" i="32"/>
  <c r="AX24" i="32" s="1"/>
  <c r="AE33" i="32"/>
  <c r="AY33" i="32" s="1"/>
  <c r="AR43" i="32"/>
  <c r="BB40" i="32"/>
  <c r="AC48" i="32"/>
  <c r="BB49" i="32"/>
  <c r="AT49" i="32"/>
  <c r="BA49" i="32" s="1"/>
  <c r="AD51" i="32"/>
  <c r="AX51" i="32" s="1"/>
  <c r="AE51" i="32"/>
  <c r="AY51" i="32" s="1"/>
  <c r="AV51" i="32"/>
  <c r="AC82" i="32"/>
  <c r="AH97" i="32"/>
  <c r="AT113" i="32"/>
  <c r="BA113" i="32" s="1"/>
  <c r="BB113" i="32"/>
  <c r="BB117" i="32"/>
  <c r="AT117" i="32"/>
  <c r="BA117" i="32" s="1"/>
  <c r="BB119" i="32"/>
  <c r="AT119" i="32"/>
  <c r="BA119" i="32" s="1"/>
  <c r="AD261" i="32"/>
  <c r="AX261" i="32" s="1"/>
  <c r="AV261" i="32"/>
  <c r="AE261" i="32"/>
  <c r="AY261" i="32" s="1"/>
  <c r="J304" i="32"/>
  <c r="BB62" i="32"/>
  <c r="AT62" i="32"/>
  <c r="BA62" i="32" s="1"/>
  <c r="AC106" i="32"/>
  <c r="AD106" i="32"/>
  <c r="AX106" i="32" s="1"/>
  <c r="AH114" i="32"/>
  <c r="AZ111" i="32"/>
  <c r="AZ114" i="32" s="1"/>
  <c r="AD25" i="32"/>
  <c r="AX25" i="32" s="1"/>
  <c r="AC30" i="32"/>
  <c r="BC40" i="32"/>
  <c r="AS43" i="32"/>
  <c r="AE50" i="32"/>
  <c r="AY50" i="32" s="1"/>
  <c r="AT64" i="32"/>
  <c r="BA64" i="32" s="1"/>
  <c r="AT68" i="32"/>
  <c r="BA68" i="32" s="1"/>
  <c r="AE106" i="32"/>
  <c r="AY106" i="32" s="1"/>
  <c r="AC154" i="32"/>
  <c r="AD154" i="32"/>
  <c r="AX154" i="32" s="1"/>
  <c r="AT199" i="32"/>
  <c r="BA199" i="32" s="1"/>
  <c r="BB199" i="32"/>
  <c r="AE210" i="32"/>
  <c r="AY210" i="32" s="1"/>
  <c r="AD210" i="32"/>
  <c r="AX210" i="32" s="1"/>
  <c r="AS311" i="32"/>
  <c r="AL33" i="47" s="1"/>
  <c r="BC35" i="32"/>
  <c r="R43" i="32"/>
  <c r="AT40" i="32"/>
  <c r="BA40" i="32" s="1"/>
  <c r="AS52" i="32"/>
  <c r="BC46" i="32"/>
  <c r="AC51" i="32"/>
  <c r="AV54" i="32"/>
  <c r="AT57" i="32"/>
  <c r="BA57" i="32" s="1"/>
  <c r="BB57" i="32"/>
  <c r="AD62" i="32"/>
  <c r="AX62" i="32" s="1"/>
  <c r="AC62" i="32"/>
  <c r="BC72" i="32"/>
  <c r="AH78" i="32"/>
  <c r="AZ73" i="32"/>
  <c r="AZ78" i="32" s="1"/>
  <c r="BC85" i="32"/>
  <c r="AW102" i="32"/>
  <c r="AW310" i="32" s="1"/>
  <c r="AP32" i="47" s="1"/>
  <c r="AB313" i="32"/>
  <c r="U35" i="47" s="1"/>
  <c r="AR114" i="32"/>
  <c r="AT133" i="32"/>
  <c r="BA133" i="32" s="1"/>
  <c r="BB133" i="32"/>
  <c r="AT134" i="32"/>
  <c r="BA134" i="32" s="1"/>
  <c r="BB134" i="32"/>
  <c r="R145" i="32"/>
  <c r="AV144" i="32"/>
  <c r="AD144" i="32"/>
  <c r="AX144" i="32" s="1"/>
  <c r="AC144" i="32"/>
  <c r="AR196" i="32"/>
  <c r="BB191" i="32"/>
  <c r="AT191" i="32"/>
  <c r="BA191" i="32" s="1"/>
  <c r="BB193" i="32"/>
  <c r="AT193" i="32"/>
  <c r="BA193" i="32" s="1"/>
  <c r="AR263" i="32"/>
  <c r="AD279" i="32"/>
  <c r="AX279" i="32" s="1"/>
  <c r="AE279" i="32"/>
  <c r="AY279" i="32" s="1"/>
  <c r="AV279" i="32"/>
  <c r="AE292" i="32"/>
  <c r="AY292" i="32" s="1"/>
  <c r="AD292" i="32"/>
  <c r="AX292" i="32" s="1"/>
  <c r="W301" i="32"/>
  <c r="P18" i="47" s="1"/>
  <c r="P23" i="47" s="1"/>
  <c r="AE15" i="32"/>
  <c r="AY15" i="32" s="1"/>
  <c r="AD29" i="32"/>
  <c r="AX29" i="32" s="1"/>
  <c r="AV64" i="32"/>
  <c r="AD64" i="32"/>
  <c r="AX64" i="32" s="1"/>
  <c r="AB85" i="32"/>
  <c r="AT86" i="32"/>
  <c r="BA86" i="32" s="1"/>
  <c r="BB93" i="32"/>
  <c r="BB97" i="32" s="1"/>
  <c r="AT93" i="32"/>
  <c r="BA93" i="32" s="1"/>
  <c r="BB101" i="32"/>
  <c r="BB307" i="32" s="1"/>
  <c r="AC107" i="32"/>
  <c r="AE107" i="32"/>
  <c r="AY107" i="32" s="1"/>
  <c r="AD107" i="32"/>
  <c r="AX107" i="32" s="1"/>
  <c r="AV107" i="32"/>
  <c r="BB112" i="32"/>
  <c r="AS121" i="32"/>
  <c r="BC115" i="32"/>
  <c r="AZ254" i="32"/>
  <c r="AZ256" i="32" s="1"/>
  <c r="AH256" i="32"/>
  <c r="AS22" i="32"/>
  <c r="AT24" i="32"/>
  <c r="BA24" i="32" s="1"/>
  <c r="AD40" i="32"/>
  <c r="AX40" i="32" s="1"/>
  <c r="AC40" i="32"/>
  <c r="AZ43" i="32"/>
  <c r="AD44" i="32"/>
  <c r="AX44" i="32" s="1"/>
  <c r="AX45" i="32" s="1"/>
  <c r="AT46" i="32"/>
  <c r="BA46" i="32" s="1"/>
  <c r="AS306" i="32"/>
  <c r="AL28" i="47" s="1"/>
  <c r="AC64" i="32"/>
  <c r="AV67" i="32"/>
  <c r="AD67" i="32"/>
  <c r="AX67" i="32" s="1"/>
  <c r="AC68" i="32"/>
  <c r="BB70" i="32"/>
  <c r="AT73" i="32"/>
  <c r="AC118" i="32"/>
  <c r="AE119" i="32"/>
  <c r="AY119" i="32" s="1"/>
  <c r="AV119" i="32"/>
  <c r="AD119" i="32"/>
  <c r="AX119" i="32" s="1"/>
  <c r="AC119" i="32"/>
  <c r="AB145" i="32"/>
  <c r="AW139" i="32"/>
  <c r="AW145" i="32" s="1"/>
  <c r="AD251" i="32"/>
  <c r="AX251" i="32" s="1"/>
  <c r="AE251" i="32"/>
  <c r="AY251" i="32" s="1"/>
  <c r="AC287" i="32"/>
  <c r="AE287" i="32"/>
  <c r="AY287" i="32" s="1"/>
  <c r="T304" i="32"/>
  <c r="N32" i="47"/>
  <c r="U304" i="32"/>
  <c r="AG32" i="47"/>
  <c r="AN304" i="32"/>
  <c r="F27" i="47"/>
  <c r="M304" i="32"/>
  <c r="I28" i="47"/>
  <c r="P304" i="32"/>
  <c r="BC12" i="32"/>
  <c r="BC314" i="32" s="1"/>
  <c r="AV36" i="47" s="1"/>
  <c r="AB27" i="32"/>
  <c r="BB31" i="32"/>
  <c r="BB39" i="32"/>
  <c r="R52" i="32"/>
  <c r="AS312" i="32"/>
  <c r="AL34" i="47" s="1"/>
  <c r="AT53" i="32"/>
  <c r="BA53" i="32" s="1"/>
  <c r="AB65" i="32"/>
  <c r="AW60" i="32"/>
  <c r="AT69" i="32"/>
  <c r="BA69" i="32" s="1"/>
  <c r="AH85" i="32"/>
  <c r="AT87" i="32"/>
  <c r="BA87" i="32" s="1"/>
  <c r="AT95" i="32"/>
  <c r="BA95" i="32" s="1"/>
  <c r="AC101" i="32"/>
  <c r="AH310" i="32"/>
  <c r="AA32" i="47" s="1"/>
  <c r="AH313" i="32"/>
  <c r="AA35" i="47" s="1"/>
  <c r="AV113" i="32"/>
  <c r="AB121" i="32"/>
  <c r="R121" i="32"/>
  <c r="AS125" i="32"/>
  <c r="AC128" i="32"/>
  <c r="AT136" i="32"/>
  <c r="BA136" i="32" s="1"/>
  <c r="AS158" i="32"/>
  <c r="AV161" i="32"/>
  <c r="AT162" i="32"/>
  <c r="BA162" i="32" s="1"/>
  <c r="AZ189" i="32"/>
  <c r="AW206" i="32"/>
  <c r="BB212" i="32"/>
  <c r="AT212" i="32"/>
  <c r="BA212" i="32" s="1"/>
  <c r="BB220" i="32"/>
  <c r="AT220" i="32"/>
  <c r="BA220" i="32" s="1"/>
  <c r="AD237" i="32"/>
  <c r="AX237" i="32" s="1"/>
  <c r="AE237" i="32"/>
  <c r="AY237" i="32" s="1"/>
  <c r="BB259" i="32"/>
  <c r="AT259" i="32"/>
  <c r="BA259" i="32" s="1"/>
  <c r="AS300" i="32"/>
  <c r="AK304" i="32"/>
  <c r="AR313" i="32"/>
  <c r="AD113" i="32"/>
  <c r="AX113" i="32" s="1"/>
  <c r="AH121" i="32"/>
  <c r="AW138" i="32"/>
  <c r="BB168" i="32"/>
  <c r="AT168" i="32"/>
  <c r="BA168" i="32" s="1"/>
  <c r="BB175" i="32"/>
  <c r="AT175" i="32"/>
  <c r="BA175" i="32" s="1"/>
  <c r="AW185" i="32"/>
  <c r="AZ197" i="32"/>
  <c r="AZ200" i="32" s="1"/>
  <c r="AH200" i="32"/>
  <c r="AR222" i="32"/>
  <c r="BB216" i="32"/>
  <c r="AT216" i="32"/>
  <c r="BA216" i="32" s="1"/>
  <c r="AW228" i="32"/>
  <c r="AE230" i="32"/>
  <c r="AY230" i="32" s="1"/>
  <c r="AC230" i="32"/>
  <c r="AD245" i="32"/>
  <c r="AX245" i="32" s="1"/>
  <c r="AC245" i="32"/>
  <c r="AD258" i="32"/>
  <c r="AX258" i="32" s="1"/>
  <c r="AV258" i="32"/>
  <c r="AV265" i="32"/>
  <c r="AE265" i="32"/>
  <c r="AY265" i="32" s="1"/>
  <c r="AD265" i="32"/>
  <c r="AX265" i="32" s="1"/>
  <c r="AW270" i="32"/>
  <c r="R300" i="32"/>
  <c r="R138" i="32"/>
  <c r="AZ138" i="32"/>
  <c r="BB151" i="32"/>
  <c r="R165" i="32"/>
  <c r="AW189" i="32"/>
  <c r="AS270" i="32"/>
  <c r="BC264" i="32"/>
  <c r="AV283" i="32"/>
  <c r="AD283" i="32"/>
  <c r="AX283" i="32" s="1"/>
  <c r="AB17" i="32"/>
  <c r="AH27" i="32"/>
  <c r="R31" i="32"/>
  <c r="AS39" i="32"/>
  <c r="BC58" i="32"/>
  <c r="AB78" i="32"/>
  <c r="AW73" i="32"/>
  <c r="AW78" i="32" s="1"/>
  <c r="X12" i="32"/>
  <c r="X13" i="32" s="1"/>
  <c r="AT12" i="32"/>
  <c r="AA301" i="32"/>
  <c r="T18" i="47" s="1"/>
  <c r="T23" i="47" s="1"/>
  <c r="AR13" i="32"/>
  <c r="AH17" i="32"/>
  <c r="AV28" i="32"/>
  <c r="AR35" i="32"/>
  <c r="AR39" i="32"/>
  <c r="AT42" i="32"/>
  <c r="BA42" i="32" s="1"/>
  <c r="AH52" i="32"/>
  <c r="AT54" i="32"/>
  <c r="BA54" i="32" s="1"/>
  <c r="AT56" i="32"/>
  <c r="BA56" i="32" s="1"/>
  <c r="R72" i="32"/>
  <c r="BB69" i="32"/>
  <c r="AT76" i="32"/>
  <c r="BA76" i="32" s="1"/>
  <c r="AT80" i="32"/>
  <c r="BA80" i="32" s="1"/>
  <c r="AC89" i="32"/>
  <c r="AV95" i="32"/>
  <c r="AD101" i="32"/>
  <c r="AX101" i="32" s="1"/>
  <c r="AS310" i="32"/>
  <c r="AL32" i="47" s="1"/>
  <c r="AW114" i="32"/>
  <c r="AE113" i="32"/>
  <c r="AY113" i="32" s="1"/>
  <c r="R114" i="32"/>
  <c r="AH308" i="32"/>
  <c r="AA30" i="47" s="1"/>
  <c r="AD128" i="32"/>
  <c r="AX128" i="32" s="1"/>
  <c r="BB128" i="32"/>
  <c r="BB131" i="32" s="1"/>
  <c r="AH138" i="32"/>
  <c r="AT139" i="32"/>
  <c r="BA139" i="32" s="1"/>
  <c r="AS145" i="32"/>
  <c r="AT142" i="32"/>
  <c r="BA142" i="32" s="1"/>
  <c r="R158" i="32"/>
  <c r="AV178" i="32"/>
  <c r="AD178" i="32"/>
  <c r="AX178" i="32" s="1"/>
  <c r="AV188" i="32"/>
  <c r="AD188" i="32"/>
  <c r="AX188" i="32" s="1"/>
  <c r="AV203" i="32"/>
  <c r="BC216" i="32"/>
  <c r="BC222" i="32" s="1"/>
  <c r="AS222" i="32"/>
  <c r="AT229" i="32"/>
  <c r="BA229" i="32" s="1"/>
  <c r="AZ236" i="32"/>
  <c r="AZ242" i="32" s="1"/>
  <c r="AH242" i="32"/>
  <c r="AS246" i="32"/>
  <c r="AT267" i="32"/>
  <c r="BA267" i="32" s="1"/>
  <c r="BB267" i="32"/>
  <c r="AW284" i="32"/>
  <c r="BB292" i="32"/>
  <c r="AT292" i="32"/>
  <c r="BA292" i="32" s="1"/>
  <c r="AB165" i="32"/>
  <c r="BC183" i="32"/>
  <c r="AH206" i="32"/>
  <c r="AT202" i="32"/>
  <c r="BA202" i="32" s="1"/>
  <c r="AW215" i="32"/>
  <c r="AB224" i="32"/>
  <c r="AB235" i="32"/>
  <c r="BB237" i="32"/>
  <c r="AB246" i="32"/>
  <c r="AB253" i="32"/>
  <c r="AB291" i="32"/>
  <c r="AR172" i="32"/>
  <c r="AC168" i="32"/>
  <c r="R179" i="32"/>
  <c r="BB184" i="32"/>
  <c r="BC200" i="32"/>
  <c r="AR206" i="32"/>
  <c r="AZ215" i="32"/>
  <c r="AW216" i="32"/>
  <c r="AW222" i="32" s="1"/>
  <c r="AV229" i="32"/>
  <c r="R242" i="32"/>
  <c r="BB241" i="32"/>
  <c r="AT250" i="32"/>
  <c r="BA250" i="32" s="1"/>
  <c r="AB256" i="32"/>
  <c r="R263" i="32"/>
  <c r="AT276" i="32"/>
  <c r="BA276" i="32" s="1"/>
  <c r="AV296" i="32"/>
  <c r="AO304" i="32"/>
  <c r="AH27" i="47"/>
  <c r="L304" i="32"/>
  <c r="E28" i="47"/>
  <c r="AL304" i="32"/>
  <c r="AE30" i="47"/>
  <c r="I304" i="32"/>
  <c r="B31" i="47"/>
  <c r="O304" i="32"/>
  <c r="H31" i="47"/>
  <c r="AA304" i="32"/>
  <c r="T31" i="47"/>
  <c r="AG304" i="32"/>
  <c r="Z31" i="47"/>
  <c r="AM304" i="32"/>
  <c r="AB158" i="32"/>
  <c r="AR165" i="32"/>
  <c r="AV160" i="32"/>
  <c r="AH172" i="32"/>
  <c r="AD173" i="32"/>
  <c r="BC189" i="32"/>
  <c r="AV190" i="32"/>
  <c r="AC193" i="32"/>
  <c r="AV193" i="32"/>
  <c r="AD199" i="32"/>
  <c r="AX199" i="32" s="1"/>
  <c r="AC211" i="32"/>
  <c r="R224" i="32"/>
  <c r="AD236" i="32"/>
  <c r="AX236" i="32" s="1"/>
  <c r="AT280" i="32"/>
  <c r="BA280" i="32" s="1"/>
  <c r="AT282" i="32"/>
  <c r="BA282" i="32" s="1"/>
  <c r="W304" i="32"/>
  <c r="P27" i="47"/>
  <c r="AS165" i="32"/>
  <c r="AD160" i="32"/>
  <c r="AX160" i="32" s="1"/>
  <c r="AS172" i="32"/>
  <c r="AT171" i="32"/>
  <c r="BA171" i="32" s="1"/>
  <c r="AD190" i="32"/>
  <c r="AX190" i="32" s="1"/>
  <c r="AE193" i="32"/>
  <c r="AY193" i="32" s="1"/>
  <c r="AT194" i="32"/>
  <c r="BA194" i="32" s="1"/>
  <c r="AC204" i="32"/>
  <c r="AV205" i="32"/>
  <c r="AH222" i="32"/>
  <c r="AB228" i="32"/>
  <c r="BC246" i="32"/>
  <c r="AW256" i="32"/>
  <c r="AT279" i="32"/>
  <c r="BA279" i="32" s="1"/>
  <c r="BC284" i="32"/>
  <c r="K304" i="32"/>
  <c r="D27" i="47"/>
  <c r="Q304" i="32"/>
  <c r="J27" i="47"/>
  <c r="AQ304" i="32"/>
  <c r="AJ29" i="47"/>
  <c r="BB17" i="32"/>
  <c r="BB22" i="32"/>
  <c r="BA28" i="32"/>
  <c r="AD36" i="32"/>
  <c r="AV36" i="32"/>
  <c r="AE36" i="32"/>
  <c r="AC36" i="32"/>
  <c r="AX59" i="32"/>
  <c r="AZ35" i="32"/>
  <c r="BC43" i="32"/>
  <c r="AD21" i="32"/>
  <c r="AX21" i="32" s="1"/>
  <c r="AV21" i="32"/>
  <c r="AE21" i="32"/>
  <c r="AY21" i="32" s="1"/>
  <c r="AC21" i="32"/>
  <c r="AV34" i="32"/>
  <c r="AE34" i="32"/>
  <c r="AY34" i="32" s="1"/>
  <c r="AD34" i="32"/>
  <c r="AX34" i="32" s="1"/>
  <c r="AC34" i="32"/>
  <c r="AD18" i="32"/>
  <c r="AV18" i="32"/>
  <c r="AE18" i="32"/>
  <c r="AC18" i="32"/>
  <c r="AW22" i="32"/>
  <c r="AV49" i="32"/>
  <c r="AE49" i="32"/>
  <c r="AY49" i="32" s="1"/>
  <c r="AD49" i="32"/>
  <c r="AX49" i="32" s="1"/>
  <c r="AC49" i="32"/>
  <c r="BC65" i="32"/>
  <c r="AW65" i="32"/>
  <c r="AC63" i="32"/>
  <c r="AD63" i="32"/>
  <c r="AX63" i="32" s="1"/>
  <c r="AV63" i="32"/>
  <c r="AE63" i="32"/>
  <c r="AY63" i="32" s="1"/>
  <c r="R13" i="32"/>
  <c r="AJ301" i="32"/>
  <c r="AC18" i="47" s="1"/>
  <c r="AC23" i="47" s="1"/>
  <c r="AP301" i="32"/>
  <c r="AI18" i="47" s="1"/>
  <c r="AI23" i="47" s="1"/>
  <c r="BB13" i="32"/>
  <c r="AD14" i="32"/>
  <c r="AT14" i="32"/>
  <c r="AZ14" i="32"/>
  <c r="R311" i="32"/>
  <c r="K33" i="47" s="1"/>
  <c r="AH311" i="32"/>
  <c r="AA33" i="47" s="1"/>
  <c r="AD19" i="32"/>
  <c r="AX19" i="32" s="1"/>
  <c r="AT19" i="32"/>
  <c r="BA19" i="32" s="1"/>
  <c r="AB22" i="32"/>
  <c r="AH22" i="32"/>
  <c r="AD23" i="32"/>
  <c r="AT23" i="32"/>
  <c r="AE25" i="32"/>
  <c r="AY25" i="32" s="1"/>
  <c r="AD26" i="32"/>
  <c r="AX26" i="32" s="1"/>
  <c r="AT26" i="32"/>
  <c r="BA26" i="32" s="1"/>
  <c r="BC28" i="32"/>
  <c r="BC31" i="32" s="1"/>
  <c r="AE29" i="32"/>
  <c r="AY29" i="32" s="1"/>
  <c r="AW30" i="32"/>
  <c r="R35" i="32"/>
  <c r="AW32" i="32"/>
  <c r="AW35" i="32" s="1"/>
  <c r="AS35" i="32"/>
  <c r="AD37" i="32"/>
  <c r="AX37" i="32" s="1"/>
  <c r="AT37" i="32"/>
  <c r="BA37" i="32" s="1"/>
  <c r="AC38" i="32"/>
  <c r="AE40" i="32"/>
  <c r="AD41" i="32"/>
  <c r="AX41" i="32" s="1"/>
  <c r="AT41" i="32"/>
  <c r="BA41" i="32" s="1"/>
  <c r="AE42" i="32"/>
  <c r="AY42" i="32" s="1"/>
  <c r="AV42" i="32"/>
  <c r="AE44" i="32"/>
  <c r="BC44" i="32"/>
  <c r="BC45" i="32" s="1"/>
  <c r="AW52" i="32"/>
  <c r="AC53" i="32"/>
  <c r="AD55" i="32"/>
  <c r="AX55" i="32" s="1"/>
  <c r="AC61" i="32"/>
  <c r="AT61" i="32"/>
  <c r="BA61" i="32" s="1"/>
  <c r="BB63" i="32"/>
  <c r="AE64" i="32"/>
  <c r="AY64" i="32" s="1"/>
  <c r="AH65" i="32"/>
  <c r="AS72" i="32"/>
  <c r="BB66" i="32"/>
  <c r="AE67" i="32"/>
  <c r="AY67" i="32" s="1"/>
  <c r="AE77" i="32"/>
  <c r="AY77" i="32" s="1"/>
  <c r="AC77" i="32"/>
  <c r="AV77" i="32"/>
  <c r="R78" i="32"/>
  <c r="AT79" i="32"/>
  <c r="AZ82" i="32"/>
  <c r="AZ312" i="32" s="1"/>
  <c r="AS34" i="47" s="1"/>
  <c r="AH91" i="32"/>
  <c r="AZ87" i="32"/>
  <c r="AZ91" i="32" s="1"/>
  <c r="AE96" i="32"/>
  <c r="AY96" i="32" s="1"/>
  <c r="AC96" i="32"/>
  <c r="AV96" i="32"/>
  <c r="AD96" i="32"/>
  <c r="AX96" i="32" s="1"/>
  <c r="BC99" i="32"/>
  <c r="AT99" i="32"/>
  <c r="BA99" i="32" s="1"/>
  <c r="AE105" i="32"/>
  <c r="AY105" i="32" s="1"/>
  <c r="AV105" i="32"/>
  <c r="AD105" i="32"/>
  <c r="AX105" i="32" s="1"/>
  <c r="AC105" i="32"/>
  <c r="AE120" i="32"/>
  <c r="AY120" i="32" s="1"/>
  <c r="AV120" i="32"/>
  <c r="AD120" i="32"/>
  <c r="AX120" i="32" s="1"/>
  <c r="AC120" i="32"/>
  <c r="S301" i="32"/>
  <c r="L18" i="47" s="1"/>
  <c r="L23" i="47" s="1"/>
  <c r="Y301" i="32"/>
  <c r="R18" i="47" s="1"/>
  <c r="R23" i="47" s="1"/>
  <c r="AK301" i="32"/>
  <c r="AD18" i="47" s="1"/>
  <c r="AD23" i="47" s="1"/>
  <c r="AQ301" i="32"/>
  <c r="AJ18" i="47" s="1"/>
  <c r="AJ23" i="47" s="1"/>
  <c r="AE14" i="32"/>
  <c r="AC15" i="32"/>
  <c r="BC16" i="32"/>
  <c r="BC17" i="32" s="1"/>
  <c r="BC18" i="32"/>
  <c r="BC22" i="32" s="1"/>
  <c r="AE19" i="32"/>
  <c r="AY19" i="32" s="1"/>
  <c r="AT20" i="32"/>
  <c r="BA20" i="32" s="1"/>
  <c r="AE23" i="32"/>
  <c r="AE26" i="32"/>
  <c r="AY26" i="32" s="1"/>
  <c r="AW29" i="32"/>
  <c r="AV32" i="32"/>
  <c r="AT33" i="32"/>
  <c r="BA33" i="32" s="1"/>
  <c r="AH35" i="32"/>
  <c r="BC36" i="32"/>
  <c r="BC39" i="32" s="1"/>
  <c r="AE37" i="32"/>
  <c r="AY37" i="32" s="1"/>
  <c r="AD38" i="32"/>
  <c r="AX38" i="32" s="1"/>
  <c r="AT38" i="32"/>
  <c r="BA38" i="32" s="1"/>
  <c r="AV40" i="32"/>
  <c r="AE41" i="32"/>
  <c r="AY41" i="32" s="1"/>
  <c r="AW44" i="32"/>
  <c r="AW45" i="32" s="1"/>
  <c r="AR45" i="32"/>
  <c r="AR52" i="32"/>
  <c r="AV47" i="32"/>
  <c r="AT48" i="32"/>
  <c r="BA48" i="32" s="1"/>
  <c r="AV50" i="32"/>
  <c r="AT51" i="32"/>
  <c r="BA51" i="32" s="1"/>
  <c r="AD53" i="32"/>
  <c r="AW53" i="32"/>
  <c r="AW58" i="32" s="1"/>
  <c r="AC54" i="32"/>
  <c r="AD54" i="32"/>
  <c r="AX54" i="32" s="1"/>
  <c r="AE55" i="32"/>
  <c r="AY55" i="32" s="1"/>
  <c r="AE57" i="32"/>
  <c r="AY57" i="32" s="1"/>
  <c r="R58" i="32"/>
  <c r="AC59" i="32"/>
  <c r="AT59" i="32"/>
  <c r="AD61" i="32"/>
  <c r="AX61" i="32" s="1"/>
  <c r="AB72" i="32"/>
  <c r="AE68" i="32"/>
  <c r="AY68" i="32" s="1"/>
  <c r="AV68" i="32"/>
  <c r="AC71" i="32"/>
  <c r="AT71" i="32"/>
  <c r="BA71" i="32" s="1"/>
  <c r="AR72" i="32"/>
  <c r="AE75" i="32"/>
  <c r="AY75" i="32" s="1"/>
  <c r="AT77" i="32"/>
  <c r="BA77" i="32" s="1"/>
  <c r="AC79" i="32"/>
  <c r="AV79" i="32"/>
  <c r="AE80" i="32"/>
  <c r="AY80" i="32" s="1"/>
  <c r="AC80" i="32"/>
  <c r="AV80" i="32"/>
  <c r="AC81" i="32"/>
  <c r="AD81" i="32"/>
  <c r="AX81" i="32" s="1"/>
  <c r="BB84" i="32"/>
  <c r="BB87" i="32"/>
  <c r="AD89" i="32"/>
  <c r="AX89" i="32" s="1"/>
  <c r="AV89" i="32"/>
  <c r="R91" i="32"/>
  <c r="AR97" i="32"/>
  <c r="AT92" i="32"/>
  <c r="AE93" i="32"/>
  <c r="AY93" i="32" s="1"/>
  <c r="AV93" i="32"/>
  <c r="AD93" i="32"/>
  <c r="AX93" i="32" s="1"/>
  <c r="AD94" i="32"/>
  <c r="AX94" i="32" s="1"/>
  <c r="U301" i="32"/>
  <c r="N18" i="47" s="1"/>
  <c r="N23" i="47" s="1"/>
  <c r="AZ12" i="32"/>
  <c r="T301" i="32"/>
  <c r="M18" i="47" s="1"/>
  <c r="Z301" i="32"/>
  <c r="S18" i="47" s="1"/>
  <c r="S23" i="47" s="1"/>
  <c r="AF301" i="32"/>
  <c r="AL301" i="32"/>
  <c r="AE18" i="47" s="1"/>
  <c r="AE23" i="47" s="1"/>
  <c r="R305" i="32"/>
  <c r="K27" i="47" s="1"/>
  <c r="AH305" i="32"/>
  <c r="AA27" i="47" s="1"/>
  <c r="AV14" i="32"/>
  <c r="AD15" i="32"/>
  <c r="AX15" i="32" s="1"/>
  <c r="AB311" i="32"/>
  <c r="U33" i="47" s="1"/>
  <c r="AR311" i="32"/>
  <c r="R17" i="32"/>
  <c r="AV19" i="32"/>
  <c r="R22" i="32"/>
  <c r="AW23" i="32"/>
  <c r="AW27" i="32" s="1"/>
  <c r="AR27" i="32"/>
  <c r="AR31" i="32"/>
  <c r="AT30" i="32"/>
  <c r="BA30" i="32" s="1"/>
  <c r="AS31" i="32"/>
  <c r="BB35" i="32"/>
  <c r="AH39" i="32"/>
  <c r="AZ36" i="32"/>
  <c r="AZ39" i="32" s="1"/>
  <c r="AW36" i="32"/>
  <c r="AW39" i="32" s="1"/>
  <c r="AV37" i="32"/>
  <c r="AE38" i="32"/>
  <c r="AY38" i="32" s="1"/>
  <c r="AZ46" i="32"/>
  <c r="AZ52" i="32" s="1"/>
  <c r="AB306" i="32"/>
  <c r="U28" i="47" s="1"/>
  <c r="AR306" i="32"/>
  <c r="BB47" i="32"/>
  <c r="AB312" i="32"/>
  <c r="U34" i="47" s="1"/>
  <c r="AR312" i="32"/>
  <c r="BB50" i="32"/>
  <c r="AE56" i="32"/>
  <c r="AY56" i="32" s="1"/>
  <c r="AV56" i="32"/>
  <c r="AS58" i="32"/>
  <c r="AC60" i="32"/>
  <c r="AD60" i="32"/>
  <c r="AX60" i="32" s="1"/>
  <c r="AE61" i="32"/>
  <c r="AY61" i="32" s="1"/>
  <c r="AE74" i="32"/>
  <c r="AY74" i="32" s="1"/>
  <c r="AV74" i="32"/>
  <c r="AD79" i="32"/>
  <c r="AW85" i="32"/>
  <c r="AV81" i="32"/>
  <c r="AS85" i="32"/>
  <c r="AR91" i="32"/>
  <c r="BB86" i="32"/>
  <c r="BC91" i="32"/>
  <c r="BA88" i="32"/>
  <c r="AE89" i="32"/>
  <c r="AY89" i="32" s="1"/>
  <c r="AS97" i="32"/>
  <c r="BC92" i="32"/>
  <c r="BC97" i="32" s="1"/>
  <c r="AT98" i="32"/>
  <c r="AR108" i="32"/>
  <c r="AE99" i="32"/>
  <c r="AY99" i="32" s="1"/>
  <c r="AV99" i="32"/>
  <c r="AD99" i="32"/>
  <c r="AX99" i="32" s="1"/>
  <c r="AC99" i="32"/>
  <c r="AZ99" i="32"/>
  <c r="AW17" i="32"/>
  <c r="AB52" i="32"/>
  <c r="AE62" i="32"/>
  <c r="AY62" i="32" s="1"/>
  <c r="AV62" i="32"/>
  <c r="AR65" i="32"/>
  <c r="AH72" i="32"/>
  <c r="AZ66" i="32"/>
  <c r="AZ72" i="32" s="1"/>
  <c r="AE83" i="32"/>
  <c r="AY83" i="32" s="1"/>
  <c r="AC83" i="32"/>
  <c r="AV83" i="32"/>
  <c r="AC84" i="32"/>
  <c r="AD84" i="32"/>
  <c r="AX84" i="32" s="1"/>
  <c r="R85" i="32"/>
  <c r="AE86" i="32"/>
  <c r="AC86" i="32"/>
  <c r="AV86" i="32"/>
  <c r="AC87" i="32"/>
  <c r="AD87" i="32"/>
  <c r="AX87" i="32" s="1"/>
  <c r="AC88" i="32"/>
  <c r="AV88" i="32"/>
  <c r="BB89" i="32"/>
  <c r="AV92" i="32"/>
  <c r="AE92" i="32"/>
  <c r="AC92" i="32"/>
  <c r="AZ93" i="32"/>
  <c r="AZ97" i="32" s="1"/>
  <c r="R97" i="32"/>
  <c r="AE117" i="32"/>
  <c r="AY117" i="32" s="1"/>
  <c r="AV117" i="32"/>
  <c r="AD117" i="32"/>
  <c r="AX117" i="32" s="1"/>
  <c r="AC117" i="32"/>
  <c r="R39" i="32"/>
  <c r="V301" i="32"/>
  <c r="O18" i="47" s="1"/>
  <c r="O23" i="47" s="1"/>
  <c r="AH13" i="32"/>
  <c r="AN301" i="32"/>
  <c r="AG18" i="47" s="1"/>
  <c r="AG23" i="47" s="1"/>
  <c r="AB305" i="32"/>
  <c r="U27" i="47" s="1"/>
  <c r="AR305" i="32"/>
  <c r="AT16" i="32"/>
  <c r="AR17" i="32"/>
  <c r="AR22" i="32"/>
  <c r="AT18" i="32"/>
  <c r="AT21" i="32"/>
  <c r="BA21" i="32" s="1"/>
  <c r="AC29" i="32"/>
  <c r="AT32" i="32"/>
  <c r="AT36" i="32"/>
  <c r="AC44" i="32"/>
  <c r="AT47" i="32"/>
  <c r="AT50" i="32"/>
  <c r="AE53" i="32"/>
  <c r="AV53" i="32"/>
  <c r="AR58" i="32"/>
  <c r="BB53" i="32"/>
  <c r="BB58" i="32" s="1"/>
  <c r="AH58" i="32"/>
  <c r="R65" i="32"/>
  <c r="AS65" i="32"/>
  <c r="AS78" i="32"/>
  <c r="BC73" i="32"/>
  <c r="BC78" i="32" s="1"/>
  <c r="AR85" i="32"/>
  <c r="AB91" i="32"/>
  <c r="AE90" i="32"/>
  <c r="AY90" i="32" s="1"/>
  <c r="AC90" i="32"/>
  <c r="AV90" i="32"/>
  <c r="AD90" i="32"/>
  <c r="AX90" i="32" s="1"/>
  <c r="AW92" i="32"/>
  <c r="AW97" i="32" s="1"/>
  <c r="AB97" i="32"/>
  <c r="R108" i="32"/>
  <c r="AE111" i="32"/>
  <c r="AV111" i="32"/>
  <c r="AD111" i="32"/>
  <c r="AC111" i="32"/>
  <c r="AC14" i="32"/>
  <c r="AS305" i="32"/>
  <c r="AL27" i="47" s="1"/>
  <c r="AS17" i="32"/>
  <c r="AC23" i="32"/>
  <c r="BB24" i="32"/>
  <c r="AC26" i="32"/>
  <c r="AT29" i="32"/>
  <c r="BA29" i="32" s="1"/>
  <c r="AC41" i="32"/>
  <c r="AI41" i="32" s="1"/>
  <c r="AU41" i="32" s="1"/>
  <c r="AC42" i="32"/>
  <c r="BB42" i="32"/>
  <c r="BB43" i="32" s="1"/>
  <c r="AT44" i="32"/>
  <c r="BC47" i="32"/>
  <c r="BC50" i="32"/>
  <c r="AC57" i="32"/>
  <c r="AD57" i="32"/>
  <c r="AX57" i="32" s="1"/>
  <c r="AE59" i="32"/>
  <c r="AV59" i="32"/>
  <c r="AE71" i="32"/>
  <c r="AY71" i="32" s="1"/>
  <c r="AV71" i="32"/>
  <c r="BA73" i="32"/>
  <c r="AC75" i="32"/>
  <c r="AD75" i="32"/>
  <c r="AX75" i="32" s="1"/>
  <c r="AR78" i="32"/>
  <c r="BB81" i="32"/>
  <c r="BB85" i="32" s="1"/>
  <c r="AC94" i="32"/>
  <c r="AI94" i="32" s="1"/>
  <c r="AU94" i="32" s="1"/>
  <c r="AV94" i="32"/>
  <c r="AW108" i="32"/>
  <c r="AC112" i="32"/>
  <c r="AV112" i="32"/>
  <c r="AE112" i="32"/>
  <c r="AY112" i="32" s="1"/>
  <c r="AD112" i="32"/>
  <c r="AX112" i="32" s="1"/>
  <c r="R306" i="32"/>
  <c r="K28" i="47" s="1"/>
  <c r="AH306" i="32"/>
  <c r="AA28" i="47" s="1"/>
  <c r="R312" i="32"/>
  <c r="K34" i="47" s="1"/>
  <c r="AH312" i="32"/>
  <c r="AA34" i="47" s="1"/>
  <c r="AB307" i="32"/>
  <c r="U29" i="47" s="1"/>
  <c r="AZ100" i="32"/>
  <c r="AZ307" i="32" s="1"/>
  <c r="AS29" i="47" s="1"/>
  <c r="BC102" i="32"/>
  <c r="BC310" i="32" s="1"/>
  <c r="AV32" i="47" s="1"/>
  <c r="AV103" i="32"/>
  <c r="AB108" i="32"/>
  <c r="AW109" i="32"/>
  <c r="R110" i="32"/>
  <c r="AB114" i="32"/>
  <c r="AR121" i="32"/>
  <c r="AT115" i="32"/>
  <c r="AZ115" i="32"/>
  <c r="AZ121" i="32" s="1"/>
  <c r="AE118" i="32"/>
  <c r="AY118" i="32" s="1"/>
  <c r="AV118" i="32"/>
  <c r="AT120" i="32"/>
  <c r="BA120" i="32" s="1"/>
  <c r="AZ122" i="32"/>
  <c r="AZ125" i="32" s="1"/>
  <c r="AH125" i="32"/>
  <c r="AB131" i="32"/>
  <c r="AW126" i="32"/>
  <c r="AW131" i="32" s="1"/>
  <c r="AC136" i="32"/>
  <c r="AD136" i="32"/>
  <c r="AX136" i="32" s="1"/>
  <c r="AV136" i="32"/>
  <c r="AE136" i="32"/>
  <c r="AY136" i="32" s="1"/>
  <c r="AV140" i="32"/>
  <c r="AE140" i="32"/>
  <c r="AY140" i="32" s="1"/>
  <c r="AD140" i="32"/>
  <c r="AC140" i="32"/>
  <c r="AC153" i="32"/>
  <c r="AE153" i="32"/>
  <c r="AY153" i="32" s="1"/>
  <c r="AD153" i="32"/>
  <c r="AX153" i="32" s="1"/>
  <c r="AV153" i="32"/>
  <c r="AC109" i="32"/>
  <c r="AR110" i="32"/>
  <c r="AC115" i="32"/>
  <c r="AD115" i="32"/>
  <c r="AT122" i="32"/>
  <c r="BB122" i="32"/>
  <c r="AE123" i="32"/>
  <c r="AY123" i="32" s="1"/>
  <c r="AV123" i="32"/>
  <c r="AD123" i="32"/>
  <c r="AX123" i="32" s="1"/>
  <c r="AC123" i="32"/>
  <c r="AR125" i="32"/>
  <c r="AZ110" i="32"/>
  <c r="AT111" i="32"/>
  <c r="AR308" i="32"/>
  <c r="BB116" i="32"/>
  <c r="BB124" i="32"/>
  <c r="AT124" i="32"/>
  <c r="BA124" i="32" s="1"/>
  <c r="AC127" i="32"/>
  <c r="AV127" i="32"/>
  <c r="AE127" i="32"/>
  <c r="AY127" i="32" s="1"/>
  <c r="AD142" i="32"/>
  <c r="AX142" i="32" s="1"/>
  <c r="AV142" i="32"/>
  <c r="AE142" i="32"/>
  <c r="AY142" i="32" s="1"/>
  <c r="AC142" i="32"/>
  <c r="AE164" i="32"/>
  <c r="AY164" i="32" s="1"/>
  <c r="AV164" i="32"/>
  <c r="AD164" i="32"/>
  <c r="AX164" i="32" s="1"/>
  <c r="AC164" i="32"/>
  <c r="AS91" i="32"/>
  <c r="AR310" i="32"/>
  <c r="AC104" i="32"/>
  <c r="AT104" i="32"/>
  <c r="BA104" i="32" s="1"/>
  <c r="AV106" i="32"/>
  <c r="AS108" i="32"/>
  <c r="AT109" i="32"/>
  <c r="BC111" i="32"/>
  <c r="BC114" i="32" s="1"/>
  <c r="AE115" i="32"/>
  <c r="AV115" i="32"/>
  <c r="R308" i="32"/>
  <c r="K30" i="47" s="1"/>
  <c r="AS308" i="32"/>
  <c r="AL30" i="47" s="1"/>
  <c r="BC116" i="32"/>
  <c r="R125" i="32"/>
  <c r="AC133" i="32"/>
  <c r="AV133" i="32"/>
  <c r="AE133" i="32"/>
  <c r="AY133" i="32" s="1"/>
  <c r="AD133" i="32"/>
  <c r="AX133" i="32" s="1"/>
  <c r="AZ102" i="32"/>
  <c r="AZ310" i="32" s="1"/>
  <c r="AS32" i="47" s="1"/>
  <c r="AD103" i="32"/>
  <c r="AX103" i="32" s="1"/>
  <c r="AT103" i="32"/>
  <c r="BA103" i="32" s="1"/>
  <c r="AD104" i="32"/>
  <c r="AX104" i="32" s="1"/>
  <c r="BB109" i="32"/>
  <c r="AB110" i="32"/>
  <c r="AW115" i="32"/>
  <c r="AB308" i="32"/>
  <c r="U30" i="47" s="1"/>
  <c r="AW116" i="32"/>
  <c r="AT116" i="32"/>
  <c r="AT118" i="32"/>
  <c r="BA118" i="32" s="1"/>
  <c r="AW122" i="32"/>
  <c r="AW125" i="32" s="1"/>
  <c r="AB125" i="32"/>
  <c r="AS131" i="32"/>
  <c r="BC126" i="32"/>
  <c r="BC131" i="32" s="1"/>
  <c r="AD127" i="32"/>
  <c r="AX127" i="32" s="1"/>
  <c r="AV143" i="32"/>
  <c r="AE143" i="32"/>
  <c r="AY143" i="32" s="1"/>
  <c r="AD143" i="32"/>
  <c r="AX143" i="32" s="1"/>
  <c r="AC143" i="32"/>
  <c r="AE176" i="32"/>
  <c r="AY176" i="32" s="1"/>
  <c r="AC176" i="32"/>
  <c r="AD176" i="32"/>
  <c r="AX176" i="32" s="1"/>
  <c r="AV176" i="32"/>
  <c r="AT90" i="32"/>
  <c r="BA90" i="32" s="1"/>
  <c r="AT96" i="32"/>
  <c r="BA96" i="32" s="1"/>
  <c r="AR307" i="32"/>
  <c r="BB310" i="32"/>
  <c r="AE103" i="32"/>
  <c r="AY103" i="32" s="1"/>
  <c r="AE104" i="32"/>
  <c r="AY104" i="32" s="1"/>
  <c r="AD118" i="32"/>
  <c r="AX118" i="32" s="1"/>
  <c r="BB123" i="32"/>
  <c r="AT123" i="32"/>
  <c r="BA123" i="32" s="1"/>
  <c r="AC124" i="32"/>
  <c r="AV124" i="32"/>
  <c r="AE124" i="32"/>
  <c r="AY124" i="32" s="1"/>
  <c r="AD124" i="32"/>
  <c r="AX124" i="32" s="1"/>
  <c r="AE126" i="32"/>
  <c r="AV126" i="32"/>
  <c r="AD126" i="32"/>
  <c r="AT126" i="32"/>
  <c r="AE129" i="32"/>
  <c r="AY129" i="32" s="1"/>
  <c r="AC129" i="32"/>
  <c r="AV129" i="32"/>
  <c r="AD129" i="32"/>
  <c r="AX129" i="32" s="1"/>
  <c r="R131" i="32"/>
  <c r="AE135" i="32"/>
  <c r="AY135" i="32" s="1"/>
  <c r="AV135" i="32"/>
  <c r="AD135" i="32"/>
  <c r="AX135" i="32" s="1"/>
  <c r="AC135" i="32"/>
  <c r="AS307" i="32"/>
  <c r="AL29" i="47" s="1"/>
  <c r="AS313" i="32"/>
  <c r="AL35" i="47" s="1"/>
  <c r="AT135" i="32"/>
  <c r="BA135" i="32" s="1"/>
  <c r="BB136" i="32"/>
  <c r="AE137" i="32"/>
  <c r="AY137" i="32" s="1"/>
  <c r="AV137" i="32"/>
  <c r="AR138" i="32"/>
  <c r="AC139" i="32"/>
  <c r="AT146" i="32"/>
  <c r="BC148" i="32"/>
  <c r="AS151" i="32"/>
  <c r="AE150" i="32"/>
  <c r="AY150" i="32" s="1"/>
  <c r="AV150" i="32"/>
  <c r="R151" i="32"/>
  <c r="AZ158" i="32"/>
  <c r="AE155" i="32"/>
  <c r="AY155" i="32" s="1"/>
  <c r="AV155" i="32"/>
  <c r="AC155" i="32"/>
  <c r="AT155" i="32"/>
  <c r="BA155" i="32" s="1"/>
  <c r="AE157" i="32"/>
  <c r="AY157" i="32" s="1"/>
  <c r="AT160" i="32"/>
  <c r="BA160" i="32" s="1"/>
  <c r="AE161" i="32"/>
  <c r="AY161" i="32" s="1"/>
  <c r="AC161" i="32"/>
  <c r="BC161" i="32"/>
  <c r="BC165" i="32" s="1"/>
  <c r="AT161" i="32"/>
  <c r="BA161" i="32" s="1"/>
  <c r="AT166" i="32"/>
  <c r="AV168" i="32"/>
  <c r="AH179" i="32"/>
  <c r="BC178" i="32"/>
  <c r="BC179" i="32" s="1"/>
  <c r="AT178" i="32"/>
  <c r="BA178" i="32" s="1"/>
  <c r="AT180" i="32"/>
  <c r="BB181" i="32"/>
  <c r="BB187" i="32"/>
  <c r="BB189" i="32" s="1"/>
  <c r="AT187" i="32"/>
  <c r="BA187" i="32" s="1"/>
  <c r="AB189" i="32"/>
  <c r="AS138" i="32"/>
  <c r="AE149" i="32"/>
  <c r="AY149" i="32" s="1"/>
  <c r="AV149" i="32"/>
  <c r="AD149" i="32"/>
  <c r="AX149" i="32" s="1"/>
  <c r="BC149" i="32"/>
  <c r="BB152" i="32"/>
  <c r="AT152" i="32"/>
  <c r="AR158" i="32"/>
  <c r="BC158" i="32"/>
  <c r="AW155" i="32"/>
  <c r="AW158" i="32" s="1"/>
  <c r="AC162" i="32"/>
  <c r="AV162" i="32"/>
  <c r="BC167" i="32"/>
  <c r="BC172" i="32" s="1"/>
  <c r="AB172" i="32"/>
  <c r="AR179" i="32"/>
  <c r="AT173" i="32"/>
  <c r="AB179" i="32"/>
  <c r="AS179" i="32"/>
  <c r="AR131" i="32"/>
  <c r="AT141" i="32"/>
  <c r="BA141" i="32" s="1"/>
  <c r="AT144" i="32"/>
  <c r="BA144" i="32" s="1"/>
  <c r="BB153" i="32"/>
  <c r="AT153" i="32"/>
  <c r="BA153" i="32" s="1"/>
  <c r="BB157" i="32"/>
  <c r="AT157" i="32"/>
  <c r="BA157" i="32" s="1"/>
  <c r="BB159" i="32"/>
  <c r="BB162" i="32"/>
  <c r="AC167" i="32"/>
  <c r="AT167" i="32"/>
  <c r="BA167" i="32" s="1"/>
  <c r="AZ169" i="32"/>
  <c r="AZ311" i="32" s="1"/>
  <c r="AS33" i="47" s="1"/>
  <c r="AD175" i="32"/>
  <c r="AX175" i="32" s="1"/>
  <c r="AE175" i="32"/>
  <c r="AY175" i="32" s="1"/>
  <c r="AE182" i="32"/>
  <c r="AY182" i="32" s="1"/>
  <c r="AV182" i="32"/>
  <c r="AD182" i="32"/>
  <c r="AX182" i="32" s="1"/>
  <c r="AC182" i="32"/>
  <c r="AT186" i="32"/>
  <c r="AR189" i="32"/>
  <c r="AD187" i="32"/>
  <c r="AX187" i="32" s="1"/>
  <c r="AV187" i="32"/>
  <c r="AC187" i="32"/>
  <c r="AT132" i="32"/>
  <c r="AH145" i="32"/>
  <c r="AZ139" i="32"/>
  <c r="AZ145" i="32" s="1"/>
  <c r="BC141" i="32"/>
  <c r="AC149" i="32"/>
  <c r="AW149" i="32"/>
  <c r="AW151" i="32" s="1"/>
  <c r="AH151" i="32"/>
  <c r="AT159" i="32"/>
  <c r="AH165" i="32"/>
  <c r="AD162" i="32"/>
  <c r="AX162" i="32" s="1"/>
  <c r="AT163" i="32"/>
  <c r="BA163" i="32" s="1"/>
  <c r="BB163" i="32"/>
  <c r="BB164" i="32"/>
  <c r="AT169" i="32"/>
  <c r="BA169" i="32" s="1"/>
  <c r="BB169" i="32"/>
  <c r="BB171" i="32"/>
  <c r="AV175" i="32"/>
  <c r="AT177" i="32"/>
  <c r="BA177" i="32" s="1"/>
  <c r="BC181" i="32"/>
  <c r="AS185" i="32"/>
  <c r="R189" i="32"/>
  <c r="AS189" i="32"/>
  <c r="BC125" i="32"/>
  <c r="AT130" i="32"/>
  <c r="BA130" i="32" s="1"/>
  <c r="AD132" i="32"/>
  <c r="AC137" i="32"/>
  <c r="AT137" i="32"/>
  <c r="BA137" i="32" s="1"/>
  <c r="AB138" i="32"/>
  <c r="AR145" i="32"/>
  <c r="AH147" i="32"/>
  <c r="AZ151" i="32"/>
  <c r="AT150" i="32"/>
  <c r="BA150" i="32" s="1"/>
  <c r="AV154" i="32"/>
  <c r="AE154" i="32"/>
  <c r="AY154" i="32" s="1"/>
  <c r="AW165" i="32"/>
  <c r="AZ161" i="32"/>
  <c r="AZ165" i="32" s="1"/>
  <c r="AE162" i="32"/>
  <c r="AY162" i="32" s="1"/>
  <c r="R172" i="32"/>
  <c r="AD168" i="32"/>
  <c r="AE170" i="32"/>
  <c r="AY170" i="32" s="1"/>
  <c r="AV170" i="32"/>
  <c r="AD170" i="32"/>
  <c r="AX170" i="32" s="1"/>
  <c r="AC171" i="32"/>
  <c r="AV171" i="32"/>
  <c r="AE171" i="32"/>
  <c r="AY171" i="32" s="1"/>
  <c r="AC175" i="32"/>
  <c r="BB176" i="32"/>
  <c r="BB179" i="32" s="1"/>
  <c r="AT176" i="32"/>
  <c r="BA176" i="32" s="1"/>
  <c r="AC177" i="32"/>
  <c r="AE177" i="32"/>
  <c r="AY177" i="32" s="1"/>
  <c r="AV177" i="32"/>
  <c r="AD177" i="32"/>
  <c r="AX177" i="32" s="1"/>
  <c r="AC183" i="32"/>
  <c r="AV183" i="32"/>
  <c r="AD183" i="32"/>
  <c r="AX183" i="32" s="1"/>
  <c r="AE183" i="32"/>
  <c r="AY183" i="32" s="1"/>
  <c r="AB185" i="32"/>
  <c r="AC186" i="32"/>
  <c r="AD186" i="32"/>
  <c r="AV186" i="32"/>
  <c r="AE186" i="32"/>
  <c r="AE187" i="32"/>
  <c r="AY187" i="32" s="1"/>
  <c r="AT129" i="32"/>
  <c r="BA129" i="32" s="1"/>
  <c r="AR151" i="32"/>
  <c r="AD150" i="32"/>
  <c r="AX150" i="32" s="1"/>
  <c r="AT154" i="32"/>
  <c r="BA154" i="32" s="1"/>
  <c r="AD157" i="32"/>
  <c r="AX157" i="32" s="1"/>
  <c r="AV157" i="32"/>
  <c r="BB166" i="32"/>
  <c r="AE168" i="32"/>
  <c r="AY168" i="32" s="1"/>
  <c r="AC169" i="32"/>
  <c r="AV169" i="32"/>
  <c r="AD169" i="32"/>
  <c r="AX169" i="32" s="1"/>
  <c r="AZ179" i="32"/>
  <c r="AC181" i="32"/>
  <c r="AV181" i="32"/>
  <c r="AE181" i="32"/>
  <c r="AY181" i="32" s="1"/>
  <c r="AD181" i="32"/>
  <c r="AX181" i="32" s="1"/>
  <c r="AR185" i="32"/>
  <c r="AE188" i="32"/>
  <c r="AY188" i="32" s="1"/>
  <c r="AC188" i="32"/>
  <c r="AH158" i="32"/>
  <c r="AC156" i="32"/>
  <c r="AI156" i="32" s="1"/>
  <c r="AU156" i="32" s="1"/>
  <c r="AC163" i="32"/>
  <c r="AW172" i="32"/>
  <c r="AC174" i="32"/>
  <c r="AD174" i="32"/>
  <c r="AX174" i="32" s="1"/>
  <c r="AC178" i="32"/>
  <c r="AZ180" i="32"/>
  <c r="AZ185" i="32" s="1"/>
  <c r="AH185" i="32"/>
  <c r="AT188" i="32"/>
  <c r="BA188" i="32" s="1"/>
  <c r="AE194" i="32"/>
  <c r="AY194" i="32" s="1"/>
  <c r="AC194" i="32"/>
  <c r="AD195" i="32"/>
  <c r="AX195" i="32" s="1"/>
  <c r="AZ206" i="32"/>
  <c r="AC192" i="32"/>
  <c r="AD192" i="32"/>
  <c r="AX192" i="32" s="1"/>
  <c r="AV192" i="32"/>
  <c r="BC190" i="32"/>
  <c r="BC196" i="32" s="1"/>
  <c r="AS196" i="32"/>
  <c r="AT190" i="32"/>
  <c r="AE191" i="32"/>
  <c r="AY191" i="32" s="1"/>
  <c r="AV191" i="32"/>
  <c r="AD191" i="32"/>
  <c r="AX191" i="32" s="1"/>
  <c r="R200" i="32"/>
  <c r="AC212" i="32"/>
  <c r="AV212" i="32"/>
  <c r="AE212" i="32"/>
  <c r="AY212" i="32" s="1"/>
  <c r="AD212" i="32"/>
  <c r="AX212" i="32" s="1"/>
  <c r="AW190" i="32"/>
  <c r="AW196" i="32" s="1"/>
  <c r="AB196" i="32"/>
  <c r="AC190" i="32"/>
  <c r="AE192" i="32"/>
  <c r="AY192" i="32" s="1"/>
  <c r="AT197" i="32"/>
  <c r="AE198" i="32"/>
  <c r="AY198" i="32" s="1"/>
  <c r="BB198" i="32"/>
  <c r="AE199" i="32"/>
  <c r="AY199" i="32" s="1"/>
  <c r="AV199" i="32"/>
  <c r="AR200" i="32"/>
  <c r="AE204" i="32"/>
  <c r="AY204" i="32" s="1"/>
  <c r="AV204" i="32"/>
  <c r="BB205" i="32"/>
  <c r="BB206" i="32" s="1"/>
  <c r="AC208" i="32"/>
  <c r="AH215" i="32"/>
  <c r="AW237" i="32"/>
  <c r="AB242" i="32"/>
  <c r="BB248" i="32"/>
  <c r="AT248" i="32"/>
  <c r="BA248" i="32" s="1"/>
  <c r="AS263" i="32"/>
  <c r="BC257" i="32"/>
  <c r="BC263" i="32" s="1"/>
  <c r="AT195" i="32"/>
  <c r="BA195" i="32" s="1"/>
  <c r="AV198" i="32"/>
  <c r="AV202" i="32"/>
  <c r="AC203" i="32"/>
  <c r="AE203" i="32"/>
  <c r="AY203" i="32" s="1"/>
  <c r="R206" i="32"/>
  <c r="AT214" i="32"/>
  <c r="BA214" i="32" s="1"/>
  <c r="AD216" i="32"/>
  <c r="AT218" i="32"/>
  <c r="BA218" i="32" s="1"/>
  <c r="BB218" i="32"/>
  <c r="AV219" i="32"/>
  <c r="AD219" i="32"/>
  <c r="AX219" i="32" s="1"/>
  <c r="AC219" i="32"/>
  <c r="AT221" i="32"/>
  <c r="BA221" i="32" s="1"/>
  <c r="BB221" i="32"/>
  <c r="AC223" i="32"/>
  <c r="AV223" i="32"/>
  <c r="AV224" i="32" s="1"/>
  <c r="AE223" i="32"/>
  <c r="BB226" i="32"/>
  <c r="AT226" i="32"/>
  <c r="BA226" i="32" s="1"/>
  <c r="AE229" i="32"/>
  <c r="AC229" i="32"/>
  <c r="AV233" i="32"/>
  <c r="AD233" i="32"/>
  <c r="AX233" i="32" s="1"/>
  <c r="AE233" i="32"/>
  <c r="AY233" i="32" s="1"/>
  <c r="AC233" i="32"/>
  <c r="AV241" i="32"/>
  <c r="AE241" i="32"/>
  <c r="AY241" i="32" s="1"/>
  <c r="AC241" i="32"/>
  <c r="BC253" i="32"/>
  <c r="AD252" i="32"/>
  <c r="AX252" i="32" s="1"/>
  <c r="AC252" i="32"/>
  <c r="AE252" i="32"/>
  <c r="AY252" i="32" s="1"/>
  <c r="AV252" i="32"/>
  <c r="AW197" i="32"/>
  <c r="AW200" i="32" s="1"/>
  <c r="AC201" i="32"/>
  <c r="BA201" i="32"/>
  <c r="AC205" i="32"/>
  <c r="AR215" i="32"/>
  <c r="BB207" i="32"/>
  <c r="AT208" i="32"/>
  <c r="BA208" i="32" s="1"/>
  <c r="BB211" i="32"/>
  <c r="BB213" i="32"/>
  <c r="AT213" i="32"/>
  <c r="BA213" i="32" s="1"/>
  <c r="AB215" i="32"/>
  <c r="AV217" i="32"/>
  <c r="AE217" i="32"/>
  <c r="AY217" i="32" s="1"/>
  <c r="AC217" i="32"/>
  <c r="AV220" i="32"/>
  <c r="AE220" i="32"/>
  <c r="AY220" i="32" s="1"/>
  <c r="AC220" i="32"/>
  <c r="R228" i="32"/>
  <c r="AD231" i="32"/>
  <c r="AX231" i="32" s="1"/>
  <c r="AV231" i="32"/>
  <c r="AE231" i="32"/>
  <c r="AY231" i="32" s="1"/>
  <c r="AC231" i="32"/>
  <c r="AT232" i="32"/>
  <c r="BA232" i="32" s="1"/>
  <c r="AS235" i="32"/>
  <c r="BC232" i="32"/>
  <c r="BC235" i="32" s="1"/>
  <c r="AD234" i="32"/>
  <c r="AX234" i="32" s="1"/>
  <c r="AV234" i="32"/>
  <c r="AE234" i="32"/>
  <c r="AY234" i="32" s="1"/>
  <c r="AC234" i="32"/>
  <c r="R235" i="32"/>
  <c r="AW242" i="32"/>
  <c r="BC238" i="32"/>
  <c r="BC242" i="32" s="1"/>
  <c r="AT238" i="32"/>
  <c r="BA238" i="32" s="1"/>
  <c r="AS242" i="32"/>
  <c r="R256" i="32"/>
  <c r="AV259" i="32"/>
  <c r="AE259" i="32"/>
  <c r="AY259" i="32" s="1"/>
  <c r="AC259" i="32"/>
  <c r="AD259" i="32"/>
  <c r="AX259" i="32" s="1"/>
  <c r="AD278" i="32"/>
  <c r="AV278" i="32"/>
  <c r="AC278" i="32"/>
  <c r="AE278" i="32"/>
  <c r="AT293" i="32"/>
  <c r="AR298" i="32"/>
  <c r="BB293" i="32"/>
  <c r="R215" i="32"/>
  <c r="AS215" i="32"/>
  <c r="BC208" i="32"/>
  <c r="BC215" i="32" s="1"/>
  <c r="AC209" i="32"/>
  <c r="AE209" i="32"/>
  <c r="AY209" i="32" s="1"/>
  <c r="AE214" i="32"/>
  <c r="AY214" i="32" s="1"/>
  <c r="AD214" i="32"/>
  <c r="AX214" i="32" s="1"/>
  <c r="AV214" i="32"/>
  <c r="AD218" i="32"/>
  <c r="AX218" i="32" s="1"/>
  <c r="AC218" i="32"/>
  <c r="AV218" i="32"/>
  <c r="AD221" i="32"/>
  <c r="AX221" i="32" s="1"/>
  <c r="AC221" i="32"/>
  <c r="AV221" i="32"/>
  <c r="AV226" i="32"/>
  <c r="AE226" i="32"/>
  <c r="AY226" i="32" s="1"/>
  <c r="AC226" i="32"/>
  <c r="AT243" i="32"/>
  <c r="AR246" i="32"/>
  <c r="BB243" i="32"/>
  <c r="BB246" i="32" s="1"/>
  <c r="AB263" i="32"/>
  <c r="AW257" i="32"/>
  <c r="AW263" i="32" s="1"/>
  <c r="AV262" i="32"/>
  <c r="AD262" i="32"/>
  <c r="AX262" i="32" s="1"/>
  <c r="AC262" i="32"/>
  <c r="AE262" i="32"/>
  <c r="AY262" i="32" s="1"/>
  <c r="R270" i="32"/>
  <c r="AE178" i="32"/>
  <c r="AY178" i="32" s="1"/>
  <c r="R196" i="32"/>
  <c r="AD201" i="32"/>
  <c r="AT204" i="32"/>
  <c r="BA204" i="32" s="1"/>
  <c r="AT207" i="32"/>
  <c r="AE208" i="32"/>
  <c r="AY208" i="32" s="1"/>
  <c r="AD208" i="32"/>
  <c r="AX208" i="32" s="1"/>
  <c r="AV208" i="32"/>
  <c r="AV210" i="32"/>
  <c r="AC210" i="32"/>
  <c r="AV213" i="32"/>
  <c r="AD213" i="32"/>
  <c r="AX213" i="32" s="1"/>
  <c r="AC213" i="32"/>
  <c r="AD217" i="32"/>
  <c r="AX217" i="32" s="1"/>
  <c r="AD220" i="32"/>
  <c r="AX220" i="32" s="1"/>
  <c r="AE232" i="32"/>
  <c r="AY232" i="32" s="1"/>
  <c r="AC232" i="32"/>
  <c r="AD232" i="32"/>
  <c r="AX232" i="32" s="1"/>
  <c r="AV232" i="32"/>
  <c r="AD276" i="32"/>
  <c r="AX276" i="32" s="1"/>
  <c r="AE276" i="32"/>
  <c r="AY276" i="32" s="1"/>
  <c r="AV276" i="32"/>
  <c r="AC276" i="32"/>
  <c r="AS200" i="32"/>
  <c r="AD198" i="32"/>
  <c r="AX198" i="32" s="1"/>
  <c r="AS206" i="32"/>
  <c r="BC202" i="32"/>
  <c r="BC206" i="32" s="1"/>
  <c r="AD204" i="32"/>
  <c r="AX204" i="32" s="1"/>
  <c r="AB206" i="32"/>
  <c r="AD209" i="32"/>
  <c r="AX209" i="32" s="1"/>
  <c r="AV209" i="32"/>
  <c r="AT210" i="32"/>
  <c r="BA210" i="32" s="1"/>
  <c r="AE211" i="32"/>
  <c r="AY211" i="32" s="1"/>
  <c r="AD211" i="32"/>
  <c r="AX211" i="32" s="1"/>
  <c r="AV211" i="32"/>
  <c r="AC214" i="32"/>
  <c r="AE218" i="32"/>
  <c r="AY218" i="32" s="1"/>
  <c r="AE221" i="32"/>
  <c r="AY221" i="32" s="1"/>
  <c r="AR224" i="32"/>
  <c r="BB223" i="32"/>
  <c r="BB224" i="32" s="1"/>
  <c r="AT223" i="32"/>
  <c r="AD226" i="32"/>
  <c r="AX226" i="32" s="1"/>
  <c r="AE227" i="32"/>
  <c r="AY227" i="32" s="1"/>
  <c r="AC227" i="32"/>
  <c r="AV227" i="32"/>
  <c r="BB236" i="32"/>
  <c r="AR242" i="32"/>
  <c r="AT236" i="32"/>
  <c r="BB239" i="32"/>
  <c r="AT239" i="32"/>
  <c r="BA239" i="32" s="1"/>
  <c r="AD243" i="32"/>
  <c r="AC243" i="32"/>
  <c r="AV243" i="32"/>
  <c r="AD249" i="32"/>
  <c r="AX249" i="32" s="1"/>
  <c r="AC249" i="32"/>
  <c r="AV249" i="32"/>
  <c r="AE249" i="32"/>
  <c r="AY249" i="32" s="1"/>
  <c r="AT290" i="32"/>
  <c r="BA290" i="32" s="1"/>
  <c r="BB290" i="32"/>
  <c r="AZ216" i="32"/>
  <c r="AZ222" i="32" s="1"/>
  <c r="AW231" i="32"/>
  <c r="AW235" i="32" s="1"/>
  <c r="AC237" i="32"/>
  <c r="AI237" i="32" s="1"/>
  <c r="AU237" i="32" s="1"/>
  <c r="AD240" i="32"/>
  <c r="AX240" i="32" s="1"/>
  <c r="AC240" i="32"/>
  <c r="AV240" i="32"/>
  <c r="R253" i="32"/>
  <c r="AT247" i="32"/>
  <c r="AS253" i="32"/>
  <c r="AC250" i="32"/>
  <c r="AV250" i="32"/>
  <c r="AT252" i="32"/>
  <c r="BA252" i="32" s="1"/>
  <c r="BB252" i="32"/>
  <c r="AD260" i="32"/>
  <c r="AX260" i="32" s="1"/>
  <c r="AV260" i="32"/>
  <c r="AC260" i="32"/>
  <c r="AD267" i="32"/>
  <c r="AX267" i="32" s="1"/>
  <c r="AC267" i="32"/>
  <c r="AV267" i="32"/>
  <c r="BC271" i="32"/>
  <c r="BC277" i="32" s="1"/>
  <c r="AS277" i="32"/>
  <c r="AT271" i="32"/>
  <c r="AD272" i="32"/>
  <c r="AX272" i="32" s="1"/>
  <c r="AV272" i="32"/>
  <c r="AE272" i="32"/>
  <c r="AY272" i="32" s="1"/>
  <c r="AC272" i="32"/>
  <c r="AW296" i="32"/>
  <c r="AC296" i="32"/>
  <c r="AI296" i="32" s="1"/>
  <c r="AU296" i="32" s="1"/>
  <c r="BC297" i="32"/>
  <c r="AT297" i="32"/>
  <c r="BA297" i="32" s="1"/>
  <c r="AH224" i="32"/>
  <c r="AZ223" i="32"/>
  <c r="AZ224" i="32" s="1"/>
  <c r="AC225" i="32"/>
  <c r="AV225" i="32"/>
  <c r="AZ228" i="32"/>
  <c r="BB233" i="32"/>
  <c r="AT233" i="32"/>
  <c r="BA233" i="32" s="1"/>
  <c r="AT234" i="32"/>
  <c r="BA234" i="32" s="1"/>
  <c r="BB234" i="32"/>
  <c r="AV239" i="32"/>
  <c r="AE239" i="32"/>
  <c r="AY239" i="32" s="1"/>
  <c r="AC239" i="32"/>
  <c r="AC244" i="32"/>
  <c r="AE244" i="32"/>
  <c r="AY244" i="32" s="1"/>
  <c r="AV248" i="32"/>
  <c r="AC248" i="32"/>
  <c r="AD248" i="32"/>
  <c r="AX248" i="32" s="1"/>
  <c r="BB257" i="32"/>
  <c r="AT257" i="32"/>
  <c r="BC265" i="32"/>
  <c r="AT265" i="32"/>
  <c r="BA265" i="32" s="1"/>
  <c r="AT269" i="32"/>
  <c r="BA269" i="32" s="1"/>
  <c r="BB269" i="32"/>
  <c r="AB277" i="32"/>
  <c r="AW272" i="32"/>
  <c r="AW277" i="32" s="1"/>
  <c r="AZ273" i="32"/>
  <c r="AZ277" i="32" s="1"/>
  <c r="AH277" i="32"/>
  <c r="AV295" i="32"/>
  <c r="AC295" i="32"/>
  <c r="AE295" i="32"/>
  <c r="AY295" i="32" s="1"/>
  <c r="AD295" i="32"/>
  <c r="AX295" i="32" s="1"/>
  <c r="AH284" i="32"/>
  <c r="AZ279" i="32"/>
  <c r="AZ284" i="32" s="1"/>
  <c r="AD290" i="32"/>
  <c r="AX290" i="32" s="1"/>
  <c r="AV290" i="32"/>
  <c r="AC290" i="32"/>
  <c r="AE290" i="32"/>
  <c r="AY290" i="32" s="1"/>
  <c r="AE297" i="32"/>
  <c r="AY297" i="32" s="1"/>
  <c r="AC297" i="32"/>
  <c r="AD297" i="32"/>
  <c r="AX297" i="32" s="1"/>
  <c r="AV297" i="32"/>
  <c r="R222" i="32"/>
  <c r="AD225" i="32"/>
  <c r="AT225" i="32"/>
  <c r="BB225" i="32"/>
  <c r="AZ235" i="32"/>
  <c r="AV230" i="32"/>
  <c r="AD230" i="32"/>
  <c r="BB230" i="32"/>
  <c r="AT230" i="32"/>
  <c r="BB231" i="32"/>
  <c r="AC236" i="32"/>
  <c r="AD239" i="32"/>
  <c r="AX239" i="32" s="1"/>
  <c r="AD244" i="32"/>
  <c r="AX244" i="32" s="1"/>
  <c r="AV244" i="32"/>
  <c r="AV245" i="32"/>
  <c r="AE245" i="32"/>
  <c r="AY245" i="32" s="1"/>
  <c r="AH253" i="32"/>
  <c r="AZ247" i="32"/>
  <c r="AZ253" i="32" s="1"/>
  <c r="AE248" i="32"/>
  <c r="AY248" i="32" s="1"/>
  <c r="AT272" i="32"/>
  <c r="BA272" i="32" s="1"/>
  <c r="BB272" i="32"/>
  <c r="AT278" i="32"/>
  <c r="BB278" i="32"/>
  <c r="AT281" i="32"/>
  <c r="BA281" i="32" s="1"/>
  <c r="BB281" i="32"/>
  <c r="BC291" i="32"/>
  <c r="AV286" i="32"/>
  <c r="AE286" i="32"/>
  <c r="AY286" i="32" s="1"/>
  <c r="AC286" i="32"/>
  <c r="AT287" i="32"/>
  <c r="BA287" i="32" s="1"/>
  <c r="BB287" i="32"/>
  <c r="R291" i="32"/>
  <c r="BB289" i="32"/>
  <c r="AT289" i="32"/>
  <c r="BA289" i="32" s="1"/>
  <c r="AE294" i="32"/>
  <c r="AY294" i="32" s="1"/>
  <c r="AD294" i="32"/>
  <c r="AX294" i="32" s="1"/>
  <c r="AV294" i="32"/>
  <c r="AC294" i="32"/>
  <c r="AT296" i="32"/>
  <c r="BA296" i="32" s="1"/>
  <c r="BB296" i="32"/>
  <c r="AE225" i="32"/>
  <c r="AT227" i="32"/>
  <c r="BA227" i="32" s="1"/>
  <c r="AH235" i="32"/>
  <c r="AV238" i="32"/>
  <c r="AE238" i="32"/>
  <c r="AY238" i="32" s="1"/>
  <c r="AT240" i="32"/>
  <c r="BA240" i="32" s="1"/>
  <c r="R246" i="32"/>
  <c r="AT249" i="32"/>
  <c r="BA249" i="32" s="1"/>
  <c r="BB249" i="32"/>
  <c r="AT255" i="32"/>
  <c r="BA255" i="32" s="1"/>
  <c r="BB255" i="32"/>
  <c r="AT260" i="32"/>
  <c r="BA260" i="32" s="1"/>
  <c r="BB260" i="32"/>
  <c r="BC268" i="32"/>
  <c r="AT268" i="32"/>
  <c r="BA268" i="32" s="1"/>
  <c r="AD269" i="32"/>
  <c r="AX269" i="32" s="1"/>
  <c r="AV269" i="32"/>
  <c r="AE269" i="32"/>
  <c r="AY269" i="32" s="1"/>
  <c r="AC269" i="32"/>
  <c r="AS284" i="32"/>
  <c r="AV280" i="32"/>
  <c r="AD280" i="32"/>
  <c r="AX280" i="32" s="1"/>
  <c r="AC280" i="32"/>
  <c r="AD282" i="32"/>
  <c r="AX282" i="32" s="1"/>
  <c r="AV282" i="32"/>
  <c r="AC282" i="32"/>
  <c r="AD285" i="32"/>
  <c r="AC285" i="32"/>
  <c r="AE285" i="32"/>
  <c r="AV285" i="32"/>
  <c r="AD287" i="32"/>
  <c r="AX287" i="32" s="1"/>
  <c r="AV287" i="32"/>
  <c r="AS291" i="32"/>
  <c r="AH228" i="32"/>
  <c r="BC228" i="32"/>
  <c r="AR235" i="32"/>
  <c r="AV251" i="32"/>
  <c r="AC251" i="32"/>
  <c r="AR270" i="32"/>
  <c r="R277" i="32"/>
  <c r="AT275" i="32"/>
  <c r="BA275" i="32" s="1"/>
  <c r="BB275" i="32"/>
  <c r="AB284" i="32"/>
  <c r="AW291" i="32"/>
  <c r="AW292" i="32"/>
  <c r="AW298" i="32" s="1"/>
  <c r="AB298" i="32"/>
  <c r="AD293" i="32"/>
  <c r="AX293" i="32" s="1"/>
  <c r="AE293" i="32"/>
  <c r="AV293" i="32"/>
  <c r="AB300" i="32"/>
  <c r="I302" i="32"/>
  <c r="AT258" i="32"/>
  <c r="BA258" i="32" s="1"/>
  <c r="AB270" i="32"/>
  <c r="AV271" i="32"/>
  <c r="AE271" i="32"/>
  <c r="AR277" i="32"/>
  <c r="AD275" i="32"/>
  <c r="AX275" i="32" s="1"/>
  <c r="AV275" i="32"/>
  <c r="AC275" i="32"/>
  <c r="AH291" i="32"/>
  <c r="AZ285" i="32"/>
  <c r="AZ291" i="32" s="1"/>
  <c r="AV289" i="32"/>
  <c r="AC289" i="32"/>
  <c r="AD289" i="32"/>
  <c r="AX289" i="32" s="1"/>
  <c r="AH246" i="32"/>
  <c r="AZ243" i="32"/>
  <c r="AZ246" i="32" s="1"/>
  <c r="AR253" i="32"/>
  <c r="AV254" i="32"/>
  <c r="AD254" i="32"/>
  <c r="AR256" i="32"/>
  <c r="BB254" i="32"/>
  <c r="AT254" i="32"/>
  <c r="AC258" i="32"/>
  <c r="AC261" i="32"/>
  <c r="AC271" i="32"/>
  <c r="AV274" i="32"/>
  <c r="AC274" i="32"/>
  <c r="AE275" i="32"/>
  <c r="AY275" i="32" s="1"/>
  <c r="AC279" i="32"/>
  <c r="AD281" i="32"/>
  <c r="AX281" i="32" s="1"/>
  <c r="AV281" i="32"/>
  <c r="AE281" i="32"/>
  <c r="AY281" i="32" s="1"/>
  <c r="AC283" i="32"/>
  <c r="AT285" i="32"/>
  <c r="AE289" i="32"/>
  <c r="AY289" i="32" s="1"/>
  <c r="AH263" i="32"/>
  <c r="AZ258" i="32"/>
  <c r="AZ263" i="32" s="1"/>
  <c r="AH270" i="32"/>
  <c r="AZ264" i="32"/>
  <c r="AZ270" i="32" s="1"/>
  <c r="AD266" i="32"/>
  <c r="AX266" i="32" s="1"/>
  <c r="AV266" i="32"/>
  <c r="AT266" i="32"/>
  <c r="BA266" i="32" s="1"/>
  <c r="BB266" i="32"/>
  <c r="AT273" i="32"/>
  <c r="BA273" i="32" s="1"/>
  <c r="R284" i="32"/>
  <c r="AT288" i="32"/>
  <c r="BA288" i="32" s="1"/>
  <c r="R298" i="32"/>
  <c r="AZ293" i="32"/>
  <c r="AZ298" i="32" s="1"/>
  <c r="AH298" i="32"/>
  <c r="AR300" i="32"/>
  <c r="AT299" i="32"/>
  <c r="BB299" i="32"/>
  <c r="BB300" i="32" s="1"/>
  <c r="AF304" i="32"/>
  <c r="AT264" i="32"/>
  <c r="AV292" i="32"/>
  <c r="AC292" i="32"/>
  <c r="N304" i="32"/>
  <c r="AJ304" i="32"/>
  <c r="AP304" i="32"/>
  <c r="AR291" i="32"/>
  <c r="AH300" i="32"/>
  <c r="O302" i="32"/>
  <c r="Z304" i="32"/>
  <c r="AB303" i="32" s="1"/>
  <c r="BB87" i="31"/>
  <c r="BB25" i="31"/>
  <c r="AX20" i="31"/>
  <c r="AH78" i="31"/>
  <c r="AH15" i="31"/>
  <c r="AZ12" i="31"/>
  <c r="AE18" i="31"/>
  <c r="AY18" i="31" s="1"/>
  <c r="AD18" i="31"/>
  <c r="AX18" i="31" s="1"/>
  <c r="AC18" i="31"/>
  <c r="AB87" i="31"/>
  <c r="AW24" i="31"/>
  <c r="AB79" i="31"/>
  <c r="AW26" i="31"/>
  <c r="AB32" i="31"/>
  <c r="R85" i="31"/>
  <c r="X30" i="31"/>
  <c r="AB86" i="31"/>
  <c r="AW39" i="31"/>
  <c r="AB40" i="31"/>
  <c r="AR78" i="31"/>
  <c r="AT12" i="31"/>
  <c r="AR84" i="31"/>
  <c r="BB14" i="31"/>
  <c r="BB15" i="31" s="1"/>
  <c r="BB18" i="31"/>
  <c r="BB19" i="31" s="1"/>
  <c r="AT19" i="31"/>
  <c r="AB23" i="31"/>
  <c r="AR23" i="31"/>
  <c r="AH87" i="31"/>
  <c r="AZ24" i="31"/>
  <c r="AX26" i="31"/>
  <c r="AE31" i="31"/>
  <c r="AY31" i="31" s="1"/>
  <c r="AV31" i="31"/>
  <c r="AD31" i="31"/>
  <c r="AX31" i="31" s="1"/>
  <c r="AY41" i="31"/>
  <c r="AY43" i="31" s="1"/>
  <c r="AE43" i="31"/>
  <c r="AC42" i="31"/>
  <c r="AE42" i="31"/>
  <c r="AY42" i="31" s="1"/>
  <c r="AV42" i="31"/>
  <c r="AD42" i="31"/>
  <c r="AX42" i="31" s="1"/>
  <c r="R43" i="31"/>
  <c r="X43" i="31"/>
  <c r="BC48" i="31"/>
  <c r="AS78" i="31"/>
  <c r="AS15" i="31"/>
  <c r="BC12" i="31"/>
  <c r="AC13" i="31"/>
  <c r="AE13" i="31"/>
  <c r="AY13" i="31" s="1"/>
  <c r="AC16" i="31"/>
  <c r="AE16" i="31"/>
  <c r="R19" i="31"/>
  <c r="R74" i="31" s="1"/>
  <c r="X19" i="31"/>
  <c r="AR87" i="31"/>
  <c r="AR25" i="31"/>
  <c r="AT24" i="31"/>
  <c r="AV28" i="31"/>
  <c r="AD28" i="31"/>
  <c r="AX28" i="31" s="1"/>
  <c r="BC28" i="31"/>
  <c r="AT28" i="31"/>
  <c r="BA28" i="31" s="1"/>
  <c r="AH85" i="31"/>
  <c r="AZ30" i="31"/>
  <c r="AZ85" i="31" s="1"/>
  <c r="AH32" i="31"/>
  <c r="AE34" i="31"/>
  <c r="AY34" i="31" s="1"/>
  <c r="AV34" i="31"/>
  <c r="AD34" i="31"/>
  <c r="AX34" i="31" s="1"/>
  <c r="AZ53" i="31"/>
  <c r="AZ57" i="31" s="1"/>
  <c r="AH57" i="31"/>
  <c r="R78" i="31"/>
  <c r="X12" i="31"/>
  <c r="BA14" i="31"/>
  <c r="T74" i="31"/>
  <c r="AV16" i="31"/>
  <c r="AE21" i="31"/>
  <c r="AY21" i="31" s="1"/>
  <c r="AD21" i="31"/>
  <c r="AX21" i="31" s="1"/>
  <c r="AC21" i="31"/>
  <c r="AI21" i="31" s="1"/>
  <c r="AU21" i="31" s="1"/>
  <c r="BA26" i="31"/>
  <c r="AZ33" i="31"/>
  <c r="AZ38" i="31" s="1"/>
  <c r="AH38" i="31"/>
  <c r="AX65" i="31"/>
  <c r="AX67" i="31" s="1"/>
  <c r="AD67" i="31"/>
  <c r="AB78" i="31"/>
  <c r="AB77" i="31" s="1"/>
  <c r="AB15" i="31"/>
  <c r="AW12" i="31"/>
  <c r="AD13" i="31"/>
  <c r="AX13" i="31" s="1"/>
  <c r="AV13" i="31"/>
  <c r="AB84" i="31"/>
  <c r="AW14" i="31"/>
  <c r="AW84" i="31" s="1"/>
  <c r="AL74" i="31"/>
  <c r="AR75" i="31" s="1"/>
  <c r="AR15" i="31"/>
  <c r="AD16" i="31"/>
  <c r="AW19" i="31"/>
  <c r="AH19" i="31"/>
  <c r="BB21" i="31"/>
  <c r="BB23" i="31" s="1"/>
  <c r="AH23" i="31"/>
  <c r="AR79" i="31"/>
  <c r="BB26" i="31"/>
  <c r="BC32" i="31"/>
  <c r="AC28" i="31"/>
  <c r="AI28" i="31" s="1"/>
  <c r="AU28" i="31" s="1"/>
  <c r="AS85" i="31"/>
  <c r="BC30" i="31"/>
  <c r="BC85" i="31" s="1"/>
  <c r="AC34" i="31"/>
  <c r="AI34" i="31" s="1"/>
  <c r="AU34" i="31" s="1"/>
  <c r="AB38" i="31"/>
  <c r="AC47" i="31"/>
  <c r="AD47" i="31"/>
  <c r="AX47" i="31" s="1"/>
  <c r="AE47" i="31"/>
  <c r="AY47" i="31" s="1"/>
  <c r="AV47" i="31"/>
  <c r="AS76" i="31"/>
  <c r="AV17" i="31"/>
  <c r="AE17" i="31"/>
  <c r="AY17" i="31" s="1"/>
  <c r="AC17" i="31"/>
  <c r="AI17" i="31" s="1"/>
  <c r="AU17" i="31" s="1"/>
  <c r="AZ84" i="31"/>
  <c r="AV18" i="31"/>
  <c r="X23" i="31"/>
  <c r="AV20" i="31"/>
  <c r="AV23" i="31" s="1"/>
  <c r="AE20" i="31"/>
  <c r="AC20" i="31"/>
  <c r="AT20" i="31"/>
  <c r="AC22" i="31"/>
  <c r="AE22" i="31"/>
  <c r="AY22" i="31" s="1"/>
  <c r="R87" i="31"/>
  <c r="X24" i="31"/>
  <c r="AB25" i="31"/>
  <c r="AC26" i="31"/>
  <c r="AD27" i="31"/>
  <c r="AX27" i="31" s="1"/>
  <c r="AC27" i="31"/>
  <c r="AI27" i="31" s="1"/>
  <c r="AU27" i="31" s="1"/>
  <c r="AV27" i="31"/>
  <c r="AE28" i="31"/>
  <c r="AY28" i="31" s="1"/>
  <c r="AE37" i="31"/>
  <c r="AY37" i="31" s="1"/>
  <c r="AV37" i="31"/>
  <c r="AD37" i="31"/>
  <c r="AX37" i="31" s="1"/>
  <c r="AC37" i="31"/>
  <c r="AD50" i="31"/>
  <c r="AX50" i="31" s="1"/>
  <c r="AC50" i="31"/>
  <c r="AV50" i="31"/>
  <c r="AE50" i="31"/>
  <c r="AY50" i="31" s="1"/>
  <c r="X64" i="31"/>
  <c r="AC58" i="31"/>
  <c r="AV58" i="31"/>
  <c r="AE58" i="31"/>
  <c r="AD58" i="31"/>
  <c r="AS84" i="31"/>
  <c r="S74" i="31"/>
  <c r="Y74" i="31"/>
  <c r="AK74" i="31"/>
  <c r="AQ74" i="31"/>
  <c r="BC24" i="31"/>
  <c r="AS79" i="31"/>
  <c r="AS32" i="31"/>
  <c r="AT29" i="31"/>
  <c r="BA29" i="31" s="1"/>
  <c r="AR85" i="31"/>
  <c r="AT30" i="31"/>
  <c r="AT33" i="31"/>
  <c r="AC36" i="31"/>
  <c r="AI36" i="31" s="1"/>
  <c r="AU36" i="31" s="1"/>
  <c r="AV36" i="31"/>
  <c r="AW41" i="31"/>
  <c r="AW43" i="31" s="1"/>
  <c r="X81" i="31"/>
  <c r="AC44" i="31"/>
  <c r="X48" i="31"/>
  <c r="AD44" i="31"/>
  <c r="AE51" i="31"/>
  <c r="AY51" i="31" s="1"/>
  <c r="AR57" i="31"/>
  <c r="AT53" i="31"/>
  <c r="AC55" i="31"/>
  <c r="AI55" i="31" s="1"/>
  <c r="AU55" i="31" s="1"/>
  <c r="AV55" i="31"/>
  <c r="AE55" i="31"/>
  <c r="AY55" i="31" s="1"/>
  <c r="AS57" i="31"/>
  <c r="AC61" i="31"/>
  <c r="AE61" i="31"/>
  <c r="AY61" i="31" s="1"/>
  <c r="AV61" i="31"/>
  <c r="AD61" i="31"/>
  <c r="AX61" i="31" s="1"/>
  <c r="AB64" i="31"/>
  <c r="AY65" i="31"/>
  <c r="AY67" i="31" s="1"/>
  <c r="AE67" i="31"/>
  <c r="AY68" i="31"/>
  <c r="X33" i="31"/>
  <c r="R38" i="31"/>
  <c r="AS38" i="31"/>
  <c r="BC33" i="31"/>
  <c r="BC38" i="31" s="1"/>
  <c r="AC35" i="31"/>
  <c r="AI35" i="31" s="1"/>
  <c r="AU35" i="31" s="1"/>
  <c r="AV35" i="31"/>
  <c r="AB81" i="31"/>
  <c r="AW44" i="31"/>
  <c r="AB48" i="31"/>
  <c r="AE54" i="31"/>
  <c r="AY54" i="31" s="1"/>
  <c r="AV54" i="31"/>
  <c r="AC54" i="31"/>
  <c r="AV60" i="31"/>
  <c r="AE60" i="31"/>
  <c r="AY60" i="31" s="1"/>
  <c r="BC60" i="31"/>
  <c r="BC81" i="31" s="1"/>
  <c r="AT60" i="31"/>
  <c r="BA60" i="31" s="1"/>
  <c r="AE63" i="31"/>
  <c r="AY63" i="31" s="1"/>
  <c r="AD63" i="31"/>
  <c r="AX63" i="31" s="1"/>
  <c r="AV63" i="31"/>
  <c r="U74" i="31"/>
  <c r="AA74" i="31"/>
  <c r="AB85" i="31"/>
  <c r="AW30" i="31"/>
  <c r="AW85" i="31" s="1"/>
  <c r="AT37" i="31"/>
  <c r="BA37" i="31" s="1"/>
  <c r="AR38" i="31"/>
  <c r="AH86" i="31"/>
  <c r="AZ39" i="31"/>
  <c r="AH40" i="31"/>
  <c r="AC41" i="31"/>
  <c r="AV41" i="31"/>
  <c r="AV43" i="31" s="1"/>
  <c r="AE81" i="31"/>
  <c r="AY44" i="31"/>
  <c r="AC45" i="31"/>
  <c r="AI45" i="31" s="1"/>
  <c r="AU45" i="31" s="1"/>
  <c r="BB46" i="31"/>
  <c r="AR48" i="31"/>
  <c r="BB52" i="31"/>
  <c r="AH52" i="31"/>
  <c r="R57" i="31"/>
  <c r="X57" i="31"/>
  <c r="AH64" i="31"/>
  <c r="AR67" i="31"/>
  <c r="BB65" i="31"/>
  <c r="BB67" i="31" s="1"/>
  <c r="AT65" i="31"/>
  <c r="AZ73" i="31"/>
  <c r="R84" i="31"/>
  <c r="AH84" i="31"/>
  <c r="V74" i="31"/>
  <c r="AN74" i="31"/>
  <c r="R23" i="31"/>
  <c r="AD35" i="31"/>
  <c r="AX35" i="31" s="1"/>
  <c r="AT35" i="31"/>
  <c r="BA35" i="31" s="1"/>
  <c r="AR86" i="31"/>
  <c r="AR40" i="31"/>
  <c r="AT39" i="31"/>
  <c r="AS43" i="31"/>
  <c r="AH81" i="31"/>
  <c r="AH48" i="31"/>
  <c r="AZ44" i="31"/>
  <c r="AC46" i="31"/>
  <c r="BB47" i="31"/>
  <c r="R52" i="31"/>
  <c r="X49" i="31"/>
  <c r="AS52" i="31"/>
  <c r="BC49" i="31"/>
  <c r="AI51" i="31"/>
  <c r="AU51" i="31" s="1"/>
  <c r="BC51" i="31"/>
  <c r="BC84" i="31" s="1"/>
  <c r="AT51" i="31"/>
  <c r="BA51" i="31" s="1"/>
  <c r="AD53" i="31"/>
  <c r="AC53" i="31"/>
  <c r="AE53" i="31"/>
  <c r="AV53" i="31"/>
  <c r="AV57" i="31" s="1"/>
  <c r="AD54" i="31"/>
  <c r="AX54" i="31" s="1"/>
  <c r="AR64" i="31"/>
  <c r="BB58" i="31"/>
  <c r="AT58" i="31"/>
  <c r="AD59" i="31"/>
  <c r="AX59" i="31" s="1"/>
  <c r="AC59" i="31"/>
  <c r="AV59" i="31"/>
  <c r="AV81" i="31" s="1"/>
  <c r="AC60" i="31"/>
  <c r="AC63" i="31"/>
  <c r="AI63" i="31" s="1"/>
  <c r="AU63" i="31" s="1"/>
  <c r="X14" i="31"/>
  <c r="W74" i="31"/>
  <c r="AO74" i="31"/>
  <c r="AS25" i="31"/>
  <c r="AV26" i="31"/>
  <c r="AT27" i="31"/>
  <c r="BA27" i="31" s="1"/>
  <c r="AC29" i="31"/>
  <c r="AI29" i="31" s="1"/>
  <c r="AU29" i="31" s="1"/>
  <c r="AV29" i="31"/>
  <c r="AE35" i="31"/>
  <c r="AY35" i="31" s="1"/>
  <c r="BB36" i="31"/>
  <c r="BB38" i="31" s="1"/>
  <c r="R86" i="31"/>
  <c r="X39" i="31"/>
  <c r="AS86" i="31"/>
  <c r="BC39" i="31"/>
  <c r="BB39" i="31"/>
  <c r="AD41" i="31"/>
  <c r="AT41" i="31"/>
  <c r="BB41" i="31"/>
  <c r="BB43" i="31" s="1"/>
  <c r="AT42" i="31"/>
  <c r="BA42" i="31" s="1"/>
  <c r="BB42" i="31"/>
  <c r="AR81" i="31"/>
  <c r="AT44" i="31"/>
  <c r="BB44" i="31"/>
  <c r="AD46" i="31"/>
  <c r="AX46" i="31" s="1"/>
  <c r="AV46" i="31"/>
  <c r="AV48" i="31" s="1"/>
  <c r="AT49" i="31"/>
  <c r="AW53" i="31"/>
  <c r="AW57" i="31" s="1"/>
  <c r="AB57" i="31"/>
  <c r="BB55" i="31"/>
  <c r="BB57" i="31" s="1"/>
  <c r="AT55" i="31"/>
  <c r="BA55" i="31" s="1"/>
  <c r="AD56" i="31"/>
  <c r="AX56" i="31" s="1"/>
  <c r="AC56" i="31"/>
  <c r="AI56" i="31" s="1"/>
  <c r="AU56" i="31" s="1"/>
  <c r="AV56" i="31"/>
  <c r="R64" i="31"/>
  <c r="AD60" i="31"/>
  <c r="AX60" i="31" s="1"/>
  <c r="BA68" i="31"/>
  <c r="AH73" i="31"/>
  <c r="R79" i="31"/>
  <c r="AH79" i="31"/>
  <c r="R32" i="31"/>
  <c r="BC41" i="31"/>
  <c r="BC43" i="31" s="1"/>
  <c r="BC57" i="31"/>
  <c r="BB56" i="31"/>
  <c r="BB59" i="31"/>
  <c r="AW68" i="31"/>
  <c r="AW73" i="31" s="1"/>
  <c r="AB73" i="31"/>
  <c r="AA77" i="31"/>
  <c r="R81" i="31"/>
  <c r="AT63" i="31"/>
  <c r="BA63" i="31" s="1"/>
  <c r="AW67" i="31"/>
  <c r="N77" i="31"/>
  <c r="U77" i="31"/>
  <c r="AS81" i="31"/>
  <c r="AC65" i="31"/>
  <c r="AS67" i="31"/>
  <c r="AB67" i="31"/>
  <c r="AT69" i="31"/>
  <c r="BA69" i="31" s="1"/>
  <c r="AT72" i="31"/>
  <c r="BA72" i="31" s="1"/>
  <c r="K77" i="31"/>
  <c r="I76" i="31" s="1"/>
  <c r="Q77" i="31"/>
  <c r="O76" i="31" s="1"/>
  <c r="AO77" i="31"/>
  <c r="AM77" i="31"/>
  <c r="AR76" i="31" s="1"/>
  <c r="AC62" i="31"/>
  <c r="AI62" i="31" s="1"/>
  <c r="AU62" i="31" s="1"/>
  <c r="AR73" i="31"/>
  <c r="BB68" i="31"/>
  <c r="BB73" i="31" s="1"/>
  <c r="AC70" i="31"/>
  <c r="AE70" i="31"/>
  <c r="AY70" i="31" s="1"/>
  <c r="Z77" i="31"/>
  <c r="AB76" i="31" s="1"/>
  <c r="R67" i="31"/>
  <c r="X67" i="31"/>
  <c r="AV68" i="31"/>
  <c r="AC68" i="31"/>
  <c r="R73" i="31"/>
  <c r="X69" i="31"/>
  <c r="AV71" i="31"/>
  <c r="AC71" i="31"/>
  <c r="AE72" i="31"/>
  <c r="AY72" i="31" s="1"/>
  <c r="AD72" i="31"/>
  <c r="AX72" i="31" s="1"/>
  <c r="AV72" i="31"/>
  <c r="AG77" i="31"/>
  <c r="AS64" i="31"/>
  <c r="AV62" i="31"/>
  <c r="AC66" i="31"/>
  <c r="AI66" i="31" s="1"/>
  <c r="AU66" i="31" s="1"/>
  <c r="AV66" i="31"/>
  <c r="AV67" i="31" s="1"/>
  <c r="AD68" i="31"/>
  <c r="AD71" i="31"/>
  <c r="AX71" i="31" s="1"/>
  <c r="AC72" i="31"/>
  <c r="I77" i="31"/>
  <c r="O77" i="31"/>
  <c r="AF77" i="31"/>
  <c r="BC65" i="31"/>
  <c r="BC67" i="31" s="1"/>
  <c r="BC68" i="31"/>
  <c r="BC73" i="31" s="1"/>
  <c r="AX61" i="30"/>
  <c r="AE21" i="30"/>
  <c r="AY21" i="30" s="1"/>
  <c r="AC21" i="30"/>
  <c r="AD21" i="30"/>
  <c r="AX21" i="30" s="1"/>
  <c r="AV21" i="30"/>
  <c r="BC37" i="30"/>
  <c r="AI27" i="30"/>
  <c r="AU27" i="30" s="1"/>
  <c r="AB105" i="30"/>
  <c r="AB103" i="30" s="1"/>
  <c r="AB23" i="30"/>
  <c r="AS23" i="30"/>
  <c r="AW26" i="30"/>
  <c r="AC26" i="30"/>
  <c r="AI26" i="30" s="1"/>
  <c r="AU26" i="30" s="1"/>
  <c r="BB36" i="30"/>
  <c r="AT36" i="30"/>
  <c r="BA36" i="30" s="1"/>
  <c r="AY45" i="30"/>
  <c r="AH54" i="30"/>
  <c r="AZ49" i="30"/>
  <c r="AZ54" i="30" s="1"/>
  <c r="R54" i="30"/>
  <c r="X50" i="30"/>
  <c r="X54" i="30" s="1"/>
  <c r="AC53" i="30"/>
  <c r="AI53" i="30" s="1"/>
  <c r="AU53" i="30" s="1"/>
  <c r="AV53" i="30"/>
  <c r="AE53" i="30"/>
  <c r="AY53" i="30" s="1"/>
  <c r="BC67" i="30"/>
  <c r="AT67" i="30"/>
  <c r="BA67" i="30" s="1"/>
  <c r="AD12" i="30"/>
  <c r="AW12" i="30"/>
  <c r="R15" i="30"/>
  <c r="AM100" i="30"/>
  <c r="AS15" i="30"/>
  <c r="AW16" i="30"/>
  <c r="R17" i="30"/>
  <c r="AR17" i="30"/>
  <c r="AR100" i="30" s="1"/>
  <c r="AZ17" i="30"/>
  <c r="AC18" i="30"/>
  <c r="AV18" i="30"/>
  <c r="AC19" i="30"/>
  <c r="AI19" i="30" s="1"/>
  <c r="AU19" i="30" s="1"/>
  <c r="AT20" i="30"/>
  <c r="AD22" i="30"/>
  <c r="AX22" i="30" s="1"/>
  <c r="R23" i="30"/>
  <c r="X24" i="30"/>
  <c r="AH37" i="30"/>
  <c r="AW31" i="30"/>
  <c r="AH44" i="30"/>
  <c r="AZ38" i="30"/>
  <c r="AZ44" i="30" s="1"/>
  <c r="BA38" i="30"/>
  <c r="BB39" i="30"/>
  <c r="AT39" i="30"/>
  <c r="BA39" i="30" s="1"/>
  <c r="AC40" i="30"/>
  <c r="AE40" i="30"/>
  <c r="AY40" i="30" s="1"/>
  <c r="AE42" i="30"/>
  <c r="AY42" i="30" s="1"/>
  <c r="AC42" i="30"/>
  <c r="AV42" i="30"/>
  <c r="AS61" i="30"/>
  <c r="BC58" i="30"/>
  <c r="BC61" i="30" s="1"/>
  <c r="AD61" i="30"/>
  <c r="AE67" i="30"/>
  <c r="AY67" i="30" s="1"/>
  <c r="AV67" i="30"/>
  <c r="AD67" i="30"/>
  <c r="AX67" i="30" s="1"/>
  <c r="X77" i="30"/>
  <c r="R81" i="30"/>
  <c r="AB15" i="30"/>
  <c r="AE18" i="30"/>
  <c r="BB110" i="30"/>
  <c r="BC18" i="30"/>
  <c r="AH104" i="30"/>
  <c r="AH15" i="30"/>
  <c r="AD13" i="30"/>
  <c r="S100" i="30"/>
  <c r="Y100" i="30"/>
  <c r="AF100" i="30"/>
  <c r="AN100" i="30"/>
  <c r="AD18" i="30"/>
  <c r="AW18" i="30"/>
  <c r="BB21" i="30"/>
  <c r="BB111" i="30" s="1"/>
  <c r="AT21" i="30"/>
  <c r="BA21" i="30" s="1"/>
  <c r="AW28" i="30"/>
  <c r="AB28" i="30"/>
  <c r="AS112" i="30"/>
  <c r="BC29" i="30"/>
  <c r="AS30" i="30"/>
  <c r="AH107" i="30"/>
  <c r="AZ32" i="30"/>
  <c r="AZ107" i="30" s="1"/>
  <c r="BB33" i="30"/>
  <c r="AT33" i="30"/>
  <c r="BA33" i="30" s="1"/>
  <c r="AC34" i="30"/>
  <c r="AE34" i="30"/>
  <c r="AY34" i="30" s="1"/>
  <c r="AE36" i="30"/>
  <c r="AY36" i="30" s="1"/>
  <c r="AC36" i="30"/>
  <c r="AV36" i="30"/>
  <c r="BB38" i="30"/>
  <c r="AR44" i="30"/>
  <c r="BB48" i="30"/>
  <c r="AT46" i="30"/>
  <c r="BA46" i="30" s="1"/>
  <c r="BA48" i="30" s="1"/>
  <c r="BB46" i="30"/>
  <c r="AD53" i="30"/>
  <c r="AX53" i="30" s="1"/>
  <c r="AW55" i="30"/>
  <c r="AW61" i="30" s="1"/>
  <c r="AE70" i="30"/>
  <c r="AY70" i="30" s="1"/>
  <c r="AY71" i="30" s="1"/>
  <c r="AV70" i="30"/>
  <c r="AD70" i="30"/>
  <c r="AX70" i="30" s="1"/>
  <c r="AC70" i="30"/>
  <c r="BC73" i="30"/>
  <c r="AT73" i="30"/>
  <c r="BA73" i="30" s="1"/>
  <c r="AV78" i="30"/>
  <c r="AE78" i="30"/>
  <c r="AY78" i="30" s="1"/>
  <c r="AC78" i="30"/>
  <c r="AI78" i="30" s="1"/>
  <c r="AU78" i="30" s="1"/>
  <c r="AH99" i="30"/>
  <c r="AZ96" i="30"/>
  <c r="BA12" i="30"/>
  <c r="BC15" i="30"/>
  <c r="AS101" i="30"/>
  <c r="AC12" i="30"/>
  <c r="AT18" i="30"/>
  <c r="AR103" i="30"/>
  <c r="AZ12" i="30"/>
  <c r="AE13" i="30"/>
  <c r="AY13" i="30" s="1"/>
  <c r="AH110" i="30"/>
  <c r="AZ14" i="30"/>
  <c r="Z100" i="30"/>
  <c r="AG100" i="30"/>
  <c r="X16" i="30"/>
  <c r="AT17" i="30"/>
  <c r="BB17" i="30"/>
  <c r="AH105" i="30"/>
  <c r="AH23" i="30"/>
  <c r="BA24" i="30"/>
  <c r="BA28" i="30" s="1"/>
  <c r="BB25" i="30"/>
  <c r="BB28" i="30" s="1"/>
  <c r="AB112" i="30"/>
  <c r="AW29" i="30"/>
  <c r="AT29" i="30"/>
  <c r="BB37" i="30"/>
  <c r="AR107" i="30"/>
  <c r="BB32" i="30"/>
  <c r="AV34" i="30"/>
  <c r="AE39" i="30"/>
  <c r="AY39" i="30" s="1"/>
  <c r="AC39" i="30"/>
  <c r="AV39" i="30"/>
  <c r="AD40" i="30"/>
  <c r="AX40" i="30" s="1"/>
  <c r="AD42" i="30"/>
  <c r="AX42" i="30" s="1"/>
  <c r="AT43" i="30"/>
  <c r="BA43" i="30" s="1"/>
  <c r="AW48" i="30"/>
  <c r="BC45" i="30"/>
  <c r="BC48" i="30" s="1"/>
  <c r="AS48" i="30"/>
  <c r="AC47" i="30"/>
  <c r="AD47" i="30"/>
  <c r="AX47" i="30" s="1"/>
  <c r="AX48" i="30" s="1"/>
  <c r="AV47" i="30"/>
  <c r="BA49" i="30"/>
  <c r="BA54" i="30" s="1"/>
  <c r="AC52" i="30"/>
  <c r="AZ55" i="30"/>
  <c r="AZ61" i="30" s="1"/>
  <c r="AC59" i="30"/>
  <c r="AE59" i="30"/>
  <c r="AY59" i="30" s="1"/>
  <c r="AV60" i="30"/>
  <c r="AE60" i="30"/>
  <c r="AY60" i="30" s="1"/>
  <c r="AD60" i="30"/>
  <c r="AX60" i="30" s="1"/>
  <c r="AC60" i="30"/>
  <c r="AC62" i="30"/>
  <c r="AV62" i="30"/>
  <c r="X65" i="30"/>
  <c r="AE62" i="30"/>
  <c r="AT62" i="30"/>
  <c r="AC67" i="30"/>
  <c r="AI67" i="30" s="1"/>
  <c r="AU67" i="30" s="1"/>
  <c r="AW72" i="30"/>
  <c r="AW75" i="30" s="1"/>
  <c r="AB75" i="30"/>
  <c r="AV73" i="30"/>
  <c r="AE73" i="30"/>
  <c r="AY73" i="30" s="1"/>
  <c r="AY75" i="30" s="1"/>
  <c r="AD73" i="30"/>
  <c r="AX73" i="30" s="1"/>
  <c r="AC73" i="30"/>
  <c r="AD74" i="30"/>
  <c r="AX74" i="30" s="1"/>
  <c r="AC74" i="30"/>
  <c r="AI74" i="30" s="1"/>
  <c r="AU74" i="30" s="1"/>
  <c r="AV74" i="30"/>
  <c r="AE12" i="30"/>
  <c r="AV13" i="30"/>
  <c r="R110" i="30"/>
  <c r="X14" i="30"/>
  <c r="BA16" i="30"/>
  <c r="AR105" i="30"/>
  <c r="AR23" i="30"/>
  <c r="AZ105" i="30"/>
  <c r="AH111" i="30"/>
  <c r="AZ20" i="30"/>
  <c r="AZ111" i="30" s="1"/>
  <c r="AZ23" i="30"/>
  <c r="AE33" i="30"/>
  <c r="AY33" i="30" s="1"/>
  <c r="AC33" i="30"/>
  <c r="AI33" i="30" s="1"/>
  <c r="AU33" i="30" s="1"/>
  <c r="AV33" i="30"/>
  <c r="R44" i="30"/>
  <c r="X38" i="30"/>
  <c r="AB44" i="30"/>
  <c r="AW39" i="30"/>
  <c r="AW44" i="30" s="1"/>
  <c r="AI45" i="30"/>
  <c r="AC48" i="30"/>
  <c r="AT48" i="30"/>
  <c r="AE46" i="30"/>
  <c r="AY46" i="30" s="1"/>
  <c r="AC46" i="30"/>
  <c r="AI46" i="30" s="1"/>
  <c r="AU46" i="30" s="1"/>
  <c r="AV46" i="30"/>
  <c r="AR54" i="30"/>
  <c r="BB53" i="30"/>
  <c r="AT77" i="30"/>
  <c r="BB77" i="30"/>
  <c r="BB23" i="30"/>
  <c r="R111" i="30"/>
  <c r="X20" i="30"/>
  <c r="AR111" i="30"/>
  <c r="AC22" i="30"/>
  <c r="AE22" i="30"/>
  <c r="AY22" i="30" s="1"/>
  <c r="AC25" i="30"/>
  <c r="AI25" i="30" s="1"/>
  <c r="AU25" i="30" s="1"/>
  <c r="AD25" i="30"/>
  <c r="AX25" i="30" s="1"/>
  <c r="BC26" i="30"/>
  <c r="BC28" i="30" s="1"/>
  <c r="AT26" i="30"/>
  <c r="BA26" i="30" s="1"/>
  <c r="AE27" i="30"/>
  <c r="AY27" i="30" s="1"/>
  <c r="AV27" i="30"/>
  <c r="AD27" i="30"/>
  <c r="AX27" i="30" s="1"/>
  <c r="AZ112" i="30"/>
  <c r="AZ30" i="30"/>
  <c r="AC31" i="30"/>
  <c r="AE31" i="30"/>
  <c r="AD31" i="30"/>
  <c r="R107" i="30"/>
  <c r="X32" i="30"/>
  <c r="AR37" i="30"/>
  <c r="BB42" i="30"/>
  <c r="AT42" i="30"/>
  <c r="BA42" i="30" s="1"/>
  <c r="AE43" i="30"/>
  <c r="AY43" i="30" s="1"/>
  <c r="AC43" i="30"/>
  <c r="AV43" i="30"/>
  <c r="AV48" i="30"/>
  <c r="AB54" i="30"/>
  <c r="AW49" i="30"/>
  <c r="AW54" i="30" s="1"/>
  <c r="AX62" i="30"/>
  <c r="AS71" i="30"/>
  <c r="BC66" i="30"/>
  <c r="BC71" i="30" s="1"/>
  <c r="AC68" i="30"/>
  <c r="AI68" i="30" s="1"/>
  <c r="AU68" i="30" s="1"/>
  <c r="AV68" i="30"/>
  <c r="AE68" i="30"/>
  <c r="AY68" i="30" s="1"/>
  <c r="BC79" i="30"/>
  <c r="AT79" i="30"/>
  <c r="BA79" i="30" s="1"/>
  <c r="R104" i="30"/>
  <c r="AB110" i="30"/>
  <c r="AW14" i="30"/>
  <c r="AW110" i="30" s="1"/>
  <c r="AS110" i="30"/>
  <c r="BC14" i="30"/>
  <c r="U100" i="30"/>
  <c r="AA100" i="30"/>
  <c r="AO100" i="30"/>
  <c r="AR101" i="30" s="1"/>
  <c r="BC113" i="30"/>
  <c r="BC17" i="30"/>
  <c r="R105" i="30"/>
  <c r="AB111" i="30"/>
  <c r="AW20" i="30"/>
  <c r="AW111" i="30" s="1"/>
  <c r="AS111" i="30"/>
  <c r="BC20" i="30"/>
  <c r="BB29" i="30"/>
  <c r="AB107" i="30"/>
  <c r="AW32" i="30"/>
  <c r="AW107" i="30" s="1"/>
  <c r="AS107" i="30"/>
  <c r="AS103" i="30" s="1"/>
  <c r="BC32" i="30"/>
  <c r="AE35" i="30"/>
  <c r="AY35" i="30" s="1"/>
  <c r="AS44" i="30"/>
  <c r="BC38" i="30"/>
  <c r="BC44" i="30" s="1"/>
  <c r="AE41" i="30"/>
  <c r="AY41" i="30" s="1"/>
  <c r="AC49" i="30"/>
  <c r="AD51" i="30"/>
  <c r="AX51" i="30" s="1"/>
  <c r="AE58" i="30"/>
  <c r="AY58" i="30" s="1"/>
  <c r="AC58" i="30"/>
  <c r="AI58" i="30" s="1"/>
  <c r="AU58" i="30" s="1"/>
  <c r="AV58" i="30"/>
  <c r="BB66" i="30"/>
  <c r="BB71" i="30" s="1"/>
  <c r="AR71" i="30"/>
  <c r="AT66" i="30"/>
  <c r="AT68" i="30"/>
  <c r="BA68" i="30" s="1"/>
  <c r="R71" i="30"/>
  <c r="AD83" i="30"/>
  <c r="AX83" i="30" s="1"/>
  <c r="AX85" i="30" s="1"/>
  <c r="AC83" i="30"/>
  <c r="BC87" i="30"/>
  <c r="AT87" i="30"/>
  <c r="BA87" i="30" s="1"/>
  <c r="AZ84" i="30"/>
  <c r="AZ85" i="30" s="1"/>
  <c r="BC93" i="30"/>
  <c r="BC99" i="30" s="1"/>
  <c r="AT93" i="30"/>
  <c r="AS99" i="30"/>
  <c r="BA31" i="30"/>
  <c r="AH48" i="30"/>
  <c r="AR61" i="30"/>
  <c r="BB55" i="30"/>
  <c r="BB61" i="30" s="1"/>
  <c r="AT55" i="30"/>
  <c r="BB63" i="30"/>
  <c r="BB65" i="30" s="1"/>
  <c r="AD66" i="30"/>
  <c r="AC66" i="30"/>
  <c r="AV66" i="30"/>
  <c r="AV71" i="30" s="1"/>
  <c r="AI69" i="30"/>
  <c r="AU69" i="30" s="1"/>
  <c r="AR75" i="30"/>
  <c r="BB72" i="30"/>
  <c r="AT72" i="30"/>
  <c r="AW81" i="30"/>
  <c r="AS81" i="30"/>
  <c r="AC85" i="30"/>
  <c r="BA82" i="30"/>
  <c r="AT86" i="30"/>
  <c r="BB86" i="30"/>
  <c r="BB92" i="30" s="1"/>
  <c r="AR92" i="30"/>
  <c r="AV97" i="30"/>
  <c r="AC97" i="30"/>
  <c r="AE97" i="30"/>
  <c r="AY97" i="30" s="1"/>
  <c r="AS28" i="30"/>
  <c r="R112" i="30"/>
  <c r="X29" i="30"/>
  <c r="AZ45" i="30"/>
  <c r="AZ48" i="30" s="1"/>
  <c r="AT51" i="30"/>
  <c r="BA51" i="30" s="1"/>
  <c r="BA110" i="30" s="1"/>
  <c r="BB51" i="30"/>
  <c r="BB54" i="30" s="1"/>
  <c r="R61" i="30"/>
  <c r="AC56" i="30"/>
  <c r="AI56" i="30" s="1"/>
  <c r="AU56" i="30" s="1"/>
  <c r="AE56" i="30"/>
  <c r="AY56" i="30" s="1"/>
  <c r="AC63" i="30"/>
  <c r="AI63" i="30" s="1"/>
  <c r="AU63" i="30" s="1"/>
  <c r="AE64" i="30"/>
  <c r="AY64" i="30" s="1"/>
  <c r="AV64" i="30"/>
  <c r="AD64" i="30"/>
  <c r="AX64" i="30" s="1"/>
  <c r="AH71" i="30"/>
  <c r="BC72" i="30"/>
  <c r="BC75" i="30" s="1"/>
  <c r="AS75" i="30"/>
  <c r="AT80" i="30"/>
  <c r="BA80" i="30" s="1"/>
  <c r="BB80" i="30"/>
  <c r="BC86" i="30"/>
  <c r="BC92" i="30" s="1"/>
  <c r="AS92" i="30"/>
  <c r="AE49" i="30"/>
  <c r="AV49" i="30"/>
  <c r="AD49" i="30"/>
  <c r="AS54" i="30"/>
  <c r="BC49" i="30"/>
  <c r="BC54" i="30" s="1"/>
  <c r="AC51" i="30"/>
  <c r="AI51" i="30" s="1"/>
  <c r="AU51" i="30" s="1"/>
  <c r="AE52" i="30"/>
  <c r="AY52" i="30" s="1"/>
  <c r="AV52" i="30"/>
  <c r="AD52" i="30"/>
  <c r="AX52" i="30" s="1"/>
  <c r="AE55" i="30"/>
  <c r="X61" i="30"/>
  <c r="AC55" i="30"/>
  <c r="AV55" i="30"/>
  <c r="AV61" i="30" s="1"/>
  <c r="AV57" i="30"/>
  <c r="AE57" i="30"/>
  <c r="AY57" i="30" s="1"/>
  <c r="BB58" i="30"/>
  <c r="AT58" i="30"/>
  <c r="BA58" i="30" s="1"/>
  <c r="AZ71" i="30"/>
  <c r="AD72" i="30"/>
  <c r="AC72" i="30"/>
  <c r="AV72" i="30"/>
  <c r="AT74" i="30"/>
  <c r="BA74" i="30" s="1"/>
  <c r="BB74" i="30"/>
  <c r="R75" i="30"/>
  <c r="X75" i="30"/>
  <c r="AD80" i="30"/>
  <c r="AX80" i="30" s="1"/>
  <c r="AC80" i="30"/>
  <c r="AT83" i="30"/>
  <c r="BA83" i="30" s="1"/>
  <c r="BB83" i="30"/>
  <c r="AV84" i="30"/>
  <c r="AE84" i="30"/>
  <c r="AY84" i="30" s="1"/>
  <c r="AC84" i="30"/>
  <c r="AC88" i="30"/>
  <c r="AV88" i="30"/>
  <c r="AD88" i="30"/>
  <c r="AX88" i="30" s="1"/>
  <c r="AT98" i="30"/>
  <c r="BA98" i="30" s="1"/>
  <c r="BB98" i="30"/>
  <c r="BB99" i="30" s="1"/>
  <c r="AV76" i="30"/>
  <c r="AE76" i="30"/>
  <c r="AR81" i="30"/>
  <c r="BB76" i="30"/>
  <c r="BB81" i="30" s="1"/>
  <c r="AB81" i="30"/>
  <c r="X85" i="30"/>
  <c r="AV82" i="30"/>
  <c r="AE82" i="30"/>
  <c r="BB85" i="30"/>
  <c r="AS85" i="30"/>
  <c r="X86" i="30"/>
  <c r="R92" i="30"/>
  <c r="AE90" i="30"/>
  <c r="AY90" i="30" s="1"/>
  <c r="AV90" i="30"/>
  <c r="AD90" i="30"/>
  <c r="AX90" i="30" s="1"/>
  <c r="AC90" i="30"/>
  <c r="AI90" i="30" s="1"/>
  <c r="AU90" i="30" s="1"/>
  <c r="AD95" i="30"/>
  <c r="AX95" i="30" s="1"/>
  <c r="AE95" i="30"/>
  <c r="AY95" i="30" s="1"/>
  <c r="AV95" i="30"/>
  <c r="BC76" i="30"/>
  <c r="BC81" i="30" s="1"/>
  <c r="AB92" i="30"/>
  <c r="AW86" i="30"/>
  <c r="AW92" i="30" s="1"/>
  <c r="AX93" i="30"/>
  <c r="AZ99" i="30"/>
  <c r="I101" i="30"/>
  <c r="AS65" i="30"/>
  <c r="AV79" i="30"/>
  <c r="AE79" i="30"/>
  <c r="AY79" i="30" s="1"/>
  <c r="AD89" i="30"/>
  <c r="AX89" i="30" s="1"/>
  <c r="AV89" i="30"/>
  <c r="AV91" i="30"/>
  <c r="AC91" i="30"/>
  <c r="AI91" i="30" s="1"/>
  <c r="AU91" i="30" s="1"/>
  <c r="AE91" i="30"/>
  <c r="AY91" i="30" s="1"/>
  <c r="AT91" i="30"/>
  <c r="BA91" i="30" s="1"/>
  <c r="AE96" i="30"/>
  <c r="AY96" i="30" s="1"/>
  <c r="AV96" i="30"/>
  <c r="AD96" i="30"/>
  <c r="AX96" i="30" s="1"/>
  <c r="AC96" i="30"/>
  <c r="AS102" i="30"/>
  <c r="AT90" i="30"/>
  <c r="BA90" i="30" s="1"/>
  <c r="AV94" i="30"/>
  <c r="AV99" i="30" s="1"/>
  <c r="AC94" i="30"/>
  <c r="AI94" i="30" s="1"/>
  <c r="AU94" i="30" s="1"/>
  <c r="K103" i="30"/>
  <c r="I102" i="30" s="1"/>
  <c r="Q103" i="30"/>
  <c r="O102" i="30" s="1"/>
  <c r="AO103" i="30"/>
  <c r="AR102" i="30" s="1"/>
  <c r="AH92" i="30"/>
  <c r="AY93" i="30"/>
  <c r="AY99" i="30" s="1"/>
  <c r="X99" i="30"/>
  <c r="Z103" i="30"/>
  <c r="AB102" i="30" s="1"/>
  <c r="AR99" i="30"/>
  <c r="AT95" i="30"/>
  <c r="BA95" i="30" s="1"/>
  <c r="AI98" i="30"/>
  <c r="AU98" i="30" s="1"/>
  <c r="AC93" i="30"/>
  <c r="O101" i="30"/>
  <c r="AF103" i="30"/>
  <c r="AH102" i="30" s="1"/>
  <c r="AD51" i="29"/>
  <c r="AX51" i="29" s="1"/>
  <c r="AC51" i="29"/>
  <c r="AI51" i="29" s="1"/>
  <c r="AU51" i="29" s="1"/>
  <c r="AV51" i="29"/>
  <c r="AE51" i="29"/>
  <c r="AY51" i="29" s="1"/>
  <c r="AW16" i="29"/>
  <c r="AR198" i="29"/>
  <c r="AT15" i="29"/>
  <c r="BB15" i="29"/>
  <c r="BC19" i="29"/>
  <c r="AE28" i="29"/>
  <c r="AY28" i="29" s="1"/>
  <c r="AV28" i="29"/>
  <c r="AD28" i="29"/>
  <c r="AX28" i="29" s="1"/>
  <c r="AC28" i="29"/>
  <c r="AD18" i="29"/>
  <c r="AV18" i="29"/>
  <c r="AV19" i="29" s="1"/>
  <c r="AE18" i="29"/>
  <c r="AY18" i="29" s="1"/>
  <c r="AC18" i="29"/>
  <c r="X19" i="29"/>
  <c r="AD21" i="29"/>
  <c r="AX21" i="29" s="1"/>
  <c r="AX23" i="29" s="1"/>
  <c r="AV21" i="29"/>
  <c r="AE21" i="29"/>
  <c r="AC21" i="29"/>
  <c r="AI25" i="29"/>
  <c r="AU25" i="29" s="1"/>
  <c r="AR19" i="29"/>
  <c r="BB17" i="29"/>
  <c r="BB19" i="29" s="1"/>
  <c r="AT17" i="29"/>
  <c r="BA26" i="29"/>
  <c r="AD33" i="29"/>
  <c r="AE37" i="29"/>
  <c r="AV37" i="29"/>
  <c r="AD37" i="29"/>
  <c r="X40" i="29"/>
  <c r="AC37" i="29"/>
  <c r="AE52" i="29"/>
  <c r="AY49" i="29"/>
  <c r="AE64" i="29"/>
  <c r="AV64" i="29"/>
  <c r="AV67" i="29" s="1"/>
  <c r="AD64" i="29"/>
  <c r="X67" i="29"/>
  <c r="AC64" i="29"/>
  <c r="AV14" i="29"/>
  <c r="AC14" i="29"/>
  <c r="X16" i="29"/>
  <c r="AE14" i="29"/>
  <c r="AD14" i="29"/>
  <c r="R201" i="29"/>
  <c r="X12" i="29"/>
  <c r="R13" i="29"/>
  <c r="AI50" i="29"/>
  <c r="AU50" i="29" s="1"/>
  <c r="AU20" i="29"/>
  <c r="AD15" i="29"/>
  <c r="AC15" i="29"/>
  <c r="AV15" i="29"/>
  <c r="AE15" i="29"/>
  <c r="AT44" i="29"/>
  <c r="AE46" i="29"/>
  <c r="AY46" i="29" s="1"/>
  <c r="AV46" i="29"/>
  <c r="AD46" i="29"/>
  <c r="AX46" i="29" s="1"/>
  <c r="X48" i="29"/>
  <c r="AC46" i="29"/>
  <c r="AI46" i="29" s="1"/>
  <c r="AU46" i="29" s="1"/>
  <c r="R189" i="29"/>
  <c r="BC16" i="29"/>
  <c r="AY19" i="29"/>
  <c r="AE31" i="29"/>
  <c r="AY31" i="29" s="1"/>
  <c r="AV31" i="29"/>
  <c r="AD31" i="29"/>
  <c r="AX31" i="29" s="1"/>
  <c r="AX33" i="29" s="1"/>
  <c r="X33" i="29"/>
  <c r="AC31" i="29"/>
  <c r="AE34" i="29"/>
  <c r="AV34" i="29"/>
  <c r="AV36" i="29" s="1"/>
  <c r="AD34" i="29"/>
  <c r="X36" i="29"/>
  <c r="AC34" i="29"/>
  <c r="AN188" i="29"/>
  <c r="AS189" i="29" s="1"/>
  <c r="BA14" i="29"/>
  <c r="AD25" i="29"/>
  <c r="AX25" i="29" s="1"/>
  <c r="BB29" i="29"/>
  <c r="AV32" i="29"/>
  <c r="AC32" i="29"/>
  <c r="AS36" i="29"/>
  <c r="AV38" i="29"/>
  <c r="AC38" i="29"/>
  <c r="AI38" i="29" s="1"/>
  <c r="AU38" i="29" s="1"/>
  <c r="AX41" i="29"/>
  <c r="AX44" i="29" s="1"/>
  <c r="AI42" i="29"/>
  <c r="AU42" i="29" s="1"/>
  <c r="AX49" i="29"/>
  <c r="AD69" i="29"/>
  <c r="AX69" i="29" s="1"/>
  <c r="AV69" i="29"/>
  <c r="AC69" i="29"/>
  <c r="AX81" i="29"/>
  <c r="BA84" i="29"/>
  <c r="BB85" i="29"/>
  <c r="AT91" i="29"/>
  <c r="BA91" i="29" s="1"/>
  <c r="BB91" i="29"/>
  <c r="AH98" i="29"/>
  <c r="AV122" i="29"/>
  <c r="BC120" i="29"/>
  <c r="BC122" i="29" s="1"/>
  <c r="AT120" i="29"/>
  <c r="BA120" i="29" s="1"/>
  <c r="AS122" i="29"/>
  <c r="AV200" i="29"/>
  <c r="AV136" i="29"/>
  <c r="AZ144" i="29"/>
  <c r="BC12" i="29"/>
  <c r="AW17" i="29"/>
  <c r="AW19" i="29" s="1"/>
  <c r="X23" i="29"/>
  <c r="AV20" i="29"/>
  <c r="AH23" i="29"/>
  <c r="AE25" i="29"/>
  <c r="AY25" i="29" s="1"/>
  <c r="AB29" i="29"/>
  <c r="AB188" i="29" s="1"/>
  <c r="AB33" i="29"/>
  <c r="AW30" i="29"/>
  <c r="AW33" i="29" s="1"/>
  <c r="AT34" i="29"/>
  <c r="AH40" i="29"/>
  <c r="X44" i="29"/>
  <c r="AV41" i="29"/>
  <c r="AV44" i="29" s="1"/>
  <c r="AC41" i="29"/>
  <c r="BB44" i="29"/>
  <c r="AE42" i="29"/>
  <c r="AY42" i="29" s="1"/>
  <c r="AH48" i="29"/>
  <c r="AZ45" i="29"/>
  <c r="AZ48" i="29" s="1"/>
  <c r="AT46" i="29"/>
  <c r="BA46" i="29" s="1"/>
  <c r="AV53" i="29"/>
  <c r="X55" i="29"/>
  <c r="AC53" i="29"/>
  <c r="AR55" i="29"/>
  <c r="BB53" i="29"/>
  <c r="BB55" i="29" s="1"/>
  <c r="BB56" i="29"/>
  <c r="BB59" i="29" s="1"/>
  <c r="AT56" i="29"/>
  <c r="AD57" i="29"/>
  <c r="AX57" i="29" s="1"/>
  <c r="AV57" i="29"/>
  <c r="AE57" i="29"/>
  <c r="AY57" i="29" s="1"/>
  <c r="AY59" i="29" s="1"/>
  <c r="AC58" i="29"/>
  <c r="AS71" i="29"/>
  <c r="BC70" i="29"/>
  <c r="AT70" i="29"/>
  <c r="BA70" i="29" s="1"/>
  <c r="BC75" i="29"/>
  <c r="AS80" i="29"/>
  <c r="BC76" i="29"/>
  <c r="BC80" i="29" s="1"/>
  <c r="AT76" i="29"/>
  <c r="AC97" i="29"/>
  <c r="AE97" i="29"/>
  <c r="AY97" i="29" s="1"/>
  <c r="AV97" i="29"/>
  <c r="AD97" i="29"/>
  <c r="AX97" i="29" s="1"/>
  <c r="AX98" i="29" s="1"/>
  <c r="AE99" i="29"/>
  <c r="AV99" i="29"/>
  <c r="AD99" i="29"/>
  <c r="AC99" i="29"/>
  <c r="X104" i="29"/>
  <c r="AC112" i="29"/>
  <c r="AI112" i="29" s="1"/>
  <c r="AU112" i="29" s="1"/>
  <c r="AV112" i="29"/>
  <c r="AE112" i="29"/>
  <c r="AY112" i="29" s="1"/>
  <c r="AD112" i="29"/>
  <c r="AE117" i="29"/>
  <c r="AC117" i="29"/>
  <c r="AD117" i="29"/>
  <c r="X122" i="29"/>
  <c r="AC130" i="29"/>
  <c r="AV130" i="29"/>
  <c r="AE130" i="29"/>
  <c r="AY130" i="29" s="1"/>
  <c r="AD130" i="29"/>
  <c r="X200" i="29"/>
  <c r="AE135" i="29"/>
  <c r="X136" i="29"/>
  <c r="AC135" i="29"/>
  <c r="AD135" i="29"/>
  <c r="BC144" i="29"/>
  <c r="AT159" i="29"/>
  <c r="BA159" i="29" s="1"/>
  <c r="BB159" i="29"/>
  <c r="AR160" i="29"/>
  <c r="Z191" i="29"/>
  <c r="AV35" i="29"/>
  <c r="AC35" i="29"/>
  <c r="AI35" i="29" s="1"/>
  <c r="AU35" i="29" s="1"/>
  <c r="AI57" i="29"/>
  <c r="AU57" i="29" s="1"/>
  <c r="AX61" i="29"/>
  <c r="AD63" i="29"/>
  <c r="AH71" i="29"/>
  <c r="BB77" i="29"/>
  <c r="AT77" i="29"/>
  <c r="BA77" i="29" s="1"/>
  <c r="AR80" i="29"/>
  <c r="V188" i="29"/>
  <c r="BB13" i="29"/>
  <c r="BC198" i="29"/>
  <c r="AS23" i="29"/>
  <c r="AS188" i="29" s="1"/>
  <c r="R29" i="29"/>
  <c r="X27" i="29"/>
  <c r="AS29" i="29"/>
  <c r="BC27" i="29"/>
  <c r="BC29" i="29" s="1"/>
  <c r="AH29" i="29"/>
  <c r="BC33" i="29"/>
  <c r="AE35" i="29"/>
  <c r="AY35" i="29" s="1"/>
  <c r="AE39" i="29"/>
  <c r="AY39" i="29" s="1"/>
  <c r="AW48" i="29"/>
  <c r="AY55" i="29"/>
  <c r="AT60" i="29"/>
  <c r="AR63" i="29"/>
  <c r="BB60" i="29"/>
  <c r="BB63" i="29" s="1"/>
  <c r="BA64" i="29"/>
  <c r="AH67" i="29"/>
  <c r="BB68" i="29"/>
  <c r="BB71" i="29" s="1"/>
  <c r="AT68" i="29"/>
  <c r="AR71" i="29"/>
  <c r="AC74" i="29"/>
  <c r="AV74" i="29"/>
  <c r="AD74" i="29"/>
  <c r="AX74" i="29" s="1"/>
  <c r="AI83" i="29"/>
  <c r="AU83" i="29" s="1"/>
  <c r="AW85" i="29"/>
  <c r="AB86" i="29"/>
  <c r="AH92" i="29"/>
  <c r="AZ87" i="29"/>
  <c r="AZ92" i="29" s="1"/>
  <c r="W188" i="29"/>
  <c r="AO188" i="29"/>
  <c r="AH198" i="29"/>
  <c r="AZ15" i="29"/>
  <c r="AH201" i="29"/>
  <c r="AZ12" i="29"/>
  <c r="AW12" i="29"/>
  <c r="AJ188" i="29"/>
  <c r="AP188" i="29"/>
  <c r="R198" i="29"/>
  <c r="AT18" i="29"/>
  <c r="BA18" i="29" s="1"/>
  <c r="BB23" i="29"/>
  <c r="AC22" i="29"/>
  <c r="AI22" i="29" s="1"/>
  <c r="AU22" i="29" s="1"/>
  <c r="AW24" i="29"/>
  <c r="AW26" i="29" s="1"/>
  <c r="AV25" i="29"/>
  <c r="AR26" i="29"/>
  <c r="AC30" i="29"/>
  <c r="AV30" i="29"/>
  <c r="AD32" i="29"/>
  <c r="AX32" i="29" s="1"/>
  <c r="AT32" i="29"/>
  <c r="BA32" i="29" s="1"/>
  <c r="AR40" i="29"/>
  <c r="AD38" i="29"/>
  <c r="AX38" i="29" s="1"/>
  <c r="AT38" i="29"/>
  <c r="BA38" i="29" s="1"/>
  <c r="AT39" i="29"/>
  <c r="BA39" i="29" s="1"/>
  <c r="AS44" i="29"/>
  <c r="BA41" i="29"/>
  <c r="BA44" i="29" s="1"/>
  <c r="AC43" i="29"/>
  <c r="AI43" i="29" s="1"/>
  <c r="AU43" i="29" s="1"/>
  <c r="AT43" i="29"/>
  <c r="BA43" i="29" s="1"/>
  <c r="AR44" i="29"/>
  <c r="BB47" i="29"/>
  <c r="BB48" i="29" s="1"/>
  <c r="AT47" i="29"/>
  <c r="BA47" i="29" s="1"/>
  <c r="AR48" i="29"/>
  <c r="AW52" i="29"/>
  <c r="AV50" i="29"/>
  <c r="AE50" i="29"/>
  <c r="AY50" i="29" s="1"/>
  <c r="AW53" i="29"/>
  <c r="AW55" i="29" s="1"/>
  <c r="AB55" i="29"/>
  <c r="AS59" i="29"/>
  <c r="AD58" i="29"/>
  <c r="AX58" i="29" s="1"/>
  <c r="AV58" i="29"/>
  <c r="AC61" i="29"/>
  <c r="AI61" i="29" s="1"/>
  <c r="AU61" i="29" s="1"/>
  <c r="AW66" i="29"/>
  <c r="AW67" i="29" s="1"/>
  <c r="AC66" i="29"/>
  <c r="AI66" i="29" s="1"/>
  <c r="AU66" i="29" s="1"/>
  <c r="AC68" i="29"/>
  <c r="X71" i="29"/>
  <c r="AV68" i="29"/>
  <c r="AD68" i="29"/>
  <c r="AE69" i="29"/>
  <c r="AD72" i="29"/>
  <c r="AV72" i="29"/>
  <c r="AC72" i="29"/>
  <c r="BC73" i="29"/>
  <c r="AT73" i="29"/>
  <c r="BA73" i="29" s="1"/>
  <c r="AE74" i="29"/>
  <c r="AY74" i="29" s="1"/>
  <c r="AW80" i="29"/>
  <c r="AD78" i="29"/>
  <c r="AX78" i="29" s="1"/>
  <c r="AV78" i="29"/>
  <c r="AC78" i="29"/>
  <c r="BC79" i="29"/>
  <c r="AT79" i="29"/>
  <c r="BA79" i="29" s="1"/>
  <c r="AR193" i="29"/>
  <c r="AR86" i="29"/>
  <c r="AT81" i="29"/>
  <c r="BB81" i="29"/>
  <c r="AS92" i="29"/>
  <c r="BC87" i="29"/>
  <c r="BC92" i="29" s="1"/>
  <c r="AT87" i="29"/>
  <c r="AC91" i="29"/>
  <c r="AI91" i="29" s="1"/>
  <c r="AU91" i="29" s="1"/>
  <c r="AV91" i="29"/>
  <c r="AD91" i="29"/>
  <c r="AX91" i="29" s="1"/>
  <c r="AE108" i="29"/>
  <c r="AY108" i="29" s="1"/>
  <c r="AC108" i="29"/>
  <c r="AI108" i="29" s="1"/>
  <c r="AU108" i="29" s="1"/>
  <c r="AD108" i="29"/>
  <c r="AX108" i="29" s="1"/>
  <c r="AE126" i="29"/>
  <c r="AY126" i="29" s="1"/>
  <c r="AC126" i="29"/>
  <c r="AD126" i="29"/>
  <c r="AX126" i="29" s="1"/>
  <c r="AX128" i="29" s="1"/>
  <c r="BC134" i="29"/>
  <c r="AZ156" i="29"/>
  <c r="AZ160" i="29" s="1"/>
  <c r="AH160" i="29"/>
  <c r="AW36" i="29"/>
  <c r="AB71" i="29"/>
  <c r="AW68" i="29"/>
  <c r="AW71" i="29" s="1"/>
  <c r="AS33" i="29"/>
  <c r="AT100" i="29"/>
  <c r="BA100" i="29" s="1"/>
  <c r="BB100" i="29"/>
  <c r="AH200" i="29"/>
  <c r="AH136" i="29"/>
  <c r="AZ135" i="29"/>
  <c r="AH144" i="29"/>
  <c r="AZ139" i="29"/>
  <c r="AV154" i="29"/>
  <c r="AE154" i="29"/>
  <c r="AY154" i="29" s="1"/>
  <c r="AC154" i="29"/>
  <c r="AD154" i="29"/>
  <c r="AX154" i="29" s="1"/>
  <c r="AR201" i="29"/>
  <c r="AR13" i="29"/>
  <c r="AT12" i="29"/>
  <c r="AB192" i="29"/>
  <c r="AB191" i="29" s="1"/>
  <c r="AR192" i="29"/>
  <c r="AR16" i="29"/>
  <c r="BB14" i="29"/>
  <c r="AB198" i="29"/>
  <c r="AS198" i="29"/>
  <c r="AT16" i="29"/>
  <c r="AC17" i="29"/>
  <c r="AH19" i="29"/>
  <c r="AH188" i="29" s="1"/>
  <c r="AT20" i="29"/>
  <c r="AE22" i="29"/>
  <c r="AY22" i="29" s="1"/>
  <c r="X24" i="29"/>
  <c r="AT26" i="29"/>
  <c r="AT28" i="29"/>
  <c r="BA28" i="29" s="1"/>
  <c r="AH33" i="29"/>
  <c r="AZ30" i="29"/>
  <c r="AZ33" i="29" s="1"/>
  <c r="AY30" i="29"/>
  <c r="AT31" i="29"/>
  <c r="BA31" i="29" s="1"/>
  <c r="AT37" i="29"/>
  <c r="BC37" i="29"/>
  <c r="BC40" i="29" s="1"/>
  <c r="R40" i="29"/>
  <c r="AY44" i="29"/>
  <c r="BB42" i="29"/>
  <c r="AD45" i="29"/>
  <c r="AI45" i="29" s="1"/>
  <c r="AV45" i="29"/>
  <c r="AV48" i="29" s="1"/>
  <c r="AE45" i="29"/>
  <c r="BC45" i="29"/>
  <c r="BC48" i="29" s="1"/>
  <c r="AS48" i="29"/>
  <c r="X52" i="29"/>
  <c r="AV49" i="29"/>
  <c r="AV52" i="29" s="1"/>
  <c r="AC49" i="29"/>
  <c r="AT50" i="29"/>
  <c r="BA50" i="29" s="1"/>
  <c r="BB51" i="29"/>
  <c r="BB52" i="29" s="1"/>
  <c r="AE55" i="29"/>
  <c r="AZ57" i="29"/>
  <c r="AZ59" i="29" s="1"/>
  <c r="AH59" i="29"/>
  <c r="AW60" i="29"/>
  <c r="AW63" i="29" s="1"/>
  <c r="AB63" i="29"/>
  <c r="AC60" i="29"/>
  <c r="AT66" i="29"/>
  <c r="BA66" i="29" s="1"/>
  <c r="BB66" i="29"/>
  <c r="BB67" i="29" s="1"/>
  <c r="R67" i="29"/>
  <c r="AY72" i="29"/>
  <c r="AE73" i="29"/>
  <c r="AY73" i="29" s="1"/>
  <c r="AV73" i="29"/>
  <c r="AD73" i="29"/>
  <c r="AX73" i="29" s="1"/>
  <c r="AC73" i="29"/>
  <c r="BB74" i="29"/>
  <c r="BB75" i="29" s="1"/>
  <c r="AT74" i="29"/>
  <c r="BA74" i="29" s="1"/>
  <c r="X75" i="29"/>
  <c r="AE79" i="29"/>
  <c r="AY79" i="29" s="1"/>
  <c r="AV79" i="29"/>
  <c r="AD79" i="29"/>
  <c r="AX79" i="29" s="1"/>
  <c r="AC79" i="29"/>
  <c r="AH80" i="29"/>
  <c r="AE81" i="29"/>
  <c r="X86" i="29"/>
  <c r="AC81" i="29"/>
  <c r="X193" i="29"/>
  <c r="AV81" i="29"/>
  <c r="AE87" i="29"/>
  <c r="AV87" i="29"/>
  <c r="AD87" i="29"/>
  <c r="AC87" i="29"/>
  <c r="AZ98" i="29"/>
  <c r="AR104" i="29"/>
  <c r="AT54" i="29"/>
  <c r="BA54" i="29" s="1"/>
  <c r="BA55" i="29" s="1"/>
  <c r="BB54" i="29"/>
  <c r="AI56" i="29"/>
  <c r="AC59" i="29"/>
  <c r="AX63" i="29"/>
  <c r="AE70" i="29"/>
  <c r="AY70" i="29" s="1"/>
  <c r="AV70" i="29"/>
  <c r="AD70" i="29"/>
  <c r="AX70" i="29" s="1"/>
  <c r="AC70" i="29"/>
  <c r="AI70" i="29" s="1"/>
  <c r="AU70" i="29" s="1"/>
  <c r="BB80" i="29"/>
  <c r="AT107" i="29"/>
  <c r="BA107" i="29" s="1"/>
  <c r="BB107" i="29"/>
  <c r="AH122" i="29"/>
  <c r="AZ117" i="29"/>
  <c r="AZ122" i="29" s="1"/>
  <c r="AT125" i="29"/>
  <c r="BA125" i="29" s="1"/>
  <c r="BB125" i="29"/>
  <c r="AT149" i="29"/>
  <c r="BA149" i="29" s="1"/>
  <c r="BB149" i="29"/>
  <c r="U188" i="29"/>
  <c r="AA188" i="29"/>
  <c r="AM188" i="29"/>
  <c r="AS192" i="29"/>
  <c r="AB16" i="29"/>
  <c r="AT27" i="29"/>
  <c r="AT30" i="29"/>
  <c r="AZ34" i="29"/>
  <c r="AZ36" i="29" s="1"/>
  <c r="AD35" i="29"/>
  <c r="AX35" i="29" s="1"/>
  <c r="AT35" i="29"/>
  <c r="BA35" i="29" s="1"/>
  <c r="AR36" i="29"/>
  <c r="AC39" i="29"/>
  <c r="AV39" i="29"/>
  <c r="AB44" i="29"/>
  <c r="AB48" i="29"/>
  <c r="AC47" i="29"/>
  <c r="AI47" i="29" s="1"/>
  <c r="AU47" i="29" s="1"/>
  <c r="BA49" i="29"/>
  <c r="AS52" i="29"/>
  <c r="AX53" i="29"/>
  <c r="AD54" i="29"/>
  <c r="AX54" i="29" s="1"/>
  <c r="AC54" i="29"/>
  <c r="AV54" i="29"/>
  <c r="AH63" i="29"/>
  <c r="AZ60" i="29"/>
  <c r="AZ63" i="29" s="1"/>
  <c r="BC67" i="29"/>
  <c r="BC71" i="29"/>
  <c r="AC77" i="29"/>
  <c r="AV77" i="29"/>
  <c r="AD77" i="29"/>
  <c r="AX77" i="29" s="1"/>
  <c r="AZ86" i="29"/>
  <c r="R199" i="29"/>
  <c r="X84" i="29"/>
  <c r="AC88" i="29"/>
  <c r="AV88" i="29"/>
  <c r="AE88" i="29"/>
  <c r="AY88" i="29" s="1"/>
  <c r="AW90" i="29"/>
  <c r="AW92" i="29" s="1"/>
  <c r="AC90" i="29"/>
  <c r="AR98" i="29"/>
  <c r="BB93" i="29"/>
  <c r="AT93" i="29"/>
  <c r="BC96" i="29"/>
  <c r="BC199" i="29" s="1"/>
  <c r="AS98" i="29"/>
  <c r="X102" i="29"/>
  <c r="R104" i="29"/>
  <c r="AC103" i="29"/>
  <c r="AD103" i="29"/>
  <c r="AX103" i="29" s="1"/>
  <c r="AE103" i="29"/>
  <c r="AY103" i="29" s="1"/>
  <c r="AV103" i="29"/>
  <c r="BB106" i="29"/>
  <c r="BB110" i="29" s="1"/>
  <c r="AT106" i="29"/>
  <c r="BA106" i="29" s="1"/>
  <c r="AR110" i="29"/>
  <c r="BB124" i="29"/>
  <c r="BB128" i="29" s="1"/>
  <c r="AT124" i="29"/>
  <c r="BA124" i="29" s="1"/>
  <c r="AR128" i="29"/>
  <c r="R144" i="29"/>
  <c r="X137" i="29"/>
  <c r="AC147" i="29"/>
  <c r="AI147" i="29" s="1"/>
  <c r="AU147" i="29" s="1"/>
  <c r="AD147" i="29"/>
  <c r="AX147" i="29" s="1"/>
  <c r="AE147" i="29"/>
  <c r="AY147" i="29" s="1"/>
  <c r="AV147" i="29"/>
  <c r="AE161" i="29"/>
  <c r="AV161" i="29"/>
  <c r="AV164" i="29" s="1"/>
  <c r="AD161" i="29"/>
  <c r="X164" i="29"/>
  <c r="AC161" i="29"/>
  <c r="BC177" i="29"/>
  <c r="AT177" i="29"/>
  <c r="BA177" i="29" s="1"/>
  <c r="AW179" i="29"/>
  <c r="AW199" i="29" s="1"/>
  <c r="AC179" i="29"/>
  <c r="AI179" i="29" s="1"/>
  <c r="AU179" i="29" s="1"/>
  <c r="AH187" i="29"/>
  <c r="AZ181" i="29"/>
  <c r="AZ187" i="29" s="1"/>
  <c r="AH75" i="29"/>
  <c r="AZ72" i="29"/>
  <c r="AZ75" i="29" s="1"/>
  <c r="R80" i="29"/>
  <c r="AC82" i="29"/>
  <c r="AI82" i="29" s="1"/>
  <c r="AU82" i="29" s="1"/>
  <c r="AD82" i="29"/>
  <c r="AX82" i="29" s="1"/>
  <c r="AB92" i="29"/>
  <c r="AE96" i="29"/>
  <c r="AY96" i="29" s="1"/>
  <c r="AC96" i="29"/>
  <c r="AI96" i="29" s="1"/>
  <c r="AU96" i="29" s="1"/>
  <c r="AV96" i="29"/>
  <c r="BA99" i="29"/>
  <c r="BB103" i="29"/>
  <c r="AT103" i="29"/>
  <c r="BA103" i="29" s="1"/>
  <c r="AX110" i="29"/>
  <c r="AD110" i="29"/>
  <c r="AE111" i="29"/>
  <c r="AC111" i="29"/>
  <c r="AV111" i="29"/>
  <c r="AT119" i="29"/>
  <c r="BA119" i="29" s="1"/>
  <c r="BB119" i="29"/>
  <c r="BB122" i="29" s="1"/>
  <c r="AE120" i="29"/>
  <c r="AY120" i="29" s="1"/>
  <c r="AC120" i="29"/>
  <c r="AV120" i="29"/>
  <c r="AD128" i="29"/>
  <c r="AE129" i="29"/>
  <c r="AC129" i="29"/>
  <c r="AV129" i="29"/>
  <c r="BA137" i="29"/>
  <c r="AE140" i="29"/>
  <c r="AY140" i="29" s="1"/>
  <c r="AC140" i="29"/>
  <c r="AI140" i="29" s="1"/>
  <c r="AU140" i="29" s="1"/>
  <c r="AV140" i="29"/>
  <c r="AW157" i="29"/>
  <c r="AC157" i="29"/>
  <c r="AI157" i="29" s="1"/>
  <c r="AU157" i="29" s="1"/>
  <c r="AB160" i="29"/>
  <c r="X166" i="29"/>
  <c r="R171" i="29"/>
  <c r="R195" i="29"/>
  <c r="AW170" i="29"/>
  <c r="AC170" i="29"/>
  <c r="X177" i="29"/>
  <c r="R180" i="29"/>
  <c r="AC178" i="29"/>
  <c r="AI178" i="29" s="1"/>
  <c r="AU178" i="29" s="1"/>
  <c r="AV178" i="29"/>
  <c r="AD178" i="29"/>
  <c r="AX178" i="29" s="1"/>
  <c r="AR190" i="29"/>
  <c r="AT45" i="29"/>
  <c r="AH55" i="29"/>
  <c r="AD59" i="29"/>
  <c r="BC63" i="29"/>
  <c r="AC62" i="29"/>
  <c r="AV62" i="29"/>
  <c r="AV63" i="29" s="1"/>
  <c r="AT69" i="29"/>
  <c r="BA69" i="29" s="1"/>
  <c r="AT72" i="29"/>
  <c r="X76" i="29"/>
  <c r="AT78" i="29"/>
  <c r="BA78" i="29" s="1"/>
  <c r="R86" i="29"/>
  <c r="AV82" i="29"/>
  <c r="AZ199" i="29"/>
  <c r="AC85" i="29"/>
  <c r="AI85" i="29" s="1"/>
  <c r="AU85" i="29" s="1"/>
  <c r="AD85" i="29"/>
  <c r="AX85" i="29" s="1"/>
  <c r="AZ94" i="29"/>
  <c r="R98" i="29"/>
  <c r="AC100" i="29"/>
  <c r="AI100" i="29" s="1"/>
  <c r="AU100" i="29" s="1"/>
  <c r="AV100" i="29"/>
  <c r="AD100" i="29"/>
  <c r="AX100" i="29" s="1"/>
  <c r="AT101" i="29"/>
  <c r="BA101" i="29" s="1"/>
  <c r="BC108" i="29"/>
  <c r="AT108" i="29"/>
  <c r="BA108" i="29" s="1"/>
  <c r="AS110" i="29"/>
  <c r="AI113" i="29"/>
  <c r="AU113" i="29" s="1"/>
  <c r="AC118" i="29"/>
  <c r="AI118" i="29" s="1"/>
  <c r="AU118" i="29" s="1"/>
  <c r="AV118" i="29"/>
  <c r="AE118" i="29"/>
  <c r="AY118" i="29" s="1"/>
  <c r="BC126" i="29"/>
  <c r="AT126" i="29"/>
  <c r="BA126" i="29" s="1"/>
  <c r="AS128" i="29"/>
  <c r="AI131" i="29"/>
  <c r="AU131" i="29" s="1"/>
  <c r="AE143" i="29"/>
  <c r="AY143" i="29" s="1"/>
  <c r="AV143" i="29"/>
  <c r="AD143" i="29"/>
  <c r="AI145" i="29"/>
  <c r="BA161" i="29"/>
  <c r="BA164" i="29" s="1"/>
  <c r="AT164" i="29"/>
  <c r="AE167" i="29"/>
  <c r="AY167" i="29" s="1"/>
  <c r="AC167" i="29"/>
  <c r="AI167" i="29" s="1"/>
  <c r="AU167" i="29" s="1"/>
  <c r="AV167" i="29"/>
  <c r="AD167" i="29"/>
  <c r="AX167" i="29" s="1"/>
  <c r="AW185" i="29"/>
  <c r="AW187" i="29" s="1"/>
  <c r="AC185" i="29"/>
  <c r="AI185" i="29" s="1"/>
  <c r="AU185" i="29" s="1"/>
  <c r="R59" i="29"/>
  <c r="AW72" i="29"/>
  <c r="AW75" i="29" s="1"/>
  <c r="AB75" i="29"/>
  <c r="AW77" i="29"/>
  <c r="AW86" i="29"/>
  <c r="AW193" i="29"/>
  <c r="AR199" i="29"/>
  <c r="BB89" i="29"/>
  <c r="BB92" i="29" s="1"/>
  <c r="AC94" i="29"/>
  <c r="AI94" i="29" s="1"/>
  <c r="AU94" i="29" s="1"/>
  <c r="AE94" i="29"/>
  <c r="AY94" i="29" s="1"/>
  <c r="BC110" i="29"/>
  <c r="AC106" i="29"/>
  <c r="AI106" i="29" s="1"/>
  <c r="AU106" i="29" s="1"/>
  <c r="AV106" i="29"/>
  <c r="AE106" i="29"/>
  <c r="AY106" i="29" s="1"/>
  <c r="BC114" i="29"/>
  <c r="BC116" i="29" s="1"/>
  <c r="AT114" i="29"/>
  <c r="BA114" i="29" s="1"/>
  <c r="AS116" i="29"/>
  <c r="AW122" i="29"/>
  <c r="BC128" i="29"/>
  <c r="AC124" i="29"/>
  <c r="AI124" i="29" s="1"/>
  <c r="AU124" i="29" s="1"/>
  <c r="AV124" i="29"/>
  <c r="AE124" i="29"/>
  <c r="AY124" i="29" s="1"/>
  <c r="BC132" i="29"/>
  <c r="AT132" i="29"/>
  <c r="BA132" i="29" s="1"/>
  <c r="AS134" i="29"/>
  <c r="AW139" i="29"/>
  <c r="AC139" i="29"/>
  <c r="AI139" i="29" s="1"/>
  <c r="AU139" i="29" s="1"/>
  <c r="AE146" i="29"/>
  <c r="AY146" i="29" s="1"/>
  <c r="AV146" i="29"/>
  <c r="AD146" i="29"/>
  <c r="AX146" i="29" s="1"/>
  <c r="AX151" i="29" s="1"/>
  <c r="AC146" i="29"/>
  <c r="AI146" i="29" s="1"/>
  <c r="AU146" i="29" s="1"/>
  <c r="AC156" i="29"/>
  <c r="X160" i="29"/>
  <c r="AD156" i="29"/>
  <c r="AE156" i="29"/>
  <c r="AV156" i="29"/>
  <c r="AV160" i="29" s="1"/>
  <c r="BB160" i="29"/>
  <c r="AE158" i="29"/>
  <c r="AY158" i="29" s="1"/>
  <c r="AV158" i="29"/>
  <c r="AD158" i="29"/>
  <c r="AX158" i="29" s="1"/>
  <c r="AC158" i="29"/>
  <c r="AW163" i="29"/>
  <c r="AW164" i="29" s="1"/>
  <c r="AC163" i="29"/>
  <c r="AI163" i="29" s="1"/>
  <c r="AU163" i="29" s="1"/>
  <c r="AW169" i="29"/>
  <c r="AC169" i="29"/>
  <c r="AW176" i="29"/>
  <c r="AB180" i="29"/>
  <c r="AC181" i="29"/>
  <c r="AD181" i="29"/>
  <c r="AV181" i="29"/>
  <c r="AE181" i="29"/>
  <c r="T188" i="29"/>
  <c r="Z188" i="29"/>
  <c r="AB189" i="29" s="1"/>
  <c r="AF188" i="29"/>
  <c r="AH189" i="29" s="1"/>
  <c r="AL188" i="29"/>
  <c r="R192" i="29"/>
  <c r="AH192" i="29"/>
  <c r="AD47" i="29"/>
  <c r="AX47" i="29" s="1"/>
  <c r="X59" i="29"/>
  <c r="AV56" i="29"/>
  <c r="AV59" i="29" s="1"/>
  <c r="AX56" i="29"/>
  <c r="AX59" i="29" s="1"/>
  <c r="AT57" i="29"/>
  <c r="BA57" i="29" s="1"/>
  <c r="AE60" i="29"/>
  <c r="AE62" i="29"/>
  <c r="AY62" i="29" s="1"/>
  <c r="R63" i="29"/>
  <c r="X63" i="29"/>
  <c r="AS63" i="29"/>
  <c r="AC65" i="29"/>
  <c r="AI65" i="29" s="1"/>
  <c r="AU65" i="29" s="1"/>
  <c r="AV65" i="29"/>
  <c r="AE66" i="29"/>
  <c r="AY66" i="29" s="1"/>
  <c r="R71" i="29"/>
  <c r="AR75" i="29"/>
  <c r="BC86" i="29"/>
  <c r="BB82" i="29"/>
  <c r="BB84" i="29"/>
  <c r="AC89" i="29"/>
  <c r="AI89" i="29" s="1"/>
  <c r="AU89" i="29" s="1"/>
  <c r="AE90" i="29"/>
  <c r="AY90" i="29" s="1"/>
  <c r="AV90" i="29"/>
  <c r="AD90" i="29"/>
  <c r="AX90" i="29" s="1"/>
  <c r="AE93" i="29"/>
  <c r="AC93" i="29"/>
  <c r="AV93" i="29"/>
  <c r="AV95" i="29"/>
  <c r="AE95" i="29"/>
  <c r="AY95" i="29" s="1"/>
  <c r="BB96" i="29"/>
  <c r="AT96" i="29"/>
  <c r="BA96" i="29" s="1"/>
  <c r="BB99" i="29"/>
  <c r="BB104" i="29" s="1"/>
  <c r="AE105" i="29"/>
  <c r="AC105" i="29"/>
  <c r="AV105" i="29"/>
  <c r="AT113" i="29"/>
  <c r="BA113" i="29" s="1"/>
  <c r="BB113" i="29"/>
  <c r="BB116" i="29" s="1"/>
  <c r="AE114" i="29"/>
  <c r="AY114" i="29" s="1"/>
  <c r="AC114" i="29"/>
  <c r="AI114" i="29" s="1"/>
  <c r="AU114" i="29" s="1"/>
  <c r="AV114" i="29"/>
  <c r="X116" i="29"/>
  <c r="AR122" i="29"/>
  <c r="AE123" i="29"/>
  <c r="AC123" i="29"/>
  <c r="AV123" i="29"/>
  <c r="AV128" i="29" s="1"/>
  <c r="AT131" i="29"/>
  <c r="BA131" i="29" s="1"/>
  <c r="BB131" i="29"/>
  <c r="BB134" i="29" s="1"/>
  <c r="AE132" i="29"/>
  <c r="AY132" i="29" s="1"/>
  <c r="AC132" i="29"/>
  <c r="AV132" i="29"/>
  <c r="X134" i="29"/>
  <c r="BB144" i="29"/>
  <c r="AT140" i="29"/>
  <c r="BA140" i="29" s="1"/>
  <c r="BB140" i="29"/>
  <c r="AE149" i="29"/>
  <c r="AY149" i="29" s="1"/>
  <c r="AC149" i="29"/>
  <c r="AI149" i="29" s="1"/>
  <c r="AU149" i="29" s="1"/>
  <c r="AV149" i="29"/>
  <c r="AV151" i="29" s="1"/>
  <c r="AC153" i="29"/>
  <c r="AI153" i="29" s="1"/>
  <c r="AU153" i="29" s="1"/>
  <c r="AV153" i="29"/>
  <c r="AE153" i="29"/>
  <c r="AY153" i="29" s="1"/>
  <c r="AD153" i="29"/>
  <c r="AX153" i="29" s="1"/>
  <c r="AH164" i="29"/>
  <c r="AZ161" i="29"/>
  <c r="AZ164" i="29" s="1"/>
  <c r="BB167" i="29"/>
  <c r="AT167" i="29"/>
  <c r="BA167" i="29" s="1"/>
  <c r="AC168" i="29"/>
  <c r="AE168" i="29"/>
  <c r="AY168" i="29" s="1"/>
  <c r="AV168" i="29"/>
  <c r="AD168" i="29"/>
  <c r="AX168" i="29" s="1"/>
  <c r="AE186" i="29"/>
  <c r="AY186" i="29" s="1"/>
  <c r="AV186" i="29"/>
  <c r="AD186" i="29"/>
  <c r="AX186" i="29" s="1"/>
  <c r="AC186" i="29"/>
  <c r="AI186" i="29" s="1"/>
  <c r="AU186" i="29" s="1"/>
  <c r="AE151" i="29"/>
  <c r="AY145" i="29"/>
  <c r="AY151" i="29" s="1"/>
  <c r="BB147" i="29"/>
  <c r="AR151" i="29"/>
  <c r="AR155" i="29"/>
  <c r="BB153" i="29"/>
  <c r="BB155" i="29" s="1"/>
  <c r="BA156" i="29"/>
  <c r="BC157" i="29"/>
  <c r="BC160" i="29" s="1"/>
  <c r="AT157" i="29"/>
  <c r="BA157" i="29" s="1"/>
  <c r="AC162" i="29"/>
  <c r="AV162" i="29"/>
  <c r="AW165" i="29"/>
  <c r="AB171" i="29"/>
  <c r="AC175" i="29"/>
  <c r="AV175" i="29"/>
  <c r="AD175" i="29"/>
  <c r="AC184" i="29"/>
  <c r="AI184" i="29" s="1"/>
  <c r="AU184" i="29" s="1"/>
  <c r="AD184" i="29"/>
  <c r="AX184" i="29" s="1"/>
  <c r="AV184" i="29"/>
  <c r="AN191" i="29"/>
  <c r="AS190" i="29" s="1"/>
  <c r="AH193" i="29"/>
  <c r="AB199" i="29"/>
  <c r="AS199" i="29"/>
  <c r="AH86" i="29"/>
  <c r="AB104" i="29"/>
  <c r="R200" i="29"/>
  <c r="R136" i="29"/>
  <c r="AW136" i="29"/>
  <c r="BB141" i="29"/>
  <c r="AH151" i="29"/>
  <c r="AZ145" i="29"/>
  <c r="AZ151" i="29" s="1"/>
  <c r="BB150" i="29"/>
  <c r="BB151" i="29" s="1"/>
  <c r="AS151" i="29"/>
  <c r="R155" i="29"/>
  <c r="X152" i="29"/>
  <c r="AS155" i="29"/>
  <c r="BC152" i="29"/>
  <c r="BC155" i="29" s="1"/>
  <c r="AT152" i="29"/>
  <c r="R160" i="29"/>
  <c r="AC159" i="29"/>
  <c r="AI159" i="29" s="1"/>
  <c r="AU159" i="29" s="1"/>
  <c r="AV159" i="29"/>
  <c r="AD159" i="29"/>
  <c r="AX159" i="29" s="1"/>
  <c r="BC164" i="29"/>
  <c r="AS164" i="29"/>
  <c r="AX165" i="29"/>
  <c r="AE173" i="29"/>
  <c r="AC173" i="29"/>
  <c r="AI173" i="29" s="1"/>
  <c r="AU173" i="29" s="1"/>
  <c r="AD173" i="29"/>
  <c r="AX173" i="29" s="1"/>
  <c r="AX174" i="29" s="1"/>
  <c r="AS187" i="29"/>
  <c r="AE183" i="29"/>
  <c r="AY183" i="29" s="1"/>
  <c r="AC183" i="29"/>
  <c r="AI183" i="29" s="1"/>
  <c r="AU183" i="29" s="1"/>
  <c r="AV183" i="29"/>
  <c r="BC104" i="29"/>
  <c r="AC109" i="29"/>
  <c r="AI109" i="29" s="1"/>
  <c r="AU109" i="29" s="1"/>
  <c r="AV109" i="29"/>
  <c r="AC115" i="29"/>
  <c r="AI115" i="29" s="1"/>
  <c r="AU115" i="29" s="1"/>
  <c r="AV115" i="29"/>
  <c r="AC121" i="29"/>
  <c r="AI121" i="29" s="1"/>
  <c r="AU121" i="29" s="1"/>
  <c r="AV121" i="29"/>
  <c r="AC127" i="29"/>
  <c r="AI127" i="29" s="1"/>
  <c r="AU127" i="29" s="1"/>
  <c r="AV127" i="29"/>
  <c r="AC133" i="29"/>
  <c r="AI133" i="29" s="1"/>
  <c r="AU133" i="29" s="1"/>
  <c r="AV133" i="29"/>
  <c r="AS200" i="29"/>
  <c r="AS136" i="29"/>
  <c r="BB200" i="29"/>
  <c r="BB136" i="29"/>
  <c r="AC141" i="29"/>
  <c r="AD141" i="29"/>
  <c r="AX141" i="29" s="1"/>
  <c r="BC151" i="29"/>
  <c r="AC150" i="29"/>
  <c r="AI150" i="29" s="1"/>
  <c r="AU150" i="29" s="1"/>
  <c r="AD150" i="29"/>
  <c r="AX150" i="29" s="1"/>
  <c r="AW160" i="29"/>
  <c r="AS160" i="29"/>
  <c r="AE162" i="29"/>
  <c r="AY162" i="29" s="1"/>
  <c r="AB193" i="29"/>
  <c r="AS193" i="29"/>
  <c r="AZ193" i="29"/>
  <c r="AH199" i="29"/>
  <c r="AH104" i="29"/>
  <c r="AW104" i="29"/>
  <c r="AT105" i="29"/>
  <c r="AT111" i="29"/>
  <c r="AT117" i="29"/>
  <c r="AT123" i="29"/>
  <c r="AT129" i="29"/>
  <c r="AT135" i="29"/>
  <c r="BC135" i="29"/>
  <c r="AW144" i="29"/>
  <c r="AC138" i="29"/>
  <c r="AI138" i="29" s="1"/>
  <c r="AU138" i="29" s="1"/>
  <c r="AD138" i="29"/>
  <c r="AX138" i="29" s="1"/>
  <c r="AV141" i="29"/>
  <c r="AW151" i="29"/>
  <c r="AT145" i="29"/>
  <c r="AC148" i="29"/>
  <c r="AI148" i="29" s="1"/>
  <c r="AU148" i="29" s="1"/>
  <c r="AT148" i="29"/>
  <c r="BA148" i="29" s="1"/>
  <c r="AV150" i="29"/>
  <c r="R164" i="29"/>
  <c r="AR195" i="29"/>
  <c r="AR171" i="29"/>
  <c r="BB166" i="29"/>
  <c r="BB195" i="29" s="1"/>
  <c r="AT166" i="29"/>
  <c r="AT171" i="29" s="1"/>
  <c r="AH171" i="29"/>
  <c r="AH174" i="29"/>
  <c r="AZ172" i="29"/>
  <c r="AZ174" i="29" s="1"/>
  <c r="BA174" i="29"/>
  <c r="AT175" i="29"/>
  <c r="BB175" i="29"/>
  <c r="BB178" i="29"/>
  <c r="AT178" i="29"/>
  <c r="BA178" i="29" s="1"/>
  <c r="BC182" i="29"/>
  <c r="AT182" i="29"/>
  <c r="BA182" i="29" s="1"/>
  <c r="BC185" i="29"/>
  <c r="AT185" i="29"/>
  <c r="BA185" i="29" s="1"/>
  <c r="R151" i="29"/>
  <c r="X151" i="29"/>
  <c r="AY165" i="29"/>
  <c r="AH195" i="29"/>
  <c r="AZ166" i="29"/>
  <c r="AZ195" i="29" s="1"/>
  <c r="AV179" i="29"/>
  <c r="AE179" i="29"/>
  <c r="AY179" i="29" s="1"/>
  <c r="AT187" i="29"/>
  <c r="BA181" i="29"/>
  <c r="BA187" i="29" s="1"/>
  <c r="BB181" i="29"/>
  <c r="BB187" i="29" s="1"/>
  <c r="U191" i="29"/>
  <c r="AI172" i="29"/>
  <c r="AD182" i="29"/>
  <c r="AX182" i="29" s="1"/>
  <c r="AV182" i="29"/>
  <c r="AC182" i="29"/>
  <c r="AI182" i="29" s="1"/>
  <c r="AU182" i="29" s="1"/>
  <c r="AM191" i="29"/>
  <c r="AS144" i="29"/>
  <c r="AE163" i="29"/>
  <c r="AY163" i="29" s="1"/>
  <c r="AC165" i="29"/>
  <c r="AV169" i="29"/>
  <c r="AE169" i="29"/>
  <c r="AY169" i="29" s="1"/>
  <c r="AD170" i="29"/>
  <c r="AX170" i="29" s="1"/>
  <c r="BB173" i="29"/>
  <c r="BB174" i="29" s="1"/>
  <c r="AT173" i="29"/>
  <c r="BA173" i="29" s="1"/>
  <c r="BC180" i="29"/>
  <c r="AT176" i="29"/>
  <c r="BA176" i="29" s="1"/>
  <c r="BB176" i="29"/>
  <c r="AD179" i="29"/>
  <c r="AX179" i="29" s="1"/>
  <c r="AB187" i="29"/>
  <c r="AT183" i="29"/>
  <c r="BA183" i="29" s="1"/>
  <c r="K191" i="29"/>
  <c r="Q191" i="29"/>
  <c r="O190" i="29" s="1"/>
  <c r="AG191" i="29"/>
  <c r="AH190" i="29" s="1"/>
  <c r="J191" i="29"/>
  <c r="AW195" i="29"/>
  <c r="AS174" i="29"/>
  <c r="BC172" i="29"/>
  <c r="BC174" i="29" s="1"/>
  <c r="AB174" i="29"/>
  <c r="AZ180" i="29"/>
  <c r="AC176" i="29"/>
  <c r="AI176" i="29" s="1"/>
  <c r="AU176" i="29" s="1"/>
  <c r="BC176" i="29"/>
  <c r="BC195" i="29" s="1"/>
  <c r="AS180" i="29"/>
  <c r="AA191" i="29"/>
  <c r="AL191" i="29"/>
  <c r="AS195" i="29"/>
  <c r="AV216" i="32" l="1"/>
  <c r="AC202" i="32"/>
  <c r="AE195" i="32"/>
  <c r="AY195" i="32" s="1"/>
  <c r="AC16" i="32"/>
  <c r="AE216" i="32"/>
  <c r="AY216" i="32" s="1"/>
  <c r="X206" i="32"/>
  <c r="AV69" i="32"/>
  <c r="AD229" i="32"/>
  <c r="AX229" i="32" s="1"/>
  <c r="X235" i="32"/>
  <c r="AV195" i="32"/>
  <c r="AD48" i="32"/>
  <c r="AX48" i="32" s="1"/>
  <c r="X65" i="32"/>
  <c r="X298" i="32"/>
  <c r="X284" i="32"/>
  <c r="AE268" i="32"/>
  <c r="AY268" i="32" s="1"/>
  <c r="BB284" i="32"/>
  <c r="BC110" i="32"/>
  <c r="AD92" i="32"/>
  <c r="AX92" i="32" s="1"/>
  <c r="AX97" i="32" s="1"/>
  <c r="X97" i="32"/>
  <c r="X52" i="32"/>
  <c r="X270" i="32"/>
  <c r="AV73" i="32"/>
  <c r="AV78" i="32" s="1"/>
  <c r="X78" i="32"/>
  <c r="AV268" i="32"/>
  <c r="AE20" i="32"/>
  <c r="AY20" i="32" s="1"/>
  <c r="AE73" i="32"/>
  <c r="AD43" i="32"/>
  <c r="AE48" i="32"/>
  <c r="AY48" i="32" s="1"/>
  <c r="AE16" i="32"/>
  <c r="AY16" i="32" s="1"/>
  <c r="AE148" i="32"/>
  <c r="AY148" i="32" s="1"/>
  <c r="AY151" i="32" s="1"/>
  <c r="X151" i="32"/>
  <c r="AE190" i="32"/>
  <c r="AY190" i="32" s="1"/>
  <c r="X196" i="32"/>
  <c r="X277" i="32"/>
  <c r="X39" i="32"/>
  <c r="AI250" i="32"/>
  <c r="AU250" i="32" s="1"/>
  <c r="AC268" i="32"/>
  <c r="AD69" i="32"/>
  <c r="AX69" i="32" s="1"/>
  <c r="AC12" i="32"/>
  <c r="AD73" i="32"/>
  <c r="AC20" i="32"/>
  <c r="O303" i="32"/>
  <c r="AV16" i="32"/>
  <c r="AV273" i="32"/>
  <c r="AE273" i="32"/>
  <c r="AY273" i="32" s="1"/>
  <c r="AE163" i="32"/>
  <c r="AY163" i="32" s="1"/>
  <c r="AE243" i="32"/>
  <c r="AY243" i="32" s="1"/>
  <c r="AE254" i="32"/>
  <c r="AY254" i="32" s="1"/>
  <c r="X256" i="32"/>
  <c r="AE32" i="32"/>
  <c r="AY32" i="32" s="1"/>
  <c r="AY35" i="32" s="1"/>
  <c r="X35" i="32"/>
  <c r="AD271" i="32"/>
  <c r="AX271" i="32" s="1"/>
  <c r="X172" i="32"/>
  <c r="X31" i="32"/>
  <c r="X200" i="32"/>
  <c r="AE132" i="32"/>
  <c r="AY132" i="32" s="1"/>
  <c r="X138" i="32"/>
  <c r="X22" i="32"/>
  <c r="AH303" i="32"/>
  <c r="AD202" i="32"/>
  <c r="AX202" i="32" s="1"/>
  <c r="AC216" i="32"/>
  <c r="AV132" i="32"/>
  <c r="BA78" i="32"/>
  <c r="AC69" i="32"/>
  <c r="AD20" i="32"/>
  <c r="AX20" i="32" s="1"/>
  <c r="AW13" i="32"/>
  <c r="AE69" i="32"/>
  <c r="AY69" i="32" s="1"/>
  <c r="AE79" i="32"/>
  <c r="AY79" i="32" s="1"/>
  <c r="X85" i="32"/>
  <c r="AV23" i="32"/>
  <c r="X27" i="32"/>
  <c r="X91" i="32"/>
  <c r="X17" i="32"/>
  <c r="X228" i="32"/>
  <c r="AC76" i="32"/>
  <c r="AI76" i="32" s="1"/>
  <c r="AU76" i="32" s="1"/>
  <c r="AV87" i="32"/>
  <c r="BB114" i="32"/>
  <c r="AV31" i="32"/>
  <c r="AI95" i="32"/>
  <c r="AU95" i="32" s="1"/>
  <c r="AI184" i="32"/>
  <c r="AU184" i="32" s="1"/>
  <c r="AD194" i="32"/>
  <c r="AX194" i="32" s="1"/>
  <c r="AX196" i="32" s="1"/>
  <c r="AT307" i="32"/>
  <c r="AI32" i="32"/>
  <c r="BB65" i="32"/>
  <c r="AI279" i="32"/>
  <c r="AU279" i="32" s="1"/>
  <c r="AI205" i="32"/>
  <c r="AU205" i="32" s="1"/>
  <c r="AI67" i="32"/>
  <c r="AU67" i="32" s="1"/>
  <c r="AI73" i="32"/>
  <c r="AI82" i="32"/>
  <c r="AU82" i="32" s="1"/>
  <c r="AI251" i="32"/>
  <c r="AU251" i="32" s="1"/>
  <c r="AD235" i="32"/>
  <c r="AV151" i="32"/>
  <c r="AI128" i="32"/>
  <c r="AU128" i="32" s="1"/>
  <c r="AX35" i="32"/>
  <c r="AX43" i="32"/>
  <c r="AI60" i="32"/>
  <c r="AU60" i="32" s="1"/>
  <c r="AV65" i="32"/>
  <c r="AI101" i="32"/>
  <c r="AU101" i="32" s="1"/>
  <c r="AI261" i="32"/>
  <c r="AU261" i="32" s="1"/>
  <c r="AI210" i="32"/>
  <c r="AU210" i="32" s="1"/>
  <c r="AV35" i="32"/>
  <c r="AD45" i="32"/>
  <c r="BB185" i="32"/>
  <c r="AV236" i="32"/>
  <c r="AV189" i="32"/>
  <c r="BB138" i="32"/>
  <c r="BA43" i="32"/>
  <c r="AE35" i="32"/>
  <c r="AS303" i="32"/>
  <c r="BB196" i="32"/>
  <c r="AI265" i="32"/>
  <c r="AU265" i="32" s="1"/>
  <c r="AE236" i="32"/>
  <c r="AI236" i="32" s="1"/>
  <c r="AT43" i="32"/>
  <c r="BB270" i="32"/>
  <c r="BC270" i="32"/>
  <c r="AI221" i="32"/>
  <c r="AU221" i="32" s="1"/>
  <c r="AI252" i="32"/>
  <c r="AU252" i="32" s="1"/>
  <c r="AI233" i="32"/>
  <c r="AU233" i="32" s="1"/>
  <c r="BA222" i="32"/>
  <c r="AI178" i="32"/>
  <c r="AU178" i="32" s="1"/>
  <c r="BC145" i="32"/>
  <c r="AI167" i="32"/>
  <c r="AU167" i="32" s="1"/>
  <c r="AE109" i="32"/>
  <c r="AE85" i="32"/>
  <c r="AI42" i="32"/>
  <c r="AU42" i="32" s="1"/>
  <c r="AI89" i="32"/>
  <c r="AU89" i="32" s="1"/>
  <c r="AI297" i="32"/>
  <c r="AU297" i="32" s="1"/>
  <c r="AI29" i="32"/>
  <c r="AU29" i="32" s="1"/>
  <c r="AX242" i="32"/>
  <c r="AI226" i="32"/>
  <c r="AU226" i="32" s="1"/>
  <c r="BC185" i="32"/>
  <c r="AV109" i="32"/>
  <c r="AV110" i="32" s="1"/>
  <c r="AD109" i="32"/>
  <c r="AI120" i="32"/>
  <c r="AU120" i="32" s="1"/>
  <c r="AI193" i="32"/>
  <c r="AU193" i="32" s="1"/>
  <c r="BC298" i="32"/>
  <c r="AI141" i="32"/>
  <c r="AU141" i="32" s="1"/>
  <c r="BA310" i="32"/>
  <c r="BB277" i="32"/>
  <c r="AI137" i="32"/>
  <c r="AU137" i="32" s="1"/>
  <c r="AV173" i="32"/>
  <c r="AD12" i="32"/>
  <c r="AD13" i="32" s="1"/>
  <c r="AI80" i="32"/>
  <c r="AU80" i="32" s="1"/>
  <c r="AT78" i="32"/>
  <c r="AI69" i="32"/>
  <c r="AU69" i="32" s="1"/>
  <c r="I303" i="32"/>
  <c r="BB228" i="32"/>
  <c r="AY196" i="32"/>
  <c r="AX223" i="32"/>
  <c r="AX224" i="32" s="1"/>
  <c r="AI93" i="32"/>
  <c r="AU93" i="32" s="1"/>
  <c r="AI70" i="32"/>
  <c r="AU70" i="32" s="1"/>
  <c r="AW31" i="32"/>
  <c r="AI192" i="32"/>
  <c r="AU192" i="32" s="1"/>
  <c r="AC173" i="32"/>
  <c r="BA58" i="32"/>
  <c r="BB222" i="32"/>
  <c r="AE173" i="32"/>
  <c r="AI149" i="32"/>
  <c r="AU149" i="32" s="1"/>
  <c r="AX151" i="32"/>
  <c r="AE138" i="32"/>
  <c r="AI64" i="32"/>
  <c r="AU64" i="32" s="1"/>
  <c r="AI54" i="32"/>
  <c r="AU54" i="32" s="1"/>
  <c r="BA151" i="32"/>
  <c r="AI274" i="32"/>
  <c r="AU274" i="32" s="1"/>
  <c r="AV277" i="32"/>
  <c r="AI280" i="32"/>
  <c r="AU280" i="32" s="1"/>
  <c r="BC52" i="32"/>
  <c r="AD35" i="32"/>
  <c r="AV12" i="32"/>
  <c r="AV13" i="32" s="1"/>
  <c r="AV43" i="32"/>
  <c r="BB72" i="32"/>
  <c r="AI107" i="32"/>
  <c r="AU107" i="32" s="1"/>
  <c r="AI220" i="32"/>
  <c r="AU220" i="32" s="1"/>
  <c r="AD299" i="32"/>
  <c r="AE299" i="32"/>
  <c r="AC299" i="32"/>
  <c r="AV299" i="32"/>
  <c r="AV300" i="32" s="1"/>
  <c r="AI275" i="32"/>
  <c r="AU275" i="32" s="1"/>
  <c r="AC257" i="32"/>
  <c r="AC263" i="32" s="1"/>
  <c r="AI294" i="32"/>
  <c r="AU294" i="32" s="1"/>
  <c r="AT222" i="32"/>
  <c r="AI259" i="32"/>
  <c r="AU259" i="32" s="1"/>
  <c r="AI231" i="32"/>
  <c r="AU231" i="32" s="1"/>
  <c r="AY206" i="32"/>
  <c r="AI199" i="32"/>
  <c r="AU199" i="32" s="1"/>
  <c r="AI174" i="32"/>
  <c r="AU174" i="32" s="1"/>
  <c r="BA145" i="32"/>
  <c r="AI176" i="32"/>
  <c r="AU176" i="32" s="1"/>
  <c r="AS301" i="32"/>
  <c r="AL18" i="47" s="1"/>
  <c r="AL23" i="47" s="1"/>
  <c r="AV58" i="32"/>
  <c r="AZ108" i="32"/>
  <c r="BB91" i="32"/>
  <c r="BB52" i="32"/>
  <c r="AI81" i="32"/>
  <c r="AU81" i="32" s="1"/>
  <c r="AI96" i="32"/>
  <c r="AU96" i="32" s="1"/>
  <c r="AW311" i="32"/>
  <c r="AP33" i="47" s="1"/>
  <c r="AI34" i="32"/>
  <c r="AU34" i="32" s="1"/>
  <c r="AI51" i="32"/>
  <c r="AU51" i="32" s="1"/>
  <c r="AI134" i="32"/>
  <c r="AU134" i="32" s="1"/>
  <c r="AI16" i="32"/>
  <c r="AU16" i="32" s="1"/>
  <c r="AD257" i="32"/>
  <c r="AD263" i="32" s="1"/>
  <c r="BB253" i="32"/>
  <c r="AI244" i="32"/>
  <c r="AU244" i="32" s="1"/>
  <c r="AI183" i="32"/>
  <c r="AU183" i="32" s="1"/>
  <c r="AD151" i="32"/>
  <c r="AI124" i="32"/>
  <c r="AU124" i="32" s="1"/>
  <c r="AI88" i="32"/>
  <c r="AU88" i="32" s="1"/>
  <c r="AI15" i="32"/>
  <c r="AU15" i="32" s="1"/>
  <c r="AV24" i="32"/>
  <c r="AV27" i="32" s="1"/>
  <c r="AI50" i="32"/>
  <c r="AU50" i="32" s="1"/>
  <c r="AE257" i="32"/>
  <c r="AY257" i="32" s="1"/>
  <c r="AY263" i="32" s="1"/>
  <c r="BB291" i="32"/>
  <c r="AI260" i="32"/>
  <c r="AU260" i="32" s="1"/>
  <c r="AI240" i="32"/>
  <c r="AU240" i="32" s="1"/>
  <c r="AI214" i="32"/>
  <c r="AU214" i="32" s="1"/>
  <c r="AI213" i="32"/>
  <c r="AU213" i="32" s="1"/>
  <c r="AI203" i="32"/>
  <c r="AU203" i="32" s="1"/>
  <c r="AI150" i="32"/>
  <c r="AU150" i="32" s="1"/>
  <c r="AY138" i="32"/>
  <c r="AI135" i="32"/>
  <c r="AU135" i="32" s="1"/>
  <c r="AI143" i="32"/>
  <c r="AU143" i="32" s="1"/>
  <c r="AI112" i="32"/>
  <c r="AU112" i="32" s="1"/>
  <c r="BA72" i="32"/>
  <c r="AI26" i="32"/>
  <c r="AU26" i="32" s="1"/>
  <c r="AR301" i="32"/>
  <c r="AK18" i="47" s="1"/>
  <c r="AE24" i="32"/>
  <c r="AY24" i="32" s="1"/>
  <c r="AT58" i="32"/>
  <c r="BA12" i="32"/>
  <c r="BA13" i="32" s="1"/>
  <c r="AT13" i="32"/>
  <c r="AI33" i="32"/>
  <c r="AU33" i="32" s="1"/>
  <c r="AX298" i="32"/>
  <c r="AV257" i="32"/>
  <c r="AV263" i="32" s="1"/>
  <c r="AI266" i="32"/>
  <c r="AU266" i="32" s="1"/>
  <c r="AV235" i="32"/>
  <c r="AI295" i="32"/>
  <c r="AU295" i="32" s="1"/>
  <c r="AI276" i="32"/>
  <c r="AU276" i="32" s="1"/>
  <c r="AI232" i="32"/>
  <c r="AU232" i="32" s="1"/>
  <c r="AI238" i="32"/>
  <c r="AU238" i="32" s="1"/>
  <c r="AV206" i="32"/>
  <c r="AI212" i="32"/>
  <c r="AU212" i="32" s="1"/>
  <c r="AI155" i="32"/>
  <c r="AU155" i="32" s="1"/>
  <c r="AI133" i="32"/>
  <c r="AU133" i="32" s="1"/>
  <c r="AI140" i="32"/>
  <c r="AU140" i="32" s="1"/>
  <c r="AT72" i="32"/>
  <c r="BB305" i="32"/>
  <c r="AI87" i="32"/>
  <c r="AU87" i="32" s="1"/>
  <c r="AY85" i="32"/>
  <c r="BC13" i="32"/>
  <c r="X314" i="32"/>
  <c r="AE12" i="32"/>
  <c r="AE314" i="32" s="1"/>
  <c r="AI113" i="32"/>
  <c r="AU113" i="32" s="1"/>
  <c r="AI144" i="32"/>
  <c r="AU144" i="32" s="1"/>
  <c r="AI106" i="32"/>
  <c r="AU106" i="32" s="1"/>
  <c r="AI47" i="32"/>
  <c r="AU47" i="32" s="1"/>
  <c r="X305" i="32"/>
  <c r="AB301" i="32"/>
  <c r="U18" i="47" s="1"/>
  <c r="U23" i="47" s="1"/>
  <c r="AZ85" i="32"/>
  <c r="AI283" i="32"/>
  <c r="AU283" i="32" s="1"/>
  <c r="AI258" i="32"/>
  <c r="AU258" i="32" s="1"/>
  <c r="BB298" i="32"/>
  <c r="AI286" i="32"/>
  <c r="AU286" i="32" s="1"/>
  <c r="BB200" i="32"/>
  <c r="AZ172" i="32"/>
  <c r="AY145" i="32"/>
  <c r="AV145" i="32"/>
  <c r="AI55" i="32"/>
  <c r="AU55" i="32" s="1"/>
  <c r="AC24" i="32"/>
  <c r="BA91" i="32"/>
  <c r="AH302" i="32"/>
  <c r="Y18" i="47"/>
  <c r="Y23" i="47" s="1"/>
  <c r="AI77" i="32"/>
  <c r="AU77" i="32" s="1"/>
  <c r="AI21" i="32"/>
  <c r="AU21" i="32" s="1"/>
  <c r="AI160" i="32"/>
  <c r="AU160" i="32" s="1"/>
  <c r="AE28" i="32"/>
  <c r="AC28" i="32"/>
  <c r="AC31" i="32" s="1"/>
  <c r="AD28" i="32"/>
  <c r="AI119" i="32"/>
  <c r="AU119" i="32" s="1"/>
  <c r="AI30" i="32"/>
  <c r="AU30" i="32" s="1"/>
  <c r="AR303" i="32"/>
  <c r="AT270" i="32"/>
  <c r="BA264" i="32"/>
  <c r="BA270" i="32" s="1"/>
  <c r="BB256" i="32"/>
  <c r="AY271" i="32"/>
  <c r="AY277" i="32" s="1"/>
  <c r="AI282" i="32"/>
  <c r="AU282" i="32" s="1"/>
  <c r="AD277" i="32"/>
  <c r="AX230" i="32"/>
  <c r="AX235" i="32" s="1"/>
  <c r="AI230" i="32"/>
  <c r="AU230" i="32" s="1"/>
  <c r="AI290" i="32"/>
  <c r="AU290" i="32" s="1"/>
  <c r="AC228" i="32"/>
  <c r="AI225" i="32"/>
  <c r="AI267" i="32"/>
  <c r="AU267" i="32" s="1"/>
  <c r="BB242" i="32"/>
  <c r="AY222" i="32"/>
  <c r="AI262" i="32"/>
  <c r="AU262" i="32" s="1"/>
  <c r="AE222" i="32"/>
  <c r="AD255" i="32"/>
  <c r="AX255" i="32" s="1"/>
  <c r="AV255" i="32"/>
  <c r="AV256" i="32" s="1"/>
  <c r="AE255" i="32"/>
  <c r="AC255" i="32"/>
  <c r="AI217" i="32"/>
  <c r="AU217" i="32" s="1"/>
  <c r="BA206" i="32"/>
  <c r="AI241" i="32"/>
  <c r="AU241" i="32" s="1"/>
  <c r="AI208" i="32"/>
  <c r="AU208" i="32" s="1"/>
  <c r="AY246" i="32"/>
  <c r="AI194" i="32"/>
  <c r="AU194" i="32" s="1"/>
  <c r="AX173" i="32"/>
  <c r="AX179" i="32" s="1"/>
  <c r="AD179" i="32"/>
  <c r="AT145" i="32"/>
  <c r="AD189" i="32"/>
  <c r="AX186" i="32"/>
  <c r="AX189" i="32" s="1"/>
  <c r="AI177" i="32"/>
  <c r="AU177" i="32" s="1"/>
  <c r="AI171" i="32"/>
  <c r="AU171" i="32" s="1"/>
  <c r="AE145" i="32"/>
  <c r="BB165" i="32"/>
  <c r="AE152" i="32"/>
  <c r="AC152" i="32"/>
  <c r="AD152" i="32"/>
  <c r="AV152" i="32"/>
  <c r="AV158" i="32" s="1"/>
  <c r="AI162" i="32"/>
  <c r="AU162" i="32" s="1"/>
  <c r="AT151" i="32"/>
  <c r="AC180" i="32"/>
  <c r="AE180" i="32"/>
  <c r="AV180" i="32"/>
  <c r="AV185" i="32" s="1"/>
  <c r="AD180" i="32"/>
  <c r="AT147" i="32"/>
  <c r="BA146" i="32"/>
  <c r="BA147" i="32" s="1"/>
  <c r="AC130" i="32"/>
  <c r="AC131" i="32" s="1"/>
  <c r="AE130" i="32"/>
  <c r="AY130" i="32" s="1"/>
  <c r="AY312" i="32" s="1"/>
  <c r="AD130" i="32"/>
  <c r="AX130" i="32" s="1"/>
  <c r="AX312" i="32" s="1"/>
  <c r="AV130" i="32"/>
  <c r="AV131" i="32" s="1"/>
  <c r="AT310" i="32"/>
  <c r="BB313" i="32"/>
  <c r="BB110" i="32"/>
  <c r="BC308" i="32"/>
  <c r="AV30" i="47" s="1"/>
  <c r="AI104" i="32"/>
  <c r="AU104" i="32" s="1"/>
  <c r="AI164" i="32"/>
  <c r="AU164" i="32" s="1"/>
  <c r="AI123" i="32"/>
  <c r="AU123" i="32" s="1"/>
  <c r="AW313" i="32"/>
  <c r="AP35" i="47" s="1"/>
  <c r="AW110" i="32"/>
  <c r="AI75" i="32"/>
  <c r="AU75" i="32" s="1"/>
  <c r="AY59" i="32"/>
  <c r="AY65" i="32" s="1"/>
  <c r="AE65" i="32"/>
  <c r="BC306" i="32"/>
  <c r="AV28" i="47" s="1"/>
  <c r="AI23" i="32"/>
  <c r="BC305" i="32"/>
  <c r="AV27" i="47" s="1"/>
  <c r="AV114" i="32"/>
  <c r="AC45" i="32"/>
  <c r="AI44" i="32"/>
  <c r="AT311" i="32"/>
  <c r="BA16" i="32"/>
  <c r="AH301" i="32"/>
  <c r="AA18" i="47" s="1"/>
  <c r="AA23" i="47" s="1"/>
  <c r="AI92" i="32"/>
  <c r="AC97" i="32"/>
  <c r="BB312" i="32"/>
  <c r="AT314" i="32"/>
  <c r="AD97" i="32"/>
  <c r="BA92" i="32"/>
  <c r="BA97" i="32" s="1"/>
  <c r="AT97" i="32"/>
  <c r="X312" i="32"/>
  <c r="AY23" i="32"/>
  <c r="X311" i="32"/>
  <c r="AS302" i="32"/>
  <c r="AC66" i="32"/>
  <c r="AD66" i="32"/>
  <c r="AV66" i="32"/>
  <c r="AV72" i="32" s="1"/>
  <c r="AE66" i="32"/>
  <c r="AY44" i="32"/>
  <c r="AY45" i="32" s="1"/>
  <c r="AE45" i="32"/>
  <c r="AY40" i="32"/>
  <c r="AY43" i="32" s="1"/>
  <c r="AE43" i="32"/>
  <c r="AX23" i="32"/>
  <c r="AX27" i="32" s="1"/>
  <c r="AD27" i="32"/>
  <c r="AI40" i="32"/>
  <c r="AV22" i="32"/>
  <c r="AI68" i="32"/>
  <c r="AU68" i="32" s="1"/>
  <c r="AI36" i="32"/>
  <c r="AC39" i="32"/>
  <c r="BA31" i="32"/>
  <c r="AI271" i="32"/>
  <c r="AC277" i="32"/>
  <c r="AV242" i="32"/>
  <c r="AT263" i="32"/>
  <c r="BA257" i="32"/>
  <c r="BA263" i="32" s="1"/>
  <c r="AD247" i="32"/>
  <c r="AV247" i="32"/>
  <c r="AV253" i="32" s="1"/>
  <c r="AE247" i="32"/>
  <c r="AC247" i="32"/>
  <c r="AX243" i="32"/>
  <c r="AX246" i="32" s="1"/>
  <c r="AD246" i="32"/>
  <c r="AT246" i="32"/>
  <c r="BA243" i="32"/>
  <c r="BA246" i="32" s="1"/>
  <c r="AT298" i="32"/>
  <c r="BA293" i="32"/>
  <c r="BA298" i="32" s="1"/>
  <c r="AD284" i="32"/>
  <c r="AX278" i="32"/>
  <c r="AX284" i="32" s="1"/>
  <c r="AI201" i="32"/>
  <c r="AC206" i="32"/>
  <c r="AC235" i="32"/>
  <c r="AI229" i="32"/>
  <c r="AC224" i="32"/>
  <c r="AI223" i="32"/>
  <c r="AI190" i="32"/>
  <c r="AC196" i="32"/>
  <c r="AT196" i="32"/>
  <c r="BA190" i="32"/>
  <c r="BA196" i="32" s="1"/>
  <c r="AE246" i="32"/>
  <c r="AV166" i="32"/>
  <c r="AV172" i="32" s="1"/>
  <c r="AE166" i="32"/>
  <c r="AD166" i="32"/>
  <c r="AC166" i="32"/>
  <c r="BA132" i="32"/>
  <c r="BA138" i="32" s="1"/>
  <c r="AT138" i="32"/>
  <c r="BA186" i="32"/>
  <c r="BA189" i="32" s="1"/>
  <c r="AT189" i="32"/>
  <c r="AC159" i="32"/>
  <c r="AV159" i="32"/>
  <c r="AV165" i="32" s="1"/>
  <c r="AE159" i="32"/>
  <c r="AD159" i="32"/>
  <c r="BA173" i="32"/>
  <c r="BA179" i="32" s="1"/>
  <c r="AT179" i="32"/>
  <c r="AI139" i="32"/>
  <c r="AC145" i="32"/>
  <c r="AX126" i="32"/>
  <c r="AT308" i="32"/>
  <c r="BA116" i="32"/>
  <c r="AE110" i="32"/>
  <c r="AY109" i="32"/>
  <c r="AT313" i="32"/>
  <c r="AT110" i="32"/>
  <c r="BA109" i="32"/>
  <c r="AZ313" i="32"/>
  <c r="AS35" i="47" s="1"/>
  <c r="AX115" i="32"/>
  <c r="AE114" i="32"/>
  <c r="AY111" i="32"/>
  <c r="AY114" i="32" s="1"/>
  <c r="AE58" i="32"/>
  <c r="AY53" i="32"/>
  <c r="BC108" i="32"/>
  <c r="AY92" i="32"/>
  <c r="AY97" i="32" s="1"/>
  <c r="AE97" i="32"/>
  <c r="BC121" i="32"/>
  <c r="AX79" i="32"/>
  <c r="AX85" i="32" s="1"/>
  <c r="AD85" i="32"/>
  <c r="AD314" i="32"/>
  <c r="AX12" i="32"/>
  <c r="AV85" i="32"/>
  <c r="BA59" i="32"/>
  <c r="BA65" i="32" s="1"/>
  <c r="AT65" i="32"/>
  <c r="AB302" i="32"/>
  <c r="R302" i="32"/>
  <c r="BA79" i="32"/>
  <c r="BA85" i="32" s="1"/>
  <c r="AT85" i="32"/>
  <c r="AX73" i="32"/>
  <c r="AX78" i="32" s="1"/>
  <c r="AD78" i="32"/>
  <c r="AI53" i="32"/>
  <c r="AC58" i="32"/>
  <c r="AC43" i="32"/>
  <c r="AI38" i="32"/>
  <c r="AU38" i="32" s="1"/>
  <c r="AR302" i="32"/>
  <c r="AI25" i="32"/>
  <c r="AU25" i="32" s="1"/>
  <c r="AW306" i="32"/>
  <c r="AP28" i="47" s="1"/>
  <c r="AC35" i="32"/>
  <c r="AX65" i="32"/>
  <c r="AY36" i="32"/>
  <c r="AY39" i="32" s="1"/>
  <c r="AE39" i="32"/>
  <c r="AI268" i="32"/>
  <c r="AU268" i="32" s="1"/>
  <c r="AX254" i="32"/>
  <c r="AX256" i="32" s="1"/>
  <c r="AD256" i="32"/>
  <c r="AD298" i="32"/>
  <c r="AY285" i="32"/>
  <c r="AI269" i="32"/>
  <c r="AU269" i="32" s="1"/>
  <c r="AE263" i="32"/>
  <c r="AT284" i="32"/>
  <c r="BA278" i="32"/>
  <c r="BA284" i="32" s="1"/>
  <c r="BB263" i="32"/>
  <c r="AI239" i="32"/>
  <c r="AU239" i="32" s="1"/>
  <c r="BA271" i="32"/>
  <c r="BA277" i="32" s="1"/>
  <c r="AT277" i="32"/>
  <c r="AI249" i="32"/>
  <c r="AU249" i="32" s="1"/>
  <c r="AI227" i="32"/>
  <c r="AU227" i="32" s="1"/>
  <c r="AI234" i="32"/>
  <c r="AU234" i="32" s="1"/>
  <c r="BB215" i="32"/>
  <c r="AY229" i="32"/>
  <c r="AY235" i="32" s="1"/>
  <c r="AE235" i="32"/>
  <c r="AE206" i="32"/>
  <c r="AI191" i="32"/>
  <c r="AU191" i="32" s="1"/>
  <c r="AC189" i="32"/>
  <c r="AI186" i="32"/>
  <c r="AC179" i="32"/>
  <c r="AT165" i="32"/>
  <c r="BA159" i="32"/>
  <c r="BA165" i="32" s="1"/>
  <c r="AC138" i="32"/>
  <c r="AI132" i="32"/>
  <c r="AI182" i="32"/>
  <c r="AU182" i="32" s="1"/>
  <c r="AI161" i="32"/>
  <c r="AU161" i="32" s="1"/>
  <c r="X307" i="32"/>
  <c r="AC100" i="32"/>
  <c r="AV100" i="32"/>
  <c r="AV307" i="32" s="1"/>
  <c r="AE100" i="32"/>
  <c r="AD100" i="32"/>
  <c r="AW308" i="32"/>
  <c r="AP30" i="47" s="1"/>
  <c r="X308" i="32"/>
  <c r="AD116" i="32"/>
  <c r="AD121" i="32" s="1"/>
  <c r="AV116" i="32"/>
  <c r="AV308" i="32" s="1"/>
  <c r="AC116" i="32"/>
  <c r="AC121" i="32" s="1"/>
  <c r="AE116" i="32"/>
  <c r="AE121" i="32" s="1"/>
  <c r="AX109" i="32"/>
  <c r="AD110" i="32"/>
  <c r="X310" i="32"/>
  <c r="AE102" i="32"/>
  <c r="AC102" i="32"/>
  <c r="AV102" i="32"/>
  <c r="AV310" i="32" s="1"/>
  <c r="AD102" i="32"/>
  <c r="AZ308" i="32"/>
  <c r="AS30" i="47" s="1"/>
  <c r="AI115" i="32"/>
  <c r="AX140" i="32"/>
  <c r="AX145" i="32" s="1"/>
  <c r="AD145" i="32"/>
  <c r="AT121" i="32"/>
  <c r="BA115" i="32"/>
  <c r="AI57" i="32"/>
  <c r="AU57" i="32" s="1"/>
  <c r="AI103" i="32"/>
  <c r="AU103" i="32" s="1"/>
  <c r="AT312" i="32"/>
  <c r="BA50" i="32"/>
  <c r="BA312" i="32" s="1"/>
  <c r="AT39" i="32"/>
  <c r="BA36" i="32"/>
  <c r="BA39" i="32" s="1"/>
  <c r="AT22" i="32"/>
  <c r="BA18" i="32"/>
  <c r="BA22" i="32" s="1"/>
  <c r="AR304" i="32"/>
  <c r="AI117" i="32"/>
  <c r="AU117" i="32" s="1"/>
  <c r="AV97" i="32"/>
  <c r="AV91" i="32"/>
  <c r="AI84" i="32"/>
  <c r="AU84" i="32" s="1"/>
  <c r="AT108" i="32"/>
  <c r="BA98" i="32"/>
  <c r="BA108" i="32" s="1"/>
  <c r="AI79" i="32"/>
  <c r="AC85" i="32"/>
  <c r="AI71" i="32"/>
  <c r="AU71" i="32" s="1"/>
  <c r="AC65" i="32"/>
  <c r="AI59" i="32"/>
  <c r="AY14" i="32"/>
  <c r="AE17" i="32"/>
  <c r="AZ305" i="32"/>
  <c r="AS27" i="47" s="1"/>
  <c r="AZ17" i="32"/>
  <c r="AI63" i="32"/>
  <c r="AU63" i="32" s="1"/>
  <c r="BB27" i="32"/>
  <c r="AX18" i="32"/>
  <c r="AX22" i="32" s="1"/>
  <c r="AD22" i="32"/>
  <c r="AD65" i="32"/>
  <c r="AV39" i="32"/>
  <c r="AI292" i="32"/>
  <c r="AC298" i="32"/>
  <c r="AT300" i="32"/>
  <c r="BA299" i="32"/>
  <c r="BA300" i="32" s="1"/>
  <c r="AT291" i="32"/>
  <c r="BA285" i="32"/>
  <c r="BA291" i="32" s="1"/>
  <c r="AT215" i="32"/>
  <c r="BA207" i="32"/>
  <c r="BA215" i="32" s="1"/>
  <c r="AD264" i="32"/>
  <c r="AV264" i="32"/>
  <c r="AE264" i="32"/>
  <c r="AC264" i="32"/>
  <c r="AD242" i="32"/>
  <c r="AV207" i="32"/>
  <c r="AV215" i="32" s="1"/>
  <c r="AC207" i="32"/>
  <c r="AD207" i="32"/>
  <c r="AE207" i="32"/>
  <c r="AY278" i="32"/>
  <c r="AY284" i="32" s="1"/>
  <c r="AE284" i="32"/>
  <c r="AE196" i="32"/>
  <c r="AI216" i="32"/>
  <c r="AC222" i="32"/>
  <c r="BA197" i="32"/>
  <c r="BA200" i="32" s="1"/>
  <c r="AT200" i="32"/>
  <c r="AE197" i="32"/>
  <c r="AV197" i="32"/>
  <c r="AV200" i="32" s="1"/>
  <c r="AD197" i="32"/>
  <c r="AC197" i="32"/>
  <c r="AI198" i="32"/>
  <c r="AU198" i="32" s="1"/>
  <c r="AI195" i="32"/>
  <c r="AU195" i="32" s="1"/>
  <c r="AD196" i="32"/>
  <c r="AI169" i="32"/>
  <c r="AU169" i="32" s="1"/>
  <c r="AC151" i="32"/>
  <c r="AI175" i="32"/>
  <c r="AU175" i="32" s="1"/>
  <c r="AV179" i="32"/>
  <c r="AI157" i="32"/>
  <c r="AU157" i="32" s="1"/>
  <c r="AC146" i="32"/>
  <c r="AV146" i="32"/>
  <c r="AV147" i="32" s="1"/>
  <c r="AE146" i="32"/>
  <c r="AD146" i="32"/>
  <c r="AI187" i="32"/>
  <c r="AU187" i="32" s="1"/>
  <c r="AI129" i="32"/>
  <c r="AU129" i="32" s="1"/>
  <c r="AY126" i="32"/>
  <c r="BB308" i="32"/>
  <c r="AI153" i="32"/>
  <c r="AU153" i="32" s="1"/>
  <c r="AI136" i="32"/>
  <c r="AU136" i="32" s="1"/>
  <c r="AT45" i="32"/>
  <c r="BA44" i="32"/>
  <c r="BA45" i="32" s="1"/>
  <c r="AS304" i="32"/>
  <c r="AC114" i="32"/>
  <c r="AI111" i="32"/>
  <c r="AI90" i="32"/>
  <c r="AU90" i="32" s="1"/>
  <c r="AD312" i="32"/>
  <c r="BA32" i="32"/>
  <c r="BA35" i="32" s="1"/>
  <c r="AT35" i="32"/>
  <c r="AB304" i="32"/>
  <c r="AV314" i="32"/>
  <c r="AC91" i="32"/>
  <c r="AI86" i="32"/>
  <c r="AI99" i="32"/>
  <c r="AU99" i="32" s="1"/>
  <c r="BB306" i="32"/>
  <c r="AV17" i="32"/>
  <c r="AW305" i="32"/>
  <c r="AX53" i="32"/>
  <c r="AD58" i="32"/>
  <c r="X306" i="32"/>
  <c r="AI105" i="32"/>
  <c r="AU105" i="32" s="1"/>
  <c r="AV46" i="32"/>
  <c r="AV52" i="32" s="1"/>
  <c r="AE46" i="32"/>
  <c r="AD46" i="32"/>
  <c r="AC46" i="32"/>
  <c r="AI20" i="32"/>
  <c r="AU20" i="32" s="1"/>
  <c r="AT305" i="32"/>
  <c r="BA14" i="32"/>
  <c r="AT17" i="32"/>
  <c r="R301" i="32"/>
  <c r="K18" i="47" s="1"/>
  <c r="K23" i="47" s="1"/>
  <c r="AI62" i="32"/>
  <c r="AU62" i="32" s="1"/>
  <c r="BB311" i="32"/>
  <c r="AI49" i="32"/>
  <c r="AU49" i="32" s="1"/>
  <c r="AW312" i="32"/>
  <c r="AP34" i="47" s="1"/>
  <c r="AI19" i="32"/>
  <c r="AU19" i="32" s="1"/>
  <c r="AT91" i="32"/>
  <c r="AI56" i="32"/>
  <c r="AU56" i="32" s="1"/>
  <c r="AV298" i="32"/>
  <c r="AI289" i="32"/>
  <c r="AU289" i="32" s="1"/>
  <c r="AY293" i="32"/>
  <c r="AY298" i="32" s="1"/>
  <c r="AE298" i="32"/>
  <c r="AI285" i="32"/>
  <c r="AY225" i="32"/>
  <c r="AY228" i="32" s="1"/>
  <c r="AE228" i="32"/>
  <c r="AD288" i="32"/>
  <c r="AX288" i="32" s="1"/>
  <c r="AV288" i="32"/>
  <c r="AV291" i="32" s="1"/>
  <c r="AE288" i="32"/>
  <c r="AY288" i="32" s="1"/>
  <c r="AC288" i="32"/>
  <c r="BA230" i="32"/>
  <c r="BA235" i="32" s="1"/>
  <c r="AT235" i="32"/>
  <c r="AT228" i="32"/>
  <c r="BA225" i="32"/>
  <c r="BA228" i="32" s="1"/>
  <c r="AI281" i="32"/>
  <c r="AU281" i="32" s="1"/>
  <c r="AI248" i="32"/>
  <c r="AU248" i="32" s="1"/>
  <c r="AI272" i="32"/>
  <c r="AU272" i="32" s="1"/>
  <c r="AV246" i="32"/>
  <c r="AT242" i="32"/>
  <c r="BA236" i="32"/>
  <c r="BA242" i="32" s="1"/>
  <c r="AI218" i="32"/>
  <c r="AU218" i="32" s="1"/>
  <c r="AI204" i="32"/>
  <c r="AU204" i="32" s="1"/>
  <c r="AC284" i="32"/>
  <c r="AI278" i="32"/>
  <c r="AI287" i="32"/>
  <c r="AU287" i="32" s="1"/>
  <c r="AI219" i="32"/>
  <c r="AU219" i="32" s="1"/>
  <c r="AX216" i="32"/>
  <c r="AX222" i="32" s="1"/>
  <c r="AD222" i="32"/>
  <c r="AI211" i="32"/>
  <c r="AU211" i="32" s="1"/>
  <c r="AI245" i="32"/>
  <c r="AU245" i="32" s="1"/>
  <c r="AT206" i="32"/>
  <c r="AI188" i="32"/>
  <c r="AU188" i="32" s="1"/>
  <c r="AI181" i="32"/>
  <c r="AU181" i="32" s="1"/>
  <c r="AY186" i="32"/>
  <c r="AY189" i="32" s="1"/>
  <c r="AE189" i="32"/>
  <c r="AX168" i="32"/>
  <c r="AI168" i="32"/>
  <c r="AU168" i="32" s="1"/>
  <c r="AV138" i="32"/>
  <c r="BA152" i="32"/>
  <c r="BA158" i="32" s="1"/>
  <c r="AT158" i="32"/>
  <c r="BC151" i="32"/>
  <c r="AW121" i="32"/>
  <c r="AC122" i="32"/>
  <c r="AD122" i="32"/>
  <c r="AE122" i="32"/>
  <c r="AV122" i="32"/>
  <c r="AV125" i="32" s="1"/>
  <c r="AI154" i="32"/>
  <c r="AU154" i="32" s="1"/>
  <c r="AI126" i="32"/>
  <c r="BB125" i="32"/>
  <c r="AC110" i="32"/>
  <c r="AI109" i="32"/>
  <c r="AU73" i="32"/>
  <c r="BC312" i="32"/>
  <c r="AV34" i="47" s="1"/>
  <c r="AI14" i="32"/>
  <c r="AC17" i="32"/>
  <c r="AV98" i="32"/>
  <c r="AE98" i="32"/>
  <c r="AC98" i="32"/>
  <c r="AD98" i="32"/>
  <c r="AT306" i="32"/>
  <c r="BA47" i="32"/>
  <c r="AY86" i="32"/>
  <c r="AY91" i="32" s="1"/>
  <c r="AE91" i="32"/>
  <c r="AI83" i="32"/>
  <c r="AU83" i="32" s="1"/>
  <c r="AH304" i="32"/>
  <c r="AC314" i="32"/>
  <c r="AC13" i="32"/>
  <c r="AX14" i="32"/>
  <c r="AD17" i="32"/>
  <c r="AC78" i="32"/>
  <c r="AD91" i="32"/>
  <c r="AI18" i="32"/>
  <c r="AC22" i="32"/>
  <c r="AX36" i="32"/>
  <c r="AX39" i="32" s="1"/>
  <c r="AD39" i="32"/>
  <c r="BA254" i="32"/>
  <c r="BA256" i="32" s="1"/>
  <c r="AT256" i="32"/>
  <c r="AX285" i="32"/>
  <c r="AI293" i="32"/>
  <c r="AU293" i="32" s="1"/>
  <c r="AX277" i="32"/>
  <c r="AC242" i="32"/>
  <c r="BB235" i="32"/>
  <c r="AD228" i="32"/>
  <c r="AX225" i="32"/>
  <c r="AX228" i="32" s="1"/>
  <c r="AV228" i="32"/>
  <c r="BA247" i="32"/>
  <c r="BA253" i="32" s="1"/>
  <c r="AT253" i="32"/>
  <c r="AI243" i="32"/>
  <c r="AC246" i="32"/>
  <c r="BA223" i="32"/>
  <c r="BA224" i="32" s="1"/>
  <c r="AT224" i="32"/>
  <c r="AD206" i="32"/>
  <c r="AX201" i="32"/>
  <c r="AI209" i="32"/>
  <c r="AU209" i="32" s="1"/>
  <c r="AV284" i="32"/>
  <c r="AI254" i="32"/>
  <c r="AE224" i="32"/>
  <c r="AY223" i="32"/>
  <c r="AY224" i="32" s="1"/>
  <c r="AV222" i="32"/>
  <c r="AV196" i="32"/>
  <c r="BB172" i="32"/>
  <c r="AD138" i="32"/>
  <c r="AX132" i="32"/>
  <c r="AX138" i="32" s="1"/>
  <c r="AE179" i="32"/>
  <c r="BB158" i="32"/>
  <c r="BA180" i="32"/>
  <c r="BA185" i="32" s="1"/>
  <c r="AT185" i="32"/>
  <c r="BA166" i="32"/>
  <c r="BA172" i="32" s="1"/>
  <c r="AT172" i="32"/>
  <c r="BA126" i="32"/>
  <c r="BA131" i="32" s="1"/>
  <c r="AT131" i="32"/>
  <c r="AI118" i="32"/>
  <c r="AU118" i="32" s="1"/>
  <c r="AY115" i="32"/>
  <c r="AI170" i="32"/>
  <c r="AU170" i="32" s="1"/>
  <c r="AI142" i="32"/>
  <c r="AU142" i="32" s="1"/>
  <c r="AI127" i="32"/>
  <c r="AU127" i="32" s="1"/>
  <c r="BA111" i="32"/>
  <c r="BA114" i="32" s="1"/>
  <c r="AT114" i="32"/>
  <c r="BA122" i="32"/>
  <c r="BA125" i="32" s="1"/>
  <c r="AT125" i="32"/>
  <c r="X313" i="32"/>
  <c r="AX111" i="32"/>
  <c r="AX114" i="32" s="1"/>
  <c r="AD114" i="32"/>
  <c r="AZ306" i="32"/>
  <c r="AS28" i="47" s="1"/>
  <c r="AT52" i="32"/>
  <c r="R304" i="32"/>
  <c r="X303" i="32" s="1"/>
  <c r="AZ314" i="32"/>
  <c r="AS36" i="47" s="1"/>
  <c r="AZ13" i="32"/>
  <c r="BB121" i="32"/>
  <c r="AE78" i="32"/>
  <c r="AY73" i="32"/>
  <c r="AY78" i="32" s="1"/>
  <c r="AU32" i="32"/>
  <c r="AU35" i="32" s="1"/>
  <c r="BC311" i="32"/>
  <c r="AV33" i="47" s="1"/>
  <c r="AX91" i="32"/>
  <c r="AI61" i="32"/>
  <c r="AU61" i="32" s="1"/>
  <c r="AT27" i="32"/>
  <c r="BA23" i="32"/>
  <c r="BA27" i="32" s="1"/>
  <c r="AI74" i="32"/>
  <c r="AU74" i="32" s="1"/>
  <c r="AY18" i="32"/>
  <c r="AY22" i="32" s="1"/>
  <c r="AE22" i="32"/>
  <c r="AI37" i="32"/>
  <c r="AU37" i="32" s="1"/>
  <c r="AT31" i="32"/>
  <c r="Y75" i="31"/>
  <c r="X75" i="31"/>
  <c r="AI72" i="31"/>
  <c r="AU72" i="31" s="1"/>
  <c r="AT73" i="31"/>
  <c r="AI60" i="31"/>
  <c r="AU60" i="31" s="1"/>
  <c r="AT67" i="31"/>
  <c r="BA65" i="31"/>
  <c r="BA67" i="31" s="1"/>
  <c r="AE48" i="31"/>
  <c r="AE79" i="31"/>
  <c r="X38" i="31"/>
  <c r="AD33" i="31"/>
  <c r="AE33" i="31"/>
  <c r="AV33" i="31"/>
  <c r="AV38" i="31" s="1"/>
  <c r="AC33" i="31"/>
  <c r="AC79" i="31" s="1"/>
  <c r="AT38" i="31"/>
  <c r="BA33" i="31"/>
  <c r="BA38" i="31" s="1"/>
  <c r="AI22" i="31"/>
  <c r="AU22" i="31" s="1"/>
  <c r="AB74" i="31"/>
  <c r="AI31" i="31"/>
  <c r="AU31" i="31" s="1"/>
  <c r="AV19" i="31"/>
  <c r="AI13" i="31"/>
  <c r="AU13" i="31" s="1"/>
  <c r="AX23" i="31"/>
  <c r="AE69" i="31"/>
  <c r="AD69" i="31"/>
  <c r="AX69" i="31" s="1"/>
  <c r="AC69" i="31"/>
  <c r="AI69" i="31" s="1"/>
  <c r="AU69" i="31" s="1"/>
  <c r="AV69" i="31"/>
  <c r="X86" i="31"/>
  <c r="AD39" i="31"/>
  <c r="AE39" i="31"/>
  <c r="AV39" i="31"/>
  <c r="AC39" i="31"/>
  <c r="X40" i="31"/>
  <c r="AT86" i="31"/>
  <c r="BA39" i="31"/>
  <c r="AT40" i="31"/>
  <c r="AC81" i="31"/>
  <c r="AI44" i="31"/>
  <c r="AC48" i="31"/>
  <c r="AT85" i="31"/>
  <c r="BA30" i="31"/>
  <c r="BA85" i="31" s="1"/>
  <c r="BC87" i="31"/>
  <c r="BC25" i="31"/>
  <c r="AD64" i="31"/>
  <c r="AX58" i="31"/>
  <c r="AX64" i="31" s="1"/>
  <c r="AI26" i="31"/>
  <c r="AC32" i="31"/>
  <c r="BA20" i="31"/>
  <c r="BA23" i="31" s="1"/>
  <c r="AT23" i="31"/>
  <c r="BA32" i="31"/>
  <c r="BC78" i="31"/>
  <c r="BC15" i="31"/>
  <c r="AT78" i="31"/>
  <c r="BA12" i="31"/>
  <c r="AT15" i="31"/>
  <c r="BB85" i="31"/>
  <c r="AW79" i="31"/>
  <c r="AW32" i="31"/>
  <c r="AD23" i="31"/>
  <c r="AX68" i="31"/>
  <c r="BB81" i="31"/>
  <c r="BB48" i="31"/>
  <c r="BA41" i="31"/>
  <c r="BA43" i="31" s="1"/>
  <c r="AT43" i="31"/>
  <c r="AI59" i="31"/>
  <c r="AU59" i="31" s="1"/>
  <c r="AI46" i="31"/>
  <c r="AU46" i="31" s="1"/>
  <c r="BA53" i="31"/>
  <c r="BA57" i="31" s="1"/>
  <c r="AT57" i="31"/>
  <c r="AE64" i="31"/>
  <c r="AY58" i="31"/>
  <c r="AY64" i="31" s="1"/>
  <c r="AI20" i="31"/>
  <c r="AC23" i="31"/>
  <c r="BA84" i="31"/>
  <c r="AZ32" i="31"/>
  <c r="AY16" i="31"/>
  <c r="AY19" i="31" s="1"/>
  <c r="AE19" i="31"/>
  <c r="AS74" i="31"/>
  <c r="AR77" i="31"/>
  <c r="X85" i="31"/>
  <c r="AD30" i="31"/>
  <c r="AE30" i="31"/>
  <c r="AV30" i="31"/>
  <c r="AV85" i="31" s="1"/>
  <c r="AC30" i="31"/>
  <c r="BB78" i="31"/>
  <c r="AH76" i="31"/>
  <c r="AI68" i="31"/>
  <c r="AC73" i="31"/>
  <c r="AT81" i="31"/>
  <c r="AT48" i="31"/>
  <c r="BA44" i="31"/>
  <c r="AD43" i="31"/>
  <c r="AX41" i="31"/>
  <c r="AX43" i="31" s="1"/>
  <c r="AV32" i="31"/>
  <c r="AV79" i="31"/>
  <c r="AE57" i="31"/>
  <c r="AY53" i="31"/>
  <c r="AY57" i="31" s="1"/>
  <c r="BC52" i="31"/>
  <c r="AZ81" i="31"/>
  <c r="AZ48" i="31"/>
  <c r="AC43" i="31"/>
  <c r="AI41" i="31"/>
  <c r="AI61" i="31"/>
  <c r="AU61" i="31" s="1"/>
  <c r="AS75" i="31"/>
  <c r="AV64" i="31"/>
  <c r="AI50" i="31"/>
  <c r="AU50" i="31" s="1"/>
  <c r="X87" i="31"/>
  <c r="AE24" i="31"/>
  <c r="AD24" i="31"/>
  <c r="AC24" i="31"/>
  <c r="AV24" i="31"/>
  <c r="X25" i="31"/>
  <c r="AE23" i="31"/>
  <c r="AY20" i="31"/>
  <c r="AY23" i="31" s="1"/>
  <c r="AI47" i="31"/>
  <c r="AU47" i="31" s="1"/>
  <c r="AT84" i="31"/>
  <c r="AT87" i="31"/>
  <c r="BA24" i="31"/>
  <c r="AT25" i="31"/>
  <c r="AI16" i="31"/>
  <c r="AC19" i="31"/>
  <c r="AS77" i="31"/>
  <c r="BC64" i="31"/>
  <c r="AW87" i="31"/>
  <c r="AW25" i="31"/>
  <c r="AZ78" i="31"/>
  <c r="AZ15" i="31"/>
  <c r="X73" i="31"/>
  <c r="AI70" i="31"/>
  <c r="AU70" i="31" s="1"/>
  <c r="AI65" i="31"/>
  <c r="AC67" i="31"/>
  <c r="BB86" i="31"/>
  <c r="BB40" i="31"/>
  <c r="X32" i="31"/>
  <c r="X84" i="31"/>
  <c r="AV14" i="31"/>
  <c r="AV84" i="31" s="1"/>
  <c r="AE14" i="31"/>
  <c r="AC14" i="31"/>
  <c r="AD14" i="31"/>
  <c r="BA58" i="31"/>
  <c r="BA64" i="31" s="1"/>
  <c r="AT64" i="31"/>
  <c r="AC57" i="31"/>
  <c r="AI53" i="31"/>
  <c r="AW81" i="31"/>
  <c r="AW48" i="31"/>
  <c r="AZ79" i="31"/>
  <c r="R75" i="31"/>
  <c r="AB75" i="31"/>
  <c r="AC64" i="31"/>
  <c r="AI58" i="31"/>
  <c r="BB79" i="31"/>
  <c r="BB32" i="31"/>
  <c r="BB74" i="31" s="1"/>
  <c r="AX16" i="31"/>
  <c r="AX19" i="31" s="1"/>
  <c r="AD19" i="31"/>
  <c r="X78" i="31"/>
  <c r="AE12" i="31"/>
  <c r="AD12" i="31"/>
  <c r="AC12" i="31"/>
  <c r="AV12" i="31"/>
  <c r="X15" i="31"/>
  <c r="AZ87" i="31"/>
  <c r="AZ25" i="31"/>
  <c r="AT32" i="31"/>
  <c r="AH74" i="31"/>
  <c r="AI71" i="31"/>
  <c r="AU71" i="31" s="1"/>
  <c r="AV73" i="31"/>
  <c r="BA73" i="31"/>
  <c r="BA49" i="31"/>
  <c r="BA52" i="31" s="1"/>
  <c r="AT52" i="31"/>
  <c r="BC86" i="31"/>
  <c r="BC40" i="31"/>
  <c r="X79" i="31"/>
  <c r="BB64" i="31"/>
  <c r="AX53" i="31"/>
  <c r="AX57" i="31" s="1"/>
  <c r="AD57" i="31"/>
  <c r="X52" i="31"/>
  <c r="AE49" i="31"/>
  <c r="AV49" i="31"/>
  <c r="AV52" i="31" s="1"/>
  <c r="AD49" i="31"/>
  <c r="AC49" i="31"/>
  <c r="AY81" i="31"/>
  <c r="AY48" i="31"/>
  <c r="AZ86" i="31"/>
  <c r="AZ40" i="31"/>
  <c r="BC79" i="31"/>
  <c r="AI54" i="31"/>
  <c r="AU54" i="31" s="1"/>
  <c r="AD81" i="31"/>
  <c r="AD48" i="31"/>
  <c r="AX44" i="31"/>
  <c r="AI37" i="31"/>
  <c r="AU37" i="31" s="1"/>
  <c r="AR74" i="31"/>
  <c r="AT75" i="31" s="1"/>
  <c r="AW78" i="31"/>
  <c r="AW15" i="31"/>
  <c r="AW74" i="31" s="1"/>
  <c r="R77" i="31"/>
  <c r="X76" i="31" s="1"/>
  <c r="AI42" i="31"/>
  <c r="AU42" i="31" s="1"/>
  <c r="BB84" i="31"/>
  <c r="AW86" i="31"/>
  <c r="AW40" i="31"/>
  <c r="AT79" i="31"/>
  <c r="AI18" i="31"/>
  <c r="AU18" i="31" s="1"/>
  <c r="AH77" i="31"/>
  <c r="AT101" i="30"/>
  <c r="BB105" i="30"/>
  <c r="AC61" i="30"/>
  <c r="AI55" i="30"/>
  <c r="AI66" i="30"/>
  <c r="AC71" i="30"/>
  <c r="AE71" i="30"/>
  <c r="AY31" i="30"/>
  <c r="AE37" i="30"/>
  <c r="AI22" i="30"/>
  <c r="AU22" i="30" s="1"/>
  <c r="AU45" i="30"/>
  <c r="AV65" i="30"/>
  <c r="AI35" i="30"/>
  <c r="AU35" i="30" s="1"/>
  <c r="AW112" i="30"/>
  <c r="AW30" i="30"/>
  <c r="AT105" i="30"/>
  <c r="BA18" i="30"/>
  <c r="AT23" i="30"/>
  <c r="AT100" i="30" s="1"/>
  <c r="BC104" i="30"/>
  <c r="AI41" i="30"/>
  <c r="AU41" i="30" s="1"/>
  <c r="AY18" i="30"/>
  <c r="AD77" i="30"/>
  <c r="AC77" i="30"/>
  <c r="X81" i="30"/>
  <c r="AE77" i="30"/>
  <c r="AY77" i="30" s="1"/>
  <c r="AV77" i="30"/>
  <c r="AI40" i="30"/>
  <c r="AU40" i="30" s="1"/>
  <c r="AW37" i="30"/>
  <c r="AW113" i="30"/>
  <c r="AW17" i="30"/>
  <c r="AT110" i="30"/>
  <c r="AZ37" i="30"/>
  <c r="AT112" i="30"/>
  <c r="AT30" i="30"/>
  <c r="BA29" i="30"/>
  <c r="AT102" i="30"/>
  <c r="AB101" i="30"/>
  <c r="R101" i="30"/>
  <c r="AX12" i="30"/>
  <c r="AD15" i="30"/>
  <c r="AC50" i="30"/>
  <c r="AI50" i="30" s="1"/>
  <c r="AU50" i="30" s="1"/>
  <c r="AV50" i="30"/>
  <c r="AE50" i="30"/>
  <c r="AY50" i="30" s="1"/>
  <c r="AD50" i="30"/>
  <c r="AX50" i="30" s="1"/>
  <c r="AC99" i="30"/>
  <c r="AI93" i="30"/>
  <c r="AY82" i="30"/>
  <c r="AY85" i="30" s="1"/>
  <c r="AE85" i="30"/>
  <c r="AI82" i="30"/>
  <c r="AY76" i="30"/>
  <c r="AI95" i="30"/>
  <c r="AU95" i="30" s="1"/>
  <c r="AT92" i="30"/>
  <c r="BA86" i="30"/>
  <c r="BA92" i="30" s="1"/>
  <c r="BA72" i="30"/>
  <c r="BA75" i="30" s="1"/>
  <c r="AT75" i="30"/>
  <c r="AX66" i="30"/>
  <c r="AX71" i="30" s="1"/>
  <c r="AD71" i="30"/>
  <c r="BC110" i="30"/>
  <c r="AD65" i="30"/>
  <c r="AT107" i="30"/>
  <c r="AI31" i="30"/>
  <c r="BA77" i="30"/>
  <c r="BA81" i="30" s="1"/>
  <c r="AT81" i="30"/>
  <c r="BB104" i="30"/>
  <c r="AC65" i="30"/>
  <c r="AI62" i="30"/>
  <c r="AI59" i="30"/>
  <c r="AU59" i="30" s="1"/>
  <c r="AZ110" i="30"/>
  <c r="AV15" i="30"/>
  <c r="BA15" i="30"/>
  <c r="AI79" i="30"/>
  <c r="AU79" i="30" s="1"/>
  <c r="AE75" i="30"/>
  <c r="AI34" i="30"/>
  <c r="AU34" i="30" s="1"/>
  <c r="BC112" i="30"/>
  <c r="BC30" i="30"/>
  <c r="AW105" i="30"/>
  <c r="AW23" i="30"/>
  <c r="AX13" i="30"/>
  <c r="AI13" i="30"/>
  <c r="AU13" i="30" s="1"/>
  <c r="X105" i="30"/>
  <c r="AD48" i="30"/>
  <c r="AS100" i="30"/>
  <c r="BA93" i="30"/>
  <c r="BA99" i="30" s="1"/>
  <c r="AT99" i="30"/>
  <c r="R103" i="30"/>
  <c r="X102" i="30" s="1"/>
  <c r="AX31" i="30"/>
  <c r="AT111" i="30"/>
  <c r="BA20" i="30"/>
  <c r="BA111" i="30" s="1"/>
  <c r="AD85" i="30"/>
  <c r="AD99" i="30"/>
  <c r="AV85" i="30"/>
  <c r="AV81" i="30"/>
  <c r="AI88" i="30"/>
  <c r="AU88" i="30" s="1"/>
  <c r="AI80" i="30"/>
  <c r="AU80" i="30" s="1"/>
  <c r="AE61" i="30"/>
  <c r="AY55" i="30"/>
  <c r="AY61" i="30" s="1"/>
  <c r="AI97" i="30"/>
  <c r="AU97" i="30" s="1"/>
  <c r="AT85" i="30"/>
  <c r="BB75" i="30"/>
  <c r="BA37" i="30"/>
  <c r="BB112" i="30"/>
  <c r="BB30" i="30"/>
  <c r="BB100" i="30" s="1"/>
  <c r="BA101" i="30" s="1"/>
  <c r="AX65" i="30"/>
  <c r="AI43" i="30"/>
  <c r="AU43" i="30" s="1"/>
  <c r="X107" i="30"/>
  <c r="AV32" i="30"/>
  <c r="AE32" i="30"/>
  <c r="AD32" i="30"/>
  <c r="AD37" i="30" s="1"/>
  <c r="AC32" i="30"/>
  <c r="AC37" i="30" s="1"/>
  <c r="X37" i="30"/>
  <c r="X111" i="30"/>
  <c r="AV20" i="30"/>
  <c r="AV111" i="30" s="1"/>
  <c r="AE20" i="30"/>
  <c r="AE23" i="30" s="1"/>
  <c r="AD20" i="30"/>
  <c r="AD23" i="30" s="1"/>
  <c r="AC20" i="30"/>
  <c r="AI76" i="30"/>
  <c r="BA113" i="30"/>
  <c r="BA17" i="30"/>
  <c r="AI73" i="30"/>
  <c r="AU73" i="30" s="1"/>
  <c r="AI60" i="30"/>
  <c r="AU60" i="30" s="1"/>
  <c r="AI47" i="30"/>
  <c r="AU47" i="30" s="1"/>
  <c r="BB107" i="30"/>
  <c r="AT104" i="30"/>
  <c r="AI70" i="30"/>
  <c r="AU70" i="30" s="1"/>
  <c r="BB44" i="30"/>
  <c r="AD105" i="30"/>
  <c r="AX18" i="30"/>
  <c r="AH100" i="30"/>
  <c r="AB100" i="30"/>
  <c r="AE24" i="30"/>
  <c r="X28" i="30"/>
  <c r="AV24" i="30"/>
  <c r="AV28" i="30" s="1"/>
  <c r="AD24" i="30"/>
  <c r="AC24" i="30"/>
  <c r="AC105" i="30"/>
  <c r="AI18" i="30"/>
  <c r="AC23" i="30"/>
  <c r="AI64" i="30"/>
  <c r="AU64" i="30" s="1"/>
  <c r="AI21" i="30"/>
  <c r="AU21" i="30" s="1"/>
  <c r="X23" i="30"/>
  <c r="AX72" i="30"/>
  <c r="AX75" i="30" s="1"/>
  <c r="AD75" i="30"/>
  <c r="AE54" i="30"/>
  <c r="AY49" i="30"/>
  <c r="AY54" i="30" s="1"/>
  <c r="AX99" i="30"/>
  <c r="AI84" i="30"/>
  <c r="AU84" i="30" s="1"/>
  <c r="AV75" i="30"/>
  <c r="AX49" i="30"/>
  <c r="AX54" i="30" s="1"/>
  <c r="AD54" i="30"/>
  <c r="BA85" i="30"/>
  <c r="AT71" i="30"/>
  <c r="BA66" i="30"/>
  <c r="BC111" i="30"/>
  <c r="AI57" i="30"/>
  <c r="AU57" i="30" s="1"/>
  <c r="X44" i="30"/>
  <c r="AV38" i="30"/>
  <c r="AV44" i="30" s="1"/>
  <c r="AE38" i="30"/>
  <c r="AD38" i="30"/>
  <c r="AC38" i="30"/>
  <c r="AE104" i="30"/>
  <c r="AY12" i="30"/>
  <c r="AT65" i="30"/>
  <c r="BA62" i="30"/>
  <c r="BA65" i="30" s="1"/>
  <c r="AI52" i="30"/>
  <c r="AU52" i="30" s="1"/>
  <c r="AC15" i="30"/>
  <c r="AI12" i="30"/>
  <c r="AH103" i="30"/>
  <c r="AI42" i="30"/>
  <c r="AU42" i="30" s="1"/>
  <c r="BA44" i="30"/>
  <c r="R100" i="30"/>
  <c r="AY48" i="30"/>
  <c r="AI96" i="30"/>
  <c r="AU96" i="30" s="1"/>
  <c r="AI89" i="30"/>
  <c r="AU89" i="30" s="1"/>
  <c r="AC86" i="30"/>
  <c r="X92" i="30"/>
  <c r="AV86" i="30"/>
  <c r="AV92" i="30" s="1"/>
  <c r="AE86" i="30"/>
  <c r="AD86" i="30"/>
  <c r="AI72" i="30"/>
  <c r="AC75" i="30"/>
  <c r="AV54" i="30"/>
  <c r="X112" i="30"/>
  <c r="AD29" i="30"/>
  <c r="AE29" i="30"/>
  <c r="AV29" i="30"/>
  <c r="AC29" i="30"/>
  <c r="X30" i="30"/>
  <c r="AE99" i="30"/>
  <c r="BA55" i="30"/>
  <c r="BA61" i="30" s="1"/>
  <c r="AT61" i="30"/>
  <c r="AI83" i="30"/>
  <c r="AU83" i="30" s="1"/>
  <c r="AI49" i="30"/>
  <c r="BC107" i="30"/>
  <c r="AT37" i="30"/>
  <c r="X110" i="30"/>
  <c r="AC14" i="30"/>
  <c r="AV14" i="30"/>
  <c r="AV110" i="30" s="1"/>
  <c r="AE14" i="30"/>
  <c r="AD14" i="30"/>
  <c r="X104" i="30"/>
  <c r="AY62" i="30"/>
  <c r="AY65" i="30" s="1"/>
  <c r="AE65" i="30"/>
  <c r="AT54" i="30"/>
  <c r="AI39" i="30"/>
  <c r="AU39" i="30" s="1"/>
  <c r="AT28" i="30"/>
  <c r="X113" i="30"/>
  <c r="AC16" i="30"/>
  <c r="AV16" i="30"/>
  <c r="AE16" i="30"/>
  <c r="X17" i="30"/>
  <c r="AD16" i="30"/>
  <c r="AZ104" i="30"/>
  <c r="AZ15" i="30"/>
  <c r="AZ100" i="30" s="1"/>
  <c r="AI36" i="30"/>
  <c r="AU36" i="30" s="1"/>
  <c r="AH101" i="30"/>
  <c r="BC105" i="30"/>
  <c r="BC23" i="30"/>
  <c r="BC100" i="30" s="1"/>
  <c r="AW104" i="30"/>
  <c r="AW15" i="30"/>
  <c r="AE48" i="30"/>
  <c r="AT44" i="30"/>
  <c r="X15" i="30"/>
  <c r="X100" i="30" s="1"/>
  <c r="AC101" i="30" s="1"/>
  <c r="AI48" i="29"/>
  <c r="AU45" i="29"/>
  <c r="AU48" i="29" s="1"/>
  <c r="BA111" i="29"/>
  <c r="BA116" i="29" s="1"/>
  <c r="AT116" i="29"/>
  <c r="AV180" i="29"/>
  <c r="AT48" i="29"/>
  <c r="BA45" i="29"/>
  <c r="BA48" i="29" s="1"/>
  <c r="X195" i="29"/>
  <c r="AC166" i="29"/>
  <c r="X171" i="29"/>
  <c r="AV166" i="29"/>
  <c r="AD166" i="29"/>
  <c r="AE166" i="29"/>
  <c r="AE134" i="29"/>
  <c r="AY129" i="29"/>
  <c r="AY134" i="29" s="1"/>
  <c r="AD164" i="29"/>
  <c r="AX161" i="29"/>
  <c r="AX164" i="29" s="1"/>
  <c r="BC201" i="29"/>
  <c r="BC13" i="29"/>
  <c r="AY173" i="29"/>
  <c r="AY174" i="29" s="1"/>
  <c r="AE174" i="29"/>
  <c r="AE110" i="29"/>
  <c r="AY105" i="29"/>
  <c r="AY110" i="29" s="1"/>
  <c r="AE177" i="29"/>
  <c r="AE198" i="29" s="1"/>
  <c r="AV177" i="29"/>
  <c r="AD177" i="29"/>
  <c r="AX177" i="29" s="1"/>
  <c r="AC177" i="29"/>
  <c r="AE137" i="29"/>
  <c r="X144" i="29"/>
  <c r="AV137" i="29"/>
  <c r="AV144" i="29" s="1"/>
  <c r="AD137" i="29"/>
  <c r="AC137" i="29"/>
  <c r="AX55" i="29"/>
  <c r="AT33" i="29"/>
  <c r="BA30" i="29"/>
  <c r="BA33" i="29" s="1"/>
  <c r="AU56" i="29"/>
  <c r="X26" i="29"/>
  <c r="AD24" i="29"/>
  <c r="AV24" i="29"/>
  <c r="AV26" i="29" s="1"/>
  <c r="AE24" i="29"/>
  <c r="AC24" i="29"/>
  <c r="AC192" i="29" s="1"/>
  <c r="AI154" i="29"/>
  <c r="AU154" i="29" s="1"/>
  <c r="AD134" i="29"/>
  <c r="AX130" i="29"/>
  <c r="AX134" i="29" s="1"/>
  <c r="AW192" i="29"/>
  <c r="AC174" i="29"/>
  <c r="AI165" i="29"/>
  <c r="AC171" i="29"/>
  <c r="BC187" i="29"/>
  <c r="AT200" i="29"/>
  <c r="BA135" i="29"/>
  <c r="AT136" i="29"/>
  <c r="AT174" i="29"/>
  <c r="AI168" i="29"/>
  <c r="AU168" i="29" s="1"/>
  <c r="AC128" i="29"/>
  <c r="AI123" i="29"/>
  <c r="AI93" i="29"/>
  <c r="AC98" i="29"/>
  <c r="BB199" i="29"/>
  <c r="AI158" i="29"/>
  <c r="AU158" i="29" s="1"/>
  <c r="AE160" i="29"/>
  <c r="AY156" i="29"/>
  <c r="AY160" i="29" s="1"/>
  <c r="AI62" i="29"/>
  <c r="AU62" i="29" s="1"/>
  <c r="AI170" i="29"/>
  <c r="AU170" i="29" s="1"/>
  <c r="AT144" i="29"/>
  <c r="AV116" i="29"/>
  <c r="AY161" i="29"/>
  <c r="AY164" i="29" s="1"/>
  <c r="AE164" i="29"/>
  <c r="AI103" i="29"/>
  <c r="AU103" i="29" s="1"/>
  <c r="BB98" i="29"/>
  <c r="AI88" i="29"/>
  <c r="AU88" i="29" s="1"/>
  <c r="AI39" i="29"/>
  <c r="AU39" i="29" s="1"/>
  <c r="AT29" i="29"/>
  <c r="BA27" i="29"/>
  <c r="BA29" i="29" s="1"/>
  <c r="AV92" i="29"/>
  <c r="AE193" i="29"/>
  <c r="AE86" i="29"/>
  <c r="AY81" i="29"/>
  <c r="AY33" i="29"/>
  <c r="AI126" i="29"/>
  <c r="AU126" i="29" s="1"/>
  <c r="BC98" i="29"/>
  <c r="AD71" i="29"/>
  <c r="AX68" i="29"/>
  <c r="AX71" i="29" s="1"/>
  <c r="AV33" i="29"/>
  <c r="AZ201" i="29"/>
  <c r="AZ13" i="29"/>
  <c r="AT67" i="29"/>
  <c r="AT52" i="29"/>
  <c r="AD200" i="29"/>
  <c r="AD136" i="29"/>
  <c r="AX135" i="29"/>
  <c r="AE122" i="29"/>
  <c r="AY117" i="29"/>
  <c r="AY122" i="29" s="1"/>
  <c r="AC104" i="29"/>
  <c r="AI99" i="29"/>
  <c r="AC55" i="29"/>
  <c r="AI53" i="29"/>
  <c r="AE44" i="29"/>
  <c r="AD52" i="29"/>
  <c r="AI31" i="29"/>
  <c r="AU31" i="29" s="1"/>
  <c r="AW198" i="29"/>
  <c r="AV198" i="29"/>
  <c r="X192" i="29"/>
  <c r="AX37" i="29"/>
  <c r="AX40" i="29" s="1"/>
  <c r="AD40" i="29"/>
  <c r="BA17" i="29"/>
  <c r="BA19" i="29" s="1"/>
  <c r="AT19" i="29"/>
  <c r="AE19" i="29"/>
  <c r="BA152" i="29"/>
  <c r="BA155" i="29" s="1"/>
  <c r="AT155" i="29"/>
  <c r="AC110" i="29"/>
  <c r="AI105" i="29"/>
  <c r="AR189" i="29"/>
  <c r="AT63" i="29"/>
  <c r="BA60" i="29"/>
  <c r="BA63" i="29" s="1"/>
  <c r="AX117" i="29"/>
  <c r="AX122" i="29" s="1"/>
  <c r="AD122" i="29"/>
  <c r="AT151" i="29"/>
  <c r="BA145" i="29"/>
  <c r="BA151" i="29" s="1"/>
  <c r="AX143" i="29"/>
  <c r="AI143" i="29"/>
  <c r="AU143" i="29" s="1"/>
  <c r="BA93" i="29"/>
  <c r="BA98" i="29" s="1"/>
  <c r="AT98" i="29"/>
  <c r="AD92" i="29"/>
  <c r="AX87" i="29"/>
  <c r="AX92" i="29" s="1"/>
  <c r="AD48" i="29"/>
  <c r="AX45" i="29"/>
  <c r="AX48" i="29" s="1"/>
  <c r="AU172" i="29"/>
  <c r="AU174" i="29" s="1"/>
  <c r="AI174" i="29"/>
  <c r="BA129" i="29"/>
  <c r="BA134" i="29" s="1"/>
  <c r="AT134" i="29"/>
  <c r="AW180" i="29"/>
  <c r="AE152" i="29"/>
  <c r="AV152" i="29"/>
  <c r="AV155" i="29" s="1"/>
  <c r="AD152" i="29"/>
  <c r="X155" i="29"/>
  <c r="AC152" i="29"/>
  <c r="AW171" i="29"/>
  <c r="AT160" i="29"/>
  <c r="AI132" i="29"/>
  <c r="AU132" i="29" s="1"/>
  <c r="AE128" i="29"/>
  <c r="AY123" i="29"/>
  <c r="AY128" i="29" s="1"/>
  <c r="AE98" i="29"/>
  <c r="AY93" i="29"/>
  <c r="AY98" i="29" s="1"/>
  <c r="AE63" i="29"/>
  <c r="AY60" i="29"/>
  <c r="AY63" i="29" s="1"/>
  <c r="AH191" i="29"/>
  <c r="AY181" i="29"/>
  <c r="AY187" i="29" s="1"/>
  <c r="AE187" i="29"/>
  <c r="AI169" i="29"/>
  <c r="AU169" i="29" s="1"/>
  <c r="AD160" i="29"/>
  <c r="AX156" i="29"/>
  <c r="AX160" i="29" s="1"/>
  <c r="BA144" i="29"/>
  <c r="AC116" i="29"/>
  <c r="AI111" i="29"/>
  <c r="AT104" i="29"/>
  <c r="AI95" i="29"/>
  <c r="AU95" i="29" s="1"/>
  <c r="AI77" i="29"/>
  <c r="AU77" i="29" s="1"/>
  <c r="AE59" i="29"/>
  <c r="BA52" i="29"/>
  <c r="AE92" i="29"/>
  <c r="AY87" i="29"/>
  <c r="AY92" i="29" s="1"/>
  <c r="AY75" i="29"/>
  <c r="AI60" i="29"/>
  <c r="AC63" i="29"/>
  <c r="BA20" i="29"/>
  <c r="BA23" i="29" s="1"/>
  <c r="AT23" i="29"/>
  <c r="AT201" i="29"/>
  <c r="AT13" i="29"/>
  <c r="BA12" i="29"/>
  <c r="BB193" i="29"/>
  <c r="BB86" i="29"/>
  <c r="AI78" i="29"/>
  <c r="AU78" i="29" s="1"/>
  <c r="AV71" i="29"/>
  <c r="AI30" i="29"/>
  <c r="AC33" i="29"/>
  <c r="AI74" i="29"/>
  <c r="AU74" i="29" s="1"/>
  <c r="BA67" i="29"/>
  <c r="AB190" i="29"/>
  <c r="AC200" i="29"/>
  <c r="AI135" i="29"/>
  <c r="AC136" i="29"/>
  <c r="AD116" i="29"/>
  <c r="AX112" i="29"/>
  <c r="AX116" i="29" s="1"/>
  <c r="AD104" i="29"/>
  <c r="AX99" i="29"/>
  <c r="AX104" i="29" s="1"/>
  <c r="AI97" i="29"/>
  <c r="AU97" i="29" s="1"/>
  <c r="BA56" i="29"/>
  <c r="BA59" i="29" s="1"/>
  <c r="AT59" i="29"/>
  <c r="AT36" i="29"/>
  <c r="BA34" i="29"/>
  <c r="BA36" i="29" s="1"/>
  <c r="AV23" i="29"/>
  <c r="AD86" i="29"/>
  <c r="AX52" i="29"/>
  <c r="AT192" i="29"/>
  <c r="AC36" i="29"/>
  <c r="AI34" i="29"/>
  <c r="AC198" i="29"/>
  <c r="AI15" i="29"/>
  <c r="AD16" i="29"/>
  <c r="AX14" i="29"/>
  <c r="AC67" i="29"/>
  <c r="AI64" i="29"/>
  <c r="AY52" i="29"/>
  <c r="AV40" i="29"/>
  <c r="AI28" i="29"/>
  <c r="AU28" i="29" s="1"/>
  <c r="BB198" i="29"/>
  <c r="AT180" i="29"/>
  <c r="BA175" i="29"/>
  <c r="BA180" i="29" s="1"/>
  <c r="AU145" i="29"/>
  <c r="AU151" i="29" s="1"/>
  <c r="AI151" i="29"/>
  <c r="AC92" i="29"/>
  <c r="AI87" i="29"/>
  <c r="AC193" i="29"/>
  <c r="AC86" i="29"/>
  <c r="AI81" i="29"/>
  <c r="AC52" i="29"/>
  <c r="AI49" i="29"/>
  <c r="BA37" i="29"/>
  <c r="BA40" i="29" s="1"/>
  <c r="AT40" i="29"/>
  <c r="AC19" i="29"/>
  <c r="AI17" i="29"/>
  <c r="AZ200" i="29"/>
  <c r="AZ136" i="29"/>
  <c r="BA87" i="29"/>
  <c r="BA92" i="29" s="1"/>
  <c r="AT92" i="29"/>
  <c r="AD75" i="29"/>
  <c r="AX72" i="29"/>
  <c r="AX75" i="29" s="1"/>
  <c r="AE33" i="29"/>
  <c r="AC16" i="29"/>
  <c r="AI14" i="29"/>
  <c r="AC40" i="29"/>
  <c r="AI37" i="29"/>
  <c r="BA105" i="29"/>
  <c r="BA110" i="29" s="1"/>
  <c r="AT110" i="29"/>
  <c r="AI141" i="29"/>
  <c r="AU141" i="29" s="1"/>
  <c r="AV98" i="29"/>
  <c r="AC122" i="29"/>
  <c r="AI117" i="29"/>
  <c r="AC23" i="29"/>
  <c r="AY15" i="29"/>
  <c r="AY64" i="29"/>
  <c r="AY67" i="29" s="1"/>
  <c r="AE67" i="29"/>
  <c r="AD19" i="29"/>
  <c r="AX18" i="29"/>
  <c r="AX19" i="29" s="1"/>
  <c r="I190" i="29"/>
  <c r="BA123" i="29"/>
  <c r="BA128" i="29" s="1"/>
  <c r="AT128" i="29"/>
  <c r="AZ171" i="29"/>
  <c r="AD174" i="29"/>
  <c r="X180" i="29"/>
  <c r="BA160" i="29"/>
  <c r="R191" i="29"/>
  <c r="X190" i="29" s="1"/>
  <c r="AV187" i="29"/>
  <c r="AE76" i="29"/>
  <c r="X80" i="29"/>
  <c r="AV76" i="29"/>
  <c r="AV80" i="29" s="1"/>
  <c r="AD76" i="29"/>
  <c r="AC76" i="29"/>
  <c r="AV134" i="29"/>
  <c r="AI120" i="29"/>
  <c r="AU120" i="29" s="1"/>
  <c r="AE116" i="29"/>
  <c r="AY111" i="29"/>
  <c r="AY116" i="29" s="1"/>
  <c r="BA104" i="29"/>
  <c r="AC164" i="29"/>
  <c r="AI161" i="29"/>
  <c r="AE102" i="29"/>
  <c r="AY102" i="29" s="1"/>
  <c r="AC102" i="29"/>
  <c r="AD102" i="29"/>
  <c r="AX102" i="29" s="1"/>
  <c r="AV102" i="29"/>
  <c r="AV104" i="29" s="1"/>
  <c r="AI90" i="29"/>
  <c r="AU90" i="29" s="1"/>
  <c r="X199" i="29"/>
  <c r="AE84" i="29"/>
  <c r="AV84" i="29"/>
  <c r="AD84" i="29"/>
  <c r="AC84" i="29"/>
  <c r="AZ192" i="29"/>
  <c r="AZ191" i="29" s="1"/>
  <c r="AV86" i="29"/>
  <c r="AV193" i="29"/>
  <c r="AI79" i="29"/>
  <c r="AU79" i="29" s="1"/>
  <c r="AE75" i="29"/>
  <c r="AD23" i="29"/>
  <c r="BB192" i="29"/>
  <c r="BB16" i="29"/>
  <c r="BB188" i="29" s="1"/>
  <c r="AR188" i="29"/>
  <c r="AT189" i="29" s="1"/>
  <c r="BA81" i="29"/>
  <c r="AT193" i="29"/>
  <c r="AT86" i="29"/>
  <c r="AI72" i="29"/>
  <c r="AC75" i="29"/>
  <c r="AZ198" i="29"/>
  <c r="AZ16" i="29"/>
  <c r="X29" i="29"/>
  <c r="AD27" i="29"/>
  <c r="AE27" i="29"/>
  <c r="AV27" i="29"/>
  <c r="AV29" i="29" s="1"/>
  <c r="AC27" i="29"/>
  <c r="AI130" i="29"/>
  <c r="AU130" i="29" s="1"/>
  <c r="BA76" i="29"/>
  <c r="BA80" i="29" s="1"/>
  <c r="AT80" i="29"/>
  <c r="AV55" i="29"/>
  <c r="AD193" i="29"/>
  <c r="AC48" i="29"/>
  <c r="AI32" i="29"/>
  <c r="AU32" i="29" s="1"/>
  <c r="BC192" i="29"/>
  <c r="AD198" i="29"/>
  <c r="AX15" i="29"/>
  <c r="AX198" i="29" s="1"/>
  <c r="AY14" i="29"/>
  <c r="AE16" i="29"/>
  <c r="AE40" i="29"/>
  <c r="AY37" i="29"/>
  <c r="AY40" i="29" s="1"/>
  <c r="AI21" i="29"/>
  <c r="AI18" i="29"/>
  <c r="AU18" i="29" s="1"/>
  <c r="AT198" i="29"/>
  <c r="BA15" i="29"/>
  <c r="BA198" i="29" s="1"/>
  <c r="AI181" i="29"/>
  <c r="AC187" i="29"/>
  <c r="AR191" i="29"/>
  <c r="AT190" i="29" s="1"/>
  <c r="BA199" i="29"/>
  <c r="X201" i="29"/>
  <c r="AD12" i="29"/>
  <c r="X13" i="29"/>
  <c r="AE12" i="29"/>
  <c r="AC12" i="29"/>
  <c r="AV12" i="29"/>
  <c r="BC136" i="29"/>
  <c r="BC200" i="29"/>
  <c r="AC180" i="29"/>
  <c r="AI175" i="29"/>
  <c r="AE71" i="29"/>
  <c r="AY69" i="29"/>
  <c r="AY71" i="29" s="1"/>
  <c r="AW201" i="29"/>
  <c r="AW13" i="29"/>
  <c r="AT199" i="29"/>
  <c r="AE36" i="29"/>
  <c r="AY34" i="29"/>
  <c r="AY36" i="29" s="1"/>
  <c r="AV16" i="29"/>
  <c r="BB180" i="29"/>
  <c r="AT195" i="29"/>
  <c r="BA166" i="29"/>
  <c r="BA117" i="29"/>
  <c r="BA122" i="29" s="1"/>
  <c r="AT122" i="29"/>
  <c r="AD151" i="29"/>
  <c r="AD180" i="29"/>
  <c r="AX175" i="29"/>
  <c r="AX180" i="29" s="1"/>
  <c r="AI162" i="29"/>
  <c r="AU162" i="29" s="1"/>
  <c r="BB171" i="29"/>
  <c r="AV110" i="29"/>
  <c r="BC193" i="29"/>
  <c r="AX181" i="29"/>
  <c r="AX187" i="29" s="1"/>
  <c r="AD187" i="29"/>
  <c r="AC160" i="29"/>
  <c r="AI156" i="29"/>
  <c r="AC151" i="29"/>
  <c r="AT75" i="29"/>
  <c r="BA72" i="29"/>
  <c r="BA75" i="29" s="1"/>
  <c r="AC134" i="29"/>
  <c r="AI129" i="29"/>
  <c r="AD98" i="29"/>
  <c r="AI54" i="29"/>
  <c r="AU54" i="29" s="1"/>
  <c r="AS191" i="29"/>
  <c r="AI73" i="29"/>
  <c r="AU73" i="29" s="1"/>
  <c r="AY45" i="29"/>
  <c r="AY48" i="29" s="1"/>
  <c r="AE48" i="29"/>
  <c r="AV75" i="29"/>
  <c r="AC71" i="29"/>
  <c r="AI68" i="29"/>
  <c r="AT71" i="29"/>
  <c r="BA68" i="29"/>
  <c r="BA71" i="29" s="1"/>
  <c r="AE200" i="29"/>
  <c r="AE136" i="29"/>
  <c r="AY135" i="29"/>
  <c r="AE104" i="29"/>
  <c r="AY99" i="29"/>
  <c r="AY104" i="29" s="1"/>
  <c r="AI58" i="29"/>
  <c r="AU58" i="29" s="1"/>
  <c r="AT55" i="29"/>
  <c r="AC44" i="29"/>
  <c r="AI41" i="29"/>
  <c r="AI69" i="29"/>
  <c r="AU69" i="29" s="1"/>
  <c r="AD55" i="29"/>
  <c r="AX34" i="29"/>
  <c r="AX36" i="29" s="1"/>
  <c r="AD36" i="29"/>
  <c r="X198" i="29"/>
  <c r="R188" i="29"/>
  <c r="AX64" i="29"/>
  <c r="AX67" i="29" s="1"/>
  <c r="AD67" i="29"/>
  <c r="AE23" i="29"/>
  <c r="AY21" i="29"/>
  <c r="AY23" i="29" s="1"/>
  <c r="AX206" i="32" l="1"/>
  <c r="AV270" i="32"/>
  <c r="AE277" i="32"/>
  <c r="AI273" i="32"/>
  <c r="AU273" i="32" s="1"/>
  <c r="AE151" i="32"/>
  <c r="AI202" i="32"/>
  <c r="AU202" i="32" s="1"/>
  <c r="AC306" i="32"/>
  <c r="AW301" i="32"/>
  <c r="AP18" i="47" s="1"/>
  <c r="AP23" i="47" s="1"/>
  <c r="AI48" i="32"/>
  <c r="AU48" i="32" s="1"/>
  <c r="AI148" i="32"/>
  <c r="AU148" i="32" s="1"/>
  <c r="AI163" i="32"/>
  <c r="AU163" i="32" s="1"/>
  <c r="AI173" i="32"/>
  <c r="AY236" i="32"/>
  <c r="AY242" i="32" s="1"/>
  <c r="AE242" i="32"/>
  <c r="AY173" i="32"/>
  <c r="AY179" i="32" s="1"/>
  <c r="AD131" i="32"/>
  <c r="AC311" i="32"/>
  <c r="AE313" i="32"/>
  <c r="AY27" i="32"/>
  <c r="AX257" i="32"/>
  <c r="AX263" i="32" s="1"/>
  <c r="BA121" i="32"/>
  <c r="AI12" i="32"/>
  <c r="AU78" i="32"/>
  <c r="AI24" i="32"/>
  <c r="AU24" i="32" s="1"/>
  <c r="BC301" i="32"/>
  <c r="AV18" i="47" s="1"/>
  <c r="AV23" i="47" s="1"/>
  <c r="BA314" i="32"/>
  <c r="AU151" i="32"/>
  <c r="AI257" i="32"/>
  <c r="AI78" i="32"/>
  <c r="AI35" i="32"/>
  <c r="AX131" i="32"/>
  <c r="AV312" i="32"/>
  <c r="AD305" i="32"/>
  <c r="X301" i="32"/>
  <c r="Q18" i="47" s="1"/>
  <c r="BB304" i="32"/>
  <c r="AC312" i="32"/>
  <c r="X304" i="32"/>
  <c r="AC303" i="32" s="1"/>
  <c r="AY131" i="32"/>
  <c r="AX28" i="32"/>
  <c r="AX31" i="32" s="1"/>
  <c r="AD31" i="32"/>
  <c r="AY299" i="32"/>
  <c r="AY300" i="32" s="1"/>
  <c r="AE300" i="32"/>
  <c r="AZ301" i="32"/>
  <c r="AS18" i="47" s="1"/>
  <c r="AS23" i="47" s="1"/>
  <c r="AV108" i="32"/>
  <c r="AV121" i="32"/>
  <c r="AE131" i="32"/>
  <c r="AV306" i="32"/>
  <c r="AT303" i="32"/>
  <c r="AI28" i="32"/>
  <c r="AC302" i="32"/>
  <c r="AC300" i="32"/>
  <c r="AI299" i="32"/>
  <c r="BB301" i="32"/>
  <c r="AE312" i="32"/>
  <c r="AV311" i="32"/>
  <c r="AY28" i="32"/>
  <c r="AY31" i="32" s="1"/>
  <c r="AE31" i="32"/>
  <c r="AD300" i="32"/>
  <c r="AX299" i="32"/>
  <c r="AX300" i="32" s="1"/>
  <c r="AE305" i="32"/>
  <c r="AC305" i="32"/>
  <c r="AC313" i="32"/>
  <c r="AW304" i="32"/>
  <c r="AP27" i="47"/>
  <c r="AE27" i="32"/>
  <c r="AC27" i="32"/>
  <c r="AX311" i="32"/>
  <c r="AT302" i="32"/>
  <c r="AE13" i="32"/>
  <c r="AY12" i="32"/>
  <c r="AU254" i="32"/>
  <c r="AD108" i="32"/>
  <c r="AX98" i="32"/>
  <c r="AI17" i="32"/>
  <c r="AU14" i="32"/>
  <c r="AT304" i="32"/>
  <c r="AD215" i="32"/>
  <c r="AX207" i="32"/>
  <c r="AX215" i="32" s="1"/>
  <c r="AZ304" i="32"/>
  <c r="AE311" i="32"/>
  <c r="AE310" i="32"/>
  <c r="AY102" i="32"/>
  <c r="AY310" i="32" s="1"/>
  <c r="AC308" i="32"/>
  <c r="AI116" i="32"/>
  <c r="AI121" i="32" s="1"/>
  <c r="AE307" i="32"/>
  <c r="AY100" i="32"/>
  <c r="AY307" i="32" s="1"/>
  <c r="AI166" i="32"/>
  <c r="AC172" i="32"/>
  <c r="AI235" i="32"/>
  <c r="AU229" i="32"/>
  <c r="AU235" i="32" s="1"/>
  <c r="AI247" i="32"/>
  <c r="AC253" i="32"/>
  <c r="AU271" i="32"/>
  <c r="AU277" i="32" s="1"/>
  <c r="AI277" i="32"/>
  <c r="AI43" i="32"/>
  <c r="AU40" i="32"/>
  <c r="AU43" i="32" s="1"/>
  <c r="AI97" i="32"/>
  <c r="AU92" i="32"/>
  <c r="AU97" i="32" s="1"/>
  <c r="AC185" i="32"/>
  <c r="AI180" i="32"/>
  <c r="AC158" i="32"/>
  <c r="AI152" i="32"/>
  <c r="AD291" i="32"/>
  <c r="AE125" i="32"/>
  <c r="AY122" i="32"/>
  <c r="AY125" i="32" s="1"/>
  <c r="AI288" i="32"/>
  <c r="AU288" i="32" s="1"/>
  <c r="AU285" i="32"/>
  <c r="AX58" i="32"/>
  <c r="AU86" i="32"/>
  <c r="AU91" i="32" s="1"/>
  <c r="AI91" i="32"/>
  <c r="AI146" i="32"/>
  <c r="AC147" i="32"/>
  <c r="AD200" i="32"/>
  <c r="AX197" i="32"/>
  <c r="AX200" i="32" s="1"/>
  <c r="AU216" i="32"/>
  <c r="AU222" i="32" s="1"/>
  <c r="AI222" i="32"/>
  <c r="AI207" i="32"/>
  <c r="AC215" i="32"/>
  <c r="AE270" i="32"/>
  <c r="AY264" i="32"/>
  <c r="AY270" i="32" s="1"/>
  <c r="AU115" i="32"/>
  <c r="AI138" i="32"/>
  <c r="AU132" i="32"/>
  <c r="AU138" i="32" s="1"/>
  <c r="AI189" i="32"/>
  <c r="AU186" i="32"/>
  <c r="AU189" i="32" s="1"/>
  <c r="AU53" i="32"/>
  <c r="AI58" i="32"/>
  <c r="AY110" i="32"/>
  <c r="AV313" i="32"/>
  <c r="AC165" i="32"/>
  <c r="AI159" i="32"/>
  <c r="AX166" i="32"/>
  <c r="AX172" i="32" s="1"/>
  <c r="AD172" i="32"/>
  <c r="AE253" i="32"/>
  <c r="AY247" i="32"/>
  <c r="AY253" i="32" s="1"/>
  <c r="AY152" i="32"/>
  <c r="AY158" i="32" s="1"/>
  <c r="AE158" i="32"/>
  <c r="AY255" i="32"/>
  <c r="AY256" i="32" s="1"/>
  <c r="AE256" i="32"/>
  <c r="AU257" i="32"/>
  <c r="AU263" i="32" s="1"/>
  <c r="AI263" i="32"/>
  <c r="AI246" i="32"/>
  <c r="AU243" i="32"/>
  <c r="AU246" i="32" s="1"/>
  <c r="AX291" i="32"/>
  <c r="AX17" i="32"/>
  <c r="AC108" i="32"/>
  <c r="AI98" i="32"/>
  <c r="AD125" i="32"/>
  <c r="AX122" i="32"/>
  <c r="AX125" i="32" s="1"/>
  <c r="AC291" i="32"/>
  <c r="AC52" i="32"/>
  <c r="AI46" i="32"/>
  <c r="AU292" i="32"/>
  <c r="AU298" i="32" s="1"/>
  <c r="AI298" i="32"/>
  <c r="AY17" i="32"/>
  <c r="AD308" i="32"/>
  <c r="AX116" i="32"/>
  <c r="AX308" i="32" s="1"/>
  <c r="AC307" i="32"/>
  <c r="AI100" i="32"/>
  <c r="AE291" i="32"/>
  <c r="AD311" i="32"/>
  <c r="AE172" i="32"/>
  <c r="AY166" i="32"/>
  <c r="AY172" i="32" s="1"/>
  <c r="AY66" i="32"/>
  <c r="AY72" i="32" s="1"/>
  <c r="AE72" i="32"/>
  <c r="AE306" i="32"/>
  <c r="BC304" i="32"/>
  <c r="AU236" i="32"/>
  <c r="AU242" i="32" s="1"/>
  <c r="AI242" i="32"/>
  <c r="AI22" i="32"/>
  <c r="AU18" i="32"/>
  <c r="AU22" i="32" s="1"/>
  <c r="AE108" i="32"/>
  <c r="AY98" i="32"/>
  <c r="AU126" i="32"/>
  <c r="Y302" i="32"/>
  <c r="X302" i="32"/>
  <c r="AX46" i="32"/>
  <c r="AX52" i="32" s="1"/>
  <c r="AD52" i="32"/>
  <c r="AY197" i="32"/>
  <c r="AY200" i="32" s="1"/>
  <c r="AE200" i="32"/>
  <c r="AX264" i="32"/>
  <c r="AX270" i="32" s="1"/>
  <c r="AD270" i="32"/>
  <c r="AI85" i="32"/>
  <c r="AU79" i="32"/>
  <c r="AU85" i="32" s="1"/>
  <c r="AD310" i="32"/>
  <c r="AX102" i="32"/>
  <c r="AX310" i="32" s="1"/>
  <c r="AX110" i="32"/>
  <c r="AY291" i="32"/>
  <c r="AY58" i="32"/>
  <c r="AX159" i="32"/>
  <c r="AX165" i="32" s="1"/>
  <c r="AD165" i="32"/>
  <c r="AI196" i="32"/>
  <c r="AU190" i="32"/>
  <c r="AU196" i="32" s="1"/>
  <c r="AU201" i="32"/>
  <c r="AU206" i="32" s="1"/>
  <c r="AI39" i="32"/>
  <c r="AU36" i="32"/>
  <c r="AU39" i="32" s="1"/>
  <c r="BA311" i="32"/>
  <c r="AD185" i="32"/>
  <c r="AX180" i="32"/>
  <c r="AX185" i="32" s="1"/>
  <c r="AI314" i="32"/>
  <c r="AI13" i="32"/>
  <c r="AU12" i="32"/>
  <c r="BA306" i="32"/>
  <c r="BA52" i="32"/>
  <c r="AI122" i="32"/>
  <c r="AC125" i="32"/>
  <c r="AT301" i="32"/>
  <c r="AM18" i="47" s="1"/>
  <c r="AY46" i="32"/>
  <c r="AY52" i="32" s="1"/>
  <c r="AE52" i="32"/>
  <c r="AV305" i="32"/>
  <c r="AI114" i="32"/>
  <c r="AU111" i="32"/>
  <c r="AU114" i="32" s="1"/>
  <c r="AD147" i="32"/>
  <c r="AX146" i="32"/>
  <c r="AX147" i="32" s="1"/>
  <c r="AD313" i="32"/>
  <c r="BA313" i="32"/>
  <c r="BA110" i="32"/>
  <c r="BA308" i="32"/>
  <c r="AI224" i="32"/>
  <c r="AU223" i="32"/>
  <c r="AU224" i="32" s="1"/>
  <c r="AX247" i="32"/>
  <c r="AX253" i="32" s="1"/>
  <c r="AD253" i="32"/>
  <c r="AX66" i="32"/>
  <c r="AX72" i="32" s="1"/>
  <c r="AD72" i="32"/>
  <c r="AD306" i="32"/>
  <c r="AU23" i="32"/>
  <c r="AI228" i="32"/>
  <c r="AU225" i="32"/>
  <c r="AU228" i="32" s="1"/>
  <c r="AI110" i="32"/>
  <c r="AU109" i="32"/>
  <c r="AU278" i="32"/>
  <c r="AU284" i="32" s="1"/>
  <c r="AI284" i="32"/>
  <c r="BA305" i="32"/>
  <c r="BA17" i="32"/>
  <c r="AY146" i="32"/>
  <c r="AY147" i="32" s="1"/>
  <c r="AE147" i="32"/>
  <c r="AC200" i="32"/>
  <c r="AI197" i="32"/>
  <c r="AY207" i="32"/>
  <c r="AY215" i="32" s="1"/>
  <c r="AE215" i="32"/>
  <c r="AC270" i="32"/>
  <c r="AI264" i="32"/>
  <c r="AI65" i="32"/>
  <c r="AU59" i="32"/>
  <c r="AU65" i="32" s="1"/>
  <c r="AC310" i="32"/>
  <c r="AI102" i="32"/>
  <c r="AE308" i="32"/>
  <c r="AY116" i="32"/>
  <c r="AY308" i="32" s="1"/>
  <c r="AD307" i="32"/>
  <c r="AX100" i="32"/>
  <c r="AX307" i="32" s="1"/>
  <c r="AI179" i="32"/>
  <c r="AU173" i="32"/>
  <c r="AU179" i="32" s="1"/>
  <c r="AX314" i="32"/>
  <c r="AX13" i="32"/>
  <c r="AI145" i="32"/>
  <c r="AU139" i="32"/>
  <c r="AU145" i="32" s="1"/>
  <c r="AY159" i="32"/>
  <c r="AY165" i="32" s="1"/>
  <c r="AE165" i="32"/>
  <c r="AC72" i="32"/>
  <c r="AI66" i="32"/>
  <c r="AI306" i="32" s="1"/>
  <c r="AI45" i="32"/>
  <c r="AU44" i="32"/>
  <c r="AI130" i="32"/>
  <c r="AU130" i="32" s="1"/>
  <c r="AU312" i="32" s="1"/>
  <c r="AY180" i="32"/>
  <c r="AY185" i="32" s="1"/>
  <c r="AE185" i="32"/>
  <c r="AD158" i="32"/>
  <c r="AX152" i="32"/>
  <c r="AX158" i="32" s="1"/>
  <c r="AI255" i="32"/>
  <c r="AU255" i="32" s="1"/>
  <c r="AC256" i="32"/>
  <c r="AD52" i="31"/>
  <c r="AX49" i="31"/>
  <c r="AX52" i="31" s="1"/>
  <c r="X77" i="31"/>
  <c r="AC76" i="31" s="1"/>
  <c r="AI57" i="31"/>
  <c r="AU53" i="31"/>
  <c r="AU57" i="31" s="1"/>
  <c r="AE84" i="31"/>
  <c r="AY14" i="31"/>
  <c r="AY84" i="31" s="1"/>
  <c r="AD73" i="31"/>
  <c r="BA78" i="31"/>
  <c r="BA15" i="31"/>
  <c r="X74" i="31"/>
  <c r="AC75" i="31" s="1"/>
  <c r="AI67" i="31"/>
  <c r="AU65" i="31"/>
  <c r="AU67" i="31" s="1"/>
  <c r="BA87" i="31"/>
  <c r="BA25" i="31"/>
  <c r="AE85" i="31"/>
  <c r="AY30" i="31"/>
  <c r="AE32" i="31"/>
  <c r="AT77" i="31"/>
  <c r="BA79" i="31"/>
  <c r="AX81" i="31"/>
  <c r="AX48" i="31"/>
  <c r="AY49" i="31"/>
  <c r="AY52" i="31" s="1"/>
  <c r="AE52" i="31"/>
  <c r="AV78" i="31"/>
  <c r="AV15" i="31"/>
  <c r="AV74" i="31" s="1"/>
  <c r="AV87" i="31"/>
  <c r="AV25" i="31"/>
  <c r="AI73" i="31"/>
  <c r="AU68" i="31"/>
  <c r="AU73" i="31" s="1"/>
  <c r="AD85" i="31"/>
  <c r="AX30" i="31"/>
  <c r="AD32" i="31"/>
  <c r="AI81" i="31"/>
  <c r="AU44" i="31"/>
  <c r="AI48" i="31"/>
  <c r="AC86" i="31"/>
  <c r="AC40" i="31"/>
  <c r="AI39" i="31"/>
  <c r="AI33" i="31"/>
  <c r="AC38" i="31"/>
  <c r="AC78" i="31"/>
  <c r="AC15" i="31"/>
  <c r="AI12" i="31"/>
  <c r="AC87" i="31"/>
  <c r="AC25" i="31"/>
  <c r="AI24" i="31"/>
  <c r="AV86" i="31"/>
  <c r="AV40" i="31"/>
  <c r="AD78" i="31"/>
  <c r="AD15" i="31"/>
  <c r="AX12" i="31"/>
  <c r="AD84" i="31"/>
  <c r="AX14" i="31"/>
  <c r="AX84" i="31" s="1"/>
  <c r="AZ74" i="31"/>
  <c r="AD87" i="31"/>
  <c r="AX24" i="31"/>
  <c r="AD25" i="31"/>
  <c r="BA81" i="31"/>
  <c r="BA48" i="31"/>
  <c r="BB77" i="31"/>
  <c r="BA76" i="31" s="1"/>
  <c r="AT76" i="31"/>
  <c r="BC74" i="31"/>
  <c r="BA75" i="31" s="1"/>
  <c r="AE86" i="31"/>
  <c r="AY39" i="31"/>
  <c r="AE40" i="31"/>
  <c r="AY69" i="31"/>
  <c r="AY73" i="31" s="1"/>
  <c r="AE73" i="31"/>
  <c r="AE38" i="31"/>
  <c r="AY33" i="31"/>
  <c r="AW77" i="31"/>
  <c r="AC52" i="31"/>
  <c r="AI49" i="31"/>
  <c r="AE78" i="31"/>
  <c r="AE77" i="31" s="1"/>
  <c r="AE15" i="31"/>
  <c r="AE74" i="31" s="1"/>
  <c r="AY12" i="31"/>
  <c r="AI64" i="31"/>
  <c r="AU58" i="31"/>
  <c r="AU64" i="31" s="1"/>
  <c r="AC84" i="31"/>
  <c r="AI14" i="31"/>
  <c r="AZ77" i="31"/>
  <c r="AI19" i="31"/>
  <c r="AU16" i="31"/>
  <c r="AU19" i="31" s="1"/>
  <c r="AE87" i="31"/>
  <c r="AE25" i="31"/>
  <c r="AY24" i="31"/>
  <c r="AI43" i="31"/>
  <c r="AU41" i="31"/>
  <c r="AU43" i="31" s="1"/>
  <c r="AC85" i="31"/>
  <c r="AI30" i="31"/>
  <c r="AI23" i="31"/>
  <c r="AU20" i="31"/>
  <c r="AU23" i="31" s="1"/>
  <c r="AX73" i="31"/>
  <c r="AT74" i="31"/>
  <c r="BC77" i="31"/>
  <c r="AI32" i="31"/>
  <c r="AU26" i="31"/>
  <c r="BA86" i="31"/>
  <c r="BA40" i="31"/>
  <c r="AD86" i="31"/>
  <c r="AD40" i="31"/>
  <c r="AX39" i="31"/>
  <c r="AD38" i="31"/>
  <c r="AX33" i="31"/>
  <c r="AD79" i="31"/>
  <c r="AE110" i="30"/>
  <c r="AY14" i="30"/>
  <c r="AY110" i="30" s="1"/>
  <c r="AE113" i="30"/>
  <c r="AE17" i="30"/>
  <c r="AY16" i="30"/>
  <c r="AC54" i="30"/>
  <c r="AC112" i="30"/>
  <c r="AC30" i="30"/>
  <c r="AI29" i="30"/>
  <c r="AI86" i="30"/>
  <c r="AC92" i="30"/>
  <c r="AC100" i="30" s="1"/>
  <c r="AD44" i="30"/>
  <c r="AX38" i="30"/>
  <c r="AX44" i="30" s="1"/>
  <c r="BA71" i="30"/>
  <c r="BA107" i="30"/>
  <c r="AC28" i="30"/>
  <c r="AI24" i="30"/>
  <c r="AI105" i="30" s="1"/>
  <c r="AT103" i="30"/>
  <c r="AU31" i="30"/>
  <c r="AY81" i="30"/>
  <c r="BA112" i="30"/>
  <c r="BA30" i="30"/>
  <c r="AI77" i="30"/>
  <c r="AU77" i="30" s="1"/>
  <c r="AC81" i="30"/>
  <c r="BC103" i="30"/>
  <c r="AY37" i="30"/>
  <c r="AV107" i="30"/>
  <c r="AV37" i="30"/>
  <c r="AI99" i="30"/>
  <c r="AU93" i="30"/>
  <c r="AU99" i="30" s="1"/>
  <c r="AV113" i="30"/>
  <c r="AV17" i="30"/>
  <c r="AV100" i="30" s="1"/>
  <c r="AC110" i="30"/>
  <c r="AI14" i="30"/>
  <c r="AV112" i="30"/>
  <c r="AV30" i="30"/>
  <c r="AU72" i="30"/>
  <c r="AU75" i="30" s="1"/>
  <c r="AI75" i="30"/>
  <c r="AE44" i="30"/>
  <c r="AY38" i="30"/>
  <c r="AY44" i="30" s="1"/>
  <c r="AD28" i="30"/>
  <c r="AX24" i="30"/>
  <c r="AX28" i="30" s="1"/>
  <c r="AU76" i="30"/>
  <c r="AI81" i="30"/>
  <c r="AV23" i="30"/>
  <c r="AI65" i="30"/>
  <c r="AU62" i="30"/>
  <c r="AU65" i="30" s="1"/>
  <c r="AE81" i="30"/>
  <c r="AD104" i="30"/>
  <c r="AX77" i="30"/>
  <c r="AX81" i="30" s="1"/>
  <c r="AD81" i="30"/>
  <c r="AU49" i="30"/>
  <c r="AU54" i="30" s="1"/>
  <c r="AI54" i="30"/>
  <c r="AI38" i="30"/>
  <c r="AC44" i="30"/>
  <c r="AW100" i="30"/>
  <c r="AC113" i="30"/>
  <c r="AC17" i="30"/>
  <c r="AI16" i="30"/>
  <c r="AE112" i="30"/>
  <c r="AY29" i="30"/>
  <c r="AE30" i="30"/>
  <c r="AX86" i="30"/>
  <c r="AX92" i="30" s="1"/>
  <c r="AD92" i="30"/>
  <c r="AI15" i="30"/>
  <c r="AU12" i="30"/>
  <c r="AE15" i="30"/>
  <c r="AE100" i="30" s="1"/>
  <c r="AX23" i="30"/>
  <c r="AC111" i="30"/>
  <c r="AI20" i="30"/>
  <c r="AC107" i="30"/>
  <c r="AI32" i="30"/>
  <c r="AV105" i="30"/>
  <c r="AI85" i="30"/>
  <c r="AU82" i="30"/>
  <c r="AU85" i="30" s="1"/>
  <c r="AY105" i="30"/>
  <c r="AY23" i="30"/>
  <c r="BA105" i="30"/>
  <c r="BA23" i="30"/>
  <c r="BA100" i="30" s="1"/>
  <c r="AU48" i="30"/>
  <c r="AW103" i="30"/>
  <c r="AZ103" i="30"/>
  <c r="X103" i="30"/>
  <c r="AC102" i="30" s="1"/>
  <c r="AD112" i="30"/>
  <c r="AX29" i="30"/>
  <c r="AD30" i="30"/>
  <c r="AE92" i="30"/>
  <c r="AY86" i="30"/>
  <c r="AY92" i="30" s="1"/>
  <c r="AC104" i="30"/>
  <c r="AC103" i="30" s="1"/>
  <c r="AY15" i="30"/>
  <c r="AD111" i="30"/>
  <c r="AX20" i="30"/>
  <c r="AX111" i="30" s="1"/>
  <c r="AD107" i="30"/>
  <c r="AX32" i="30"/>
  <c r="AX107" i="30" s="1"/>
  <c r="BA104" i="30"/>
  <c r="BA103" i="30" s="1"/>
  <c r="BB103" i="30"/>
  <c r="BA102" i="30" s="1"/>
  <c r="AI48" i="30"/>
  <c r="AI71" i="30"/>
  <c r="AU66" i="30"/>
  <c r="AU71" i="30" s="1"/>
  <c r="AV104" i="30"/>
  <c r="AV103" i="30" s="1"/>
  <c r="AD113" i="30"/>
  <c r="AX16" i="30"/>
  <c r="AD17" i="30"/>
  <c r="AD100" i="30" s="1"/>
  <c r="AD110" i="30"/>
  <c r="AX14" i="30"/>
  <c r="AX110" i="30" s="1"/>
  <c r="Y101" i="30"/>
  <c r="X101" i="30"/>
  <c r="AU18" i="30"/>
  <c r="AI23" i="30"/>
  <c r="AE28" i="30"/>
  <c r="AY24" i="30"/>
  <c r="AY28" i="30" s="1"/>
  <c r="AE111" i="30"/>
  <c r="AY20" i="30"/>
  <c r="AY111" i="30" s="1"/>
  <c r="AE107" i="30"/>
  <c r="AE103" i="30" s="1"/>
  <c r="AY32" i="30"/>
  <c r="AY107" i="30" s="1"/>
  <c r="AE105" i="30"/>
  <c r="AI61" i="30"/>
  <c r="AU55" i="30"/>
  <c r="AU61" i="30" s="1"/>
  <c r="AC191" i="29"/>
  <c r="BA195" i="29"/>
  <c r="BA171" i="29"/>
  <c r="AC201" i="29"/>
  <c r="AC13" i="29"/>
  <c r="AC188" i="29" s="1"/>
  <c r="AI12" i="29"/>
  <c r="AU21" i="29"/>
  <c r="AU23" i="29" s="1"/>
  <c r="AI23" i="29"/>
  <c r="AU175" i="29"/>
  <c r="AU180" i="29" s="1"/>
  <c r="AE201" i="29"/>
  <c r="AY12" i="29"/>
  <c r="AE13" i="29"/>
  <c r="AC80" i="29"/>
  <c r="AI76" i="29"/>
  <c r="AV195" i="29"/>
  <c r="AV171" i="29"/>
  <c r="AU87" i="29"/>
  <c r="AU92" i="29" s="1"/>
  <c r="AI92" i="29"/>
  <c r="AX16" i="29"/>
  <c r="AU93" i="29"/>
  <c r="AU98" i="29" s="1"/>
  <c r="AI98" i="29"/>
  <c r="Y189" i="29"/>
  <c r="X189" i="29"/>
  <c r="AI44" i="29"/>
  <c r="AU41" i="29"/>
  <c r="AU44" i="29" s="1"/>
  <c r="AY200" i="29"/>
  <c r="AY136" i="29"/>
  <c r="AW188" i="29"/>
  <c r="AD201" i="29"/>
  <c r="AD13" i="29"/>
  <c r="AX12" i="29"/>
  <c r="AD199" i="29"/>
  <c r="AX84" i="29"/>
  <c r="AI52" i="29"/>
  <c r="AU49" i="29"/>
  <c r="AU52" i="29" s="1"/>
  <c r="AT191" i="29"/>
  <c r="AX152" i="29"/>
  <c r="AX155" i="29" s="1"/>
  <c r="AD155" i="29"/>
  <c r="BA16" i="29"/>
  <c r="AU53" i="29"/>
  <c r="AU55" i="29" s="1"/>
  <c r="AI55" i="29"/>
  <c r="AX200" i="29"/>
  <c r="AX136" i="29"/>
  <c r="AZ188" i="29"/>
  <c r="AU123" i="29"/>
  <c r="AU128" i="29" s="1"/>
  <c r="AI128" i="29"/>
  <c r="AD26" i="29"/>
  <c r="AX24" i="29"/>
  <c r="AX26" i="29" s="1"/>
  <c r="AI177" i="29"/>
  <c r="AU177" i="29" s="1"/>
  <c r="AI166" i="29"/>
  <c r="AC195" i="29"/>
  <c r="AI67" i="29"/>
  <c r="AU64" i="29"/>
  <c r="AU67" i="29" s="1"/>
  <c r="AU165" i="29"/>
  <c r="AC26" i="29"/>
  <c r="AI24" i="29"/>
  <c r="AD195" i="29"/>
  <c r="AX166" i="29"/>
  <c r="AD171" i="29"/>
  <c r="AY27" i="29"/>
  <c r="AY29" i="29" s="1"/>
  <c r="AE29" i="29"/>
  <c r="AU72" i="29"/>
  <c r="AU75" i="29" s="1"/>
  <c r="AI75" i="29"/>
  <c r="AY198" i="29"/>
  <c r="AU14" i="29"/>
  <c r="AI16" i="29"/>
  <c r="AU34" i="29"/>
  <c r="AU36" i="29" s="1"/>
  <c r="AI36" i="29"/>
  <c r="AU111" i="29"/>
  <c r="AU116" i="29" s="1"/>
  <c r="AI116" i="29"/>
  <c r="AC155" i="29"/>
  <c r="AI152" i="29"/>
  <c r="AX193" i="29"/>
  <c r="AI71" i="29"/>
  <c r="AU68" i="29"/>
  <c r="AU71" i="29" s="1"/>
  <c r="BC191" i="29"/>
  <c r="AD29" i="29"/>
  <c r="AX27" i="29"/>
  <c r="AX29" i="29" s="1"/>
  <c r="AC199" i="29"/>
  <c r="AI84" i="29"/>
  <c r="AI86" i="29" s="1"/>
  <c r="AD80" i="29"/>
  <c r="AX76" i="29"/>
  <c r="AX80" i="29" s="1"/>
  <c r="AW191" i="29"/>
  <c r="AI160" i="29"/>
  <c r="AU156" i="29"/>
  <c r="AU160" i="29" s="1"/>
  <c r="AV192" i="29"/>
  <c r="AY16" i="29"/>
  <c r="BA193" i="29"/>
  <c r="BA86" i="29"/>
  <c r="AV199" i="29"/>
  <c r="AI102" i="29"/>
  <c r="AU102" i="29" s="1"/>
  <c r="AU117" i="29"/>
  <c r="AU122" i="29" s="1"/>
  <c r="AI122" i="29"/>
  <c r="AD192" i="29"/>
  <c r="BA201" i="29"/>
  <c r="BA13" i="29"/>
  <c r="BA188" i="29" s="1"/>
  <c r="AI63" i="29"/>
  <c r="AU60" i="29"/>
  <c r="AU63" i="29" s="1"/>
  <c r="BA192" i="29"/>
  <c r="AC144" i="29"/>
  <c r="AI137" i="29"/>
  <c r="AI164" i="29"/>
  <c r="AU161" i="29"/>
  <c r="AU164" i="29" s="1"/>
  <c r="AU59" i="29"/>
  <c r="AY177" i="29"/>
  <c r="AY180" i="29" s="1"/>
  <c r="AE180" i="29"/>
  <c r="BB191" i="29"/>
  <c r="BA190" i="29" s="1"/>
  <c r="AY24" i="29"/>
  <c r="AY26" i="29" s="1"/>
  <c r="AE26" i="29"/>
  <c r="X188" i="29"/>
  <c r="AC189" i="29" s="1"/>
  <c r="AI187" i="29"/>
  <c r="AU181" i="29"/>
  <c r="AU187" i="29" s="1"/>
  <c r="AU105" i="29"/>
  <c r="AU110" i="29" s="1"/>
  <c r="AI110" i="29"/>
  <c r="BA200" i="29"/>
  <c r="BA136" i="29"/>
  <c r="AE144" i="29"/>
  <c r="AY137" i="29"/>
  <c r="AY144" i="29" s="1"/>
  <c r="AU129" i="29"/>
  <c r="AU134" i="29" s="1"/>
  <c r="AI134" i="29"/>
  <c r="AV201" i="29"/>
  <c r="AV13" i="29"/>
  <c r="AE192" i="29"/>
  <c r="AI27" i="29"/>
  <c r="AC29" i="29"/>
  <c r="AY84" i="29"/>
  <c r="AY199" i="29" s="1"/>
  <c r="AE199" i="29"/>
  <c r="AY76" i="29"/>
  <c r="AY80" i="29" s="1"/>
  <c r="AE80" i="29"/>
  <c r="AI40" i="29"/>
  <c r="AU37" i="29"/>
  <c r="AU40" i="29" s="1"/>
  <c r="AI19" i="29"/>
  <c r="AU17" i="29"/>
  <c r="AU19" i="29" s="1"/>
  <c r="AI193" i="29"/>
  <c r="AU81" i="29"/>
  <c r="AI198" i="29"/>
  <c r="AU15" i="29"/>
  <c r="AU198" i="29" s="1"/>
  <c r="AI200" i="29"/>
  <c r="AU135" i="29"/>
  <c r="AI136" i="29"/>
  <c r="AI33" i="29"/>
  <c r="AU30" i="29"/>
  <c r="AU33" i="29" s="1"/>
  <c r="AT188" i="29"/>
  <c r="AE155" i="29"/>
  <c r="AY152" i="29"/>
  <c r="AY155" i="29" s="1"/>
  <c r="X191" i="29"/>
  <c r="AC190" i="29" s="1"/>
  <c r="AU99" i="29"/>
  <c r="AY193" i="29"/>
  <c r="AY86" i="29"/>
  <c r="AI59" i="29"/>
  <c r="AD144" i="29"/>
  <c r="AX137" i="29"/>
  <c r="AX144" i="29" s="1"/>
  <c r="BC188" i="29"/>
  <c r="BA189" i="29" s="1"/>
  <c r="AE195" i="29"/>
  <c r="AY166" i="29"/>
  <c r="AE171" i="29"/>
  <c r="AI206" i="32" l="1"/>
  <c r="BA303" i="32"/>
  <c r="AI151" i="32"/>
  <c r="AI313" i="32"/>
  <c r="AV301" i="32"/>
  <c r="AO18" i="47" s="1"/>
  <c r="AU27" i="32"/>
  <c r="AI27" i="32"/>
  <c r="BA301" i="32"/>
  <c r="AT18" i="47" s="1"/>
  <c r="AI311" i="32"/>
  <c r="AU291" i="32"/>
  <c r="AY311" i="32"/>
  <c r="AI291" i="32"/>
  <c r="AE301" i="32"/>
  <c r="X18" i="47" s="1"/>
  <c r="AC304" i="32"/>
  <c r="AI31" i="32"/>
  <c r="AU28" i="32"/>
  <c r="AU31" i="32" s="1"/>
  <c r="BA302" i="32"/>
  <c r="AU18" i="47"/>
  <c r="AY306" i="32"/>
  <c r="AY108" i="32"/>
  <c r="AX121" i="32"/>
  <c r="AY13" i="32"/>
  <c r="AY314" i="32"/>
  <c r="AI300" i="32"/>
  <c r="AU299" i="32"/>
  <c r="AU300" i="32" s="1"/>
  <c r="AD304" i="32"/>
  <c r="BA304" i="32"/>
  <c r="AD301" i="32"/>
  <c r="W18" i="47" s="1"/>
  <c r="AE304" i="32"/>
  <c r="AC301" i="32"/>
  <c r="V18" i="47" s="1"/>
  <c r="AV304" i="32"/>
  <c r="AU45" i="32"/>
  <c r="AU311" i="32"/>
  <c r="AI200" i="32"/>
  <c r="AU197" i="32"/>
  <c r="AU200" i="32" s="1"/>
  <c r="AI125" i="32"/>
  <c r="AU122" i="32"/>
  <c r="AU125" i="32" s="1"/>
  <c r="AU131" i="32"/>
  <c r="AY313" i="32"/>
  <c r="AX306" i="32"/>
  <c r="AU17" i="32"/>
  <c r="AI256" i="32"/>
  <c r="AI108" i="32"/>
  <c r="AU98" i="32"/>
  <c r="AI253" i="32"/>
  <c r="AU247" i="32"/>
  <c r="AU253" i="32" s="1"/>
  <c r="AY121" i="32"/>
  <c r="AI72" i="32"/>
  <c r="AU66" i="32"/>
  <c r="AU72" i="32" s="1"/>
  <c r="AI270" i="32"/>
  <c r="AU264" i="32"/>
  <c r="AU270" i="32" s="1"/>
  <c r="AU110" i="32"/>
  <c r="AI52" i="32"/>
  <c r="AU46" i="32"/>
  <c r="AU52" i="32" s="1"/>
  <c r="AI165" i="32"/>
  <c r="AU159" i="32"/>
  <c r="AU165" i="32" s="1"/>
  <c r="AI158" i="32"/>
  <c r="AU152" i="32"/>
  <c r="AU158" i="32" s="1"/>
  <c r="AI305" i="32"/>
  <c r="AU314" i="32"/>
  <c r="AU13" i="32"/>
  <c r="AX313" i="32"/>
  <c r="AU58" i="32"/>
  <c r="AI215" i="32"/>
  <c r="AU207" i="32"/>
  <c r="AU215" i="32" s="1"/>
  <c r="AI147" i="32"/>
  <c r="AU146" i="32"/>
  <c r="AU147" i="32" s="1"/>
  <c r="AI308" i="32"/>
  <c r="AU116" i="32"/>
  <c r="AU308" i="32" s="1"/>
  <c r="AX108" i="32"/>
  <c r="AI310" i="32"/>
  <c r="AU102" i="32"/>
  <c r="AU310" i="32" s="1"/>
  <c r="AY305" i="32"/>
  <c r="AX305" i="32"/>
  <c r="AI185" i="32"/>
  <c r="AU180" i="32"/>
  <c r="AU185" i="32" s="1"/>
  <c r="AI131" i="32"/>
  <c r="AI307" i="32"/>
  <c r="AU100" i="32"/>
  <c r="AU307" i="32" s="1"/>
  <c r="AI312" i="32"/>
  <c r="AI172" i="32"/>
  <c r="AU166" i="32"/>
  <c r="AU172" i="32" s="1"/>
  <c r="AU256" i="32"/>
  <c r="AY86" i="31"/>
  <c r="AY40" i="31"/>
  <c r="AI87" i="31"/>
  <c r="AU24" i="31"/>
  <c r="AI25" i="31"/>
  <c r="AU81" i="31"/>
  <c r="AU48" i="31"/>
  <c r="AY85" i="31"/>
  <c r="AY32" i="31"/>
  <c r="AY78" i="31"/>
  <c r="AY77" i="31" s="1"/>
  <c r="AY15" i="31"/>
  <c r="AY74" i="31" s="1"/>
  <c r="AY38" i="31"/>
  <c r="AY79" i="31"/>
  <c r="AX78" i="31"/>
  <c r="AX15" i="31"/>
  <c r="AU33" i="31"/>
  <c r="AU38" i="31" s="1"/>
  <c r="AI38" i="31"/>
  <c r="BA74" i="31"/>
  <c r="AX38" i="31"/>
  <c r="AX79" i="31"/>
  <c r="AX87" i="31"/>
  <c r="AX25" i="31"/>
  <c r="AD74" i="31"/>
  <c r="AI86" i="31"/>
  <c r="AI40" i="31"/>
  <c r="AU39" i="31"/>
  <c r="BA77" i="31"/>
  <c r="AU79" i="31"/>
  <c r="AU32" i="31"/>
  <c r="AY87" i="31"/>
  <c r="AY25" i="31"/>
  <c r="AI84" i="31"/>
  <c r="AU14" i="31"/>
  <c r="AU84" i="31" s="1"/>
  <c r="AD77" i="31"/>
  <c r="AI78" i="31"/>
  <c r="AI15" i="31"/>
  <c r="AU12" i="31"/>
  <c r="AX85" i="31"/>
  <c r="AX32" i="31"/>
  <c r="AX86" i="31"/>
  <c r="AX40" i="31"/>
  <c r="AI52" i="31"/>
  <c r="AU49" i="31"/>
  <c r="AU52" i="31" s="1"/>
  <c r="AC74" i="31"/>
  <c r="AI75" i="31" s="1"/>
  <c r="AV77" i="31"/>
  <c r="AI79" i="31"/>
  <c r="AI85" i="31"/>
  <c r="AU30" i="31"/>
  <c r="AU85" i="31" s="1"/>
  <c r="AC77" i="31"/>
  <c r="AI76" i="31" s="1"/>
  <c r="AI101" i="30"/>
  <c r="AY113" i="30"/>
  <c r="AY17" i="30"/>
  <c r="AU15" i="30"/>
  <c r="AY112" i="30"/>
  <c r="AY30" i="30"/>
  <c r="AD103" i="30"/>
  <c r="AU81" i="30"/>
  <c r="AX104" i="30"/>
  <c r="AI92" i="30"/>
  <c r="AU86" i="30"/>
  <c r="AU92" i="30" s="1"/>
  <c r="AU23" i="30"/>
  <c r="AI107" i="30"/>
  <c r="AU32" i="30"/>
  <c r="AU107" i="30" s="1"/>
  <c r="AI111" i="30"/>
  <c r="AU20" i="30"/>
  <c r="AU111" i="30" s="1"/>
  <c r="AI44" i="30"/>
  <c r="AU38" i="30"/>
  <c r="AU44" i="30" s="1"/>
  <c r="AI112" i="30"/>
  <c r="AI30" i="30"/>
  <c r="AU29" i="30"/>
  <c r="AU24" i="30"/>
  <c r="AU28" i="30" s="1"/>
  <c r="AI28" i="30"/>
  <c r="AI100" i="30" s="1"/>
  <c r="AX113" i="30"/>
  <c r="AX17" i="30"/>
  <c r="AY100" i="30"/>
  <c r="AX112" i="30"/>
  <c r="AX30" i="30"/>
  <c r="AI104" i="30"/>
  <c r="AI113" i="30"/>
  <c r="AI17" i="30"/>
  <c r="AU16" i="30"/>
  <c r="AI37" i="30"/>
  <c r="AX15" i="30"/>
  <c r="AY104" i="30"/>
  <c r="AY103" i="30" s="1"/>
  <c r="AI110" i="30"/>
  <c r="AU14" i="30"/>
  <c r="AU110" i="30" s="1"/>
  <c r="AU37" i="30"/>
  <c r="AI102" i="30"/>
  <c r="AX37" i="30"/>
  <c r="AX105" i="30"/>
  <c r="AI104" i="29"/>
  <c r="AU104" i="29"/>
  <c r="AI29" i="29"/>
  <c r="AU27" i="29"/>
  <c r="AU29" i="29" s="1"/>
  <c r="AD191" i="29"/>
  <c r="AI190" i="29" s="1"/>
  <c r="AU16" i="29"/>
  <c r="AX201" i="29"/>
  <c r="AX13" i="29"/>
  <c r="AU76" i="29"/>
  <c r="AU80" i="29" s="1"/>
  <c r="AI80" i="29"/>
  <c r="AI180" i="29"/>
  <c r="AI199" i="29"/>
  <c r="AU84" i="29"/>
  <c r="AU199" i="29" s="1"/>
  <c r="AY201" i="29"/>
  <c r="AY13" i="29"/>
  <c r="AY188" i="29" s="1"/>
  <c r="AI26" i="29"/>
  <c r="AU24" i="29"/>
  <c r="AU26" i="29" s="1"/>
  <c r="AU137" i="29"/>
  <c r="AU144" i="29" s="1"/>
  <c r="AI144" i="29"/>
  <c r="AI155" i="29"/>
  <c r="AU152" i="29"/>
  <c r="AU155" i="29" s="1"/>
  <c r="AI195" i="29"/>
  <c r="AU166" i="29"/>
  <c r="AU195" i="29" s="1"/>
  <c r="AU193" i="29"/>
  <c r="AU86" i="29"/>
  <c r="AE191" i="29"/>
  <c r="BA191" i="29"/>
  <c r="AI192" i="29"/>
  <c r="AI171" i="29"/>
  <c r="AD188" i="29"/>
  <c r="AI189" i="29" s="1"/>
  <c r="AX192" i="29"/>
  <c r="AX191" i="29" s="1"/>
  <c r="AV191" i="29"/>
  <c r="AI201" i="29"/>
  <c r="AU12" i="29"/>
  <c r="AI13" i="29"/>
  <c r="AX199" i="29"/>
  <c r="AX86" i="29"/>
  <c r="AU200" i="29"/>
  <c r="AU136" i="29"/>
  <c r="AV188" i="29"/>
  <c r="AY192" i="29"/>
  <c r="AX195" i="29"/>
  <c r="AX171" i="29"/>
  <c r="AE188" i="29"/>
  <c r="AY195" i="29"/>
  <c r="AY171" i="29"/>
  <c r="AX301" i="32" l="1"/>
  <c r="AI303" i="32"/>
  <c r="AY301" i="32"/>
  <c r="AR18" i="47" s="1"/>
  <c r="AQ18" i="47"/>
  <c r="AU306" i="32"/>
  <c r="AI301" i="32"/>
  <c r="AB18" i="47" s="1"/>
  <c r="AX304" i="32"/>
  <c r="AY304" i="32"/>
  <c r="AI302" i="32"/>
  <c r="AU121" i="32"/>
  <c r="AI304" i="32"/>
  <c r="AU313" i="32"/>
  <c r="AU305" i="32"/>
  <c r="AU108" i="32"/>
  <c r="AI74" i="31"/>
  <c r="AI77" i="31"/>
  <c r="AU87" i="31"/>
  <c r="AU25" i="31"/>
  <c r="AX74" i="31"/>
  <c r="AU75" i="31" s="1"/>
  <c r="AU86" i="31"/>
  <c r="AU40" i="31"/>
  <c r="AX77" i="31"/>
  <c r="AU76" i="31" s="1"/>
  <c r="AU78" i="31"/>
  <c r="AU77" i="31" s="1"/>
  <c r="AU15" i="31"/>
  <c r="AU74" i="31" s="1"/>
  <c r="AU113" i="30"/>
  <c r="AU17" i="30"/>
  <c r="AU100" i="30" s="1"/>
  <c r="AX103" i="30"/>
  <c r="AU102" i="30" s="1"/>
  <c r="AU104" i="30"/>
  <c r="AI103" i="30"/>
  <c r="AX100" i="30"/>
  <c r="AU101" i="30" s="1"/>
  <c r="AU105" i="30"/>
  <c r="AU112" i="30"/>
  <c r="AU30" i="30"/>
  <c r="AX188" i="29"/>
  <c r="AY191" i="29"/>
  <c r="AU190" i="29" s="1"/>
  <c r="AI188" i="29"/>
  <c r="AU171" i="29"/>
  <c r="AU189" i="29"/>
  <c r="AU201" i="29"/>
  <c r="AU13" i="29"/>
  <c r="AI191" i="29"/>
  <c r="AU192" i="29"/>
  <c r="AU301" i="32" l="1"/>
  <c r="AN18" i="47" s="1"/>
  <c r="AU302" i="32"/>
  <c r="AU303" i="32"/>
  <c r="AU304" i="32"/>
  <c r="AU103" i="30"/>
  <c r="AU191" i="29"/>
  <c r="AU188" i="29"/>
  <c r="AN13" i="44" l="1"/>
  <c r="AR133" i="44"/>
  <c r="AT132" i="44"/>
  <c r="AR132" i="44"/>
  <c r="AR113" i="44"/>
  <c r="AR14" i="44"/>
  <c r="AS14" i="44"/>
  <c r="AS19" i="44" s="1"/>
  <c r="AT14" i="44"/>
  <c r="AR15" i="44"/>
  <c r="AT15" i="44" s="1"/>
  <c r="AS15" i="44"/>
  <c r="AR16" i="44"/>
  <c r="AT16" i="44" s="1"/>
  <c r="AS16" i="44"/>
  <c r="AR17" i="44"/>
  <c r="AS17" i="44"/>
  <c r="AR18" i="44"/>
  <c r="AS18" i="44"/>
  <c r="AT18" i="44" s="1"/>
  <c r="AR20" i="44"/>
  <c r="AS20" i="44"/>
  <c r="AS28" i="44" s="1"/>
  <c r="AT20" i="44"/>
  <c r="AR21" i="44"/>
  <c r="AS21" i="44"/>
  <c r="AR22" i="44"/>
  <c r="AS22" i="44"/>
  <c r="AT22" i="44"/>
  <c r="AR23" i="44"/>
  <c r="AT23" i="44" s="1"/>
  <c r="AS23" i="44"/>
  <c r="AR24" i="44"/>
  <c r="AR28" i="44" s="1"/>
  <c r="AS24" i="44"/>
  <c r="AR25" i="44"/>
  <c r="AS25" i="44"/>
  <c r="AR26" i="44"/>
  <c r="AS26" i="44"/>
  <c r="AT26" i="44" s="1"/>
  <c r="AR27" i="44"/>
  <c r="AS27" i="44"/>
  <c r="AR29" i="44"/>
  <c r="AT29" i="44" s="1"/>
  <c r="AS29" i="44"/>
  <c r="AR30" i="44"/>
  <c r="AT30" i="44" s="1"/>
  <c r="AS30" i="44"/>
  <c r="AS35" i="44" s="1"/>
  <c r="AR31" i="44"/>
  <c r="AS31" i="44"/>
  <c r="AR32" i="44"/>
  <c r="AS32" i="44"/>
  <c r="AT32" i="44" s="1"/>
  <c r="AR33" i="44"/>
  <c r="AS33" i="44"/>
  <c r="AR34" i="44"/>
  <c r="AT34" i="44" s="1"/>
  <c r="AS34" i="44"/>
  <c r="AR36" i="44"/>
  <c r="AT36" i="44" s="1"/>
  <c r="AS36" i="44"/>
  <c r="AS42" i="44" s="1"/>
  <c r="AR37" i="44"/>
  <c r="AS37" i="44"/>
  <c r="AR38" i="44"/>
  <c r="AT38" i="44" s="1"/>
  <c r="AS38" i="44"/>
  <c r="AR39" i="44"/>
  <c r="AT39" i="44" s="1"/>
  <c r="AS39" i="44"/>
  <c r="AR40" i="44"/>
  <c r="AS40" i="44"/>
  <c r="AR41" i="44"/>
  <c r="AT41" i="44" s="1"/>
  <c r="AS41" i="44"/>
  <c r="AR43" i="44"/>
  <c r="AT43" i="44" s="1"/>
  <c r="AS43" i="44"/>
  <c r="AS49" i="44" s="1"/>
  <c r="AR44" i="44"/>
  <c r="AS44" i="44"/>
  <c r="AT44" i="44"/>
  <c r="AR45" i="44"/>
  <c r="AS45" i="44"/>
  <c r="AR46" i="44"/>
  <c r="AS46" i="44"/>
  <c r="AR47" i="44"/>
  <c r="AS47" i="44"/>
  <c r="AR48" i="44"/>
  <c r="AS48" i="44"/>
  <c r="AR50" i="44"/>
  <c r="AS50" i="44"/>
  <c r="AS56" i="44" s="1"/>
  <c r="AR51" i="44"/>
  <c r="AS51" i="44"/>
  <c r="AR52" i="44"/>
  <c r="AS52" i="44"/>
  <c r="AR53" i="44"/>
  <c r="AS53" i="44"/>
  <c r="AR54" i="44"/>
  <c r="AT54" i="44" s="1"/>
  <c r="AS54" i="44"/>
  <c r="AR55" i="44"/>
  <c r="AT55" i="44" s="1"/>
  <c r="AS55" i="44"/>
  <c r="AR57" i="44"/>
  <c r="AR63" i="44" s="1"/>
  <c r="AS57" i="44"/>
  <c r="AS63" i="44" s="1"/>
  <c r="AR58" i="44"/>
  <c r="AT58" i="44" s="1"/>
  <c r="AS58" i="44"/>
  <c r="AR59" i="44"/>
  <c r="AS59" i="44"/>
  <c r="AR60" i="44"/>
  <c r="AS60" i="44"/>
  <c r="AR61" i="44"/>
  <c r="AS61" i="44"/>
  <c r="AR62" i="44"/>
  <c r="AT62" i="44" s="1"/>
  <c r="AS62" i="44"/>
  <c r="AR64" i="44"/>
  <c r="AS64" i="44"/>
  <c r="AS70" i="44" s="1"/>
  <c r="AR65" i="44"/>
  <c r="AS65" i="44"/>
  <c r="AR66" i="44"/>
  <c r="AT66" i="44" s="1"/>
  <c r="AS66" i="44"/>
  <c r="AR67" i="44"/>
  <c r="AS67" i="44"/>
  <c r="AR68" i="44"/>
  <c r="AS68" i="44"/>
  <c r="AT68" i="44" s="1"/>
  <c r="AR69" i="44"/>
  <c r="AS69" i="44"/>
  <c r="AR71" i="44"/>
  <c r="AR77" i="44" s="1"/>
  <c r="AS71" i="44"/>
  <c r="AR72" i="44"/>
  <c r="AT72" i="44" s="1"/>
  <c r="AS72" i="44"/>
  <c r="AS77" i="44" s="1"/>
  <c r="AR73" i="44"/>
  <c r="AS73" i="44"/>
  <c r="AR74" i="44"/>
  <c r="AT74" i="44" s="1"/>
  <c r="AS74" i="44"/>
  <c r="AR75" i="44"/>
  <c r="AT75" i="44" s="1"/>
  <c r="AS75" i="44"/>
  <c r="AR76" i="44"/>
  <c r="AS76" i="44"/>
  <c r="AR78" i="44"/>
  <c r="AS78" i="44"/>
  <c r="AS84" i="44" s="1"/>
  <c r="AT78" i="44"/>
  <c r="AR79" i="44"/>
  <c r="AS79" i="44"/>
  <c r="AR80" i="44"/>
  <c r="AT80" i="44" s="1"/>
  <c r="AS80" i="44"/>
  <c r="AR81" i="44"/>
  <c r="AT81" i="44" s="1"/>
  <c r="AS81" i="44"/>
  <c r="AR82" i="44"/>
  <c r="AS82" i="44"/>
  <c r="AR83" i="44"/>
  <c r="AS83" i="44"/>
  <c r="AR85" i="44"/>
  <c r="AR91" i="44" s="1"/>
  <c r="AS85" i="44"/>
  <c r="AS91" i="44" s="1"/>
  <c r="AR86" i="44"/>
  <c r="AS86" i="44"/>
  <c r="AR87" i="44"/>
  <c r="AT87" i="44" s="1"/>
  <c r="AS87" i="44"/>
  <c r="AR88" i="44"/>
  <c r="AT88" i="44" s="1"/>
  <c r="AS88" i="44"/>
  <c r="AR89" i="44"/>
  <c r="AT89" i="44" s="1"/>
  <c r="AS89" i="44"/>
  <c r="AR90" i="44"/>
  <c r="AS90" i="44"/>
  <c r="AT90" i="44"/>
  <c r="AR92" i="44"/>
  <c r="AS92" i="44"/>
  <c r="AT92" i="44" s="1"/>
  <c r="AT95" i="44" s="1"/>
  <c r="AR93" i="44"/>
  <c r="AT93" i="44" s="1"/>
  <c r="AS93" i="44"/>
  <c r="AR94" i="44"/>
  <c r="AT94" i="44" s="1"/>
  <c r="AS94" i="44"/>
  <c r="AR96" i="44"/>
  <c r="AR101" i="44" s="1"/>
  <c r="AS96" i="44"/>
  <c r="AT96" i="44" s="1"/>
  <c r="AR97" i="44"/>
  <c r="AS97" i="44"/>
  <c r="AR98" i="44"/>
  <c r="AT98" i="44" s="1"/>
  <c r="AS98" i="44"/>
  <c r="AR99" i="44"/>
  <c r="AT99" i="44" s="1"/>
  <c r="AS99" i="44"/>
  <c r="AR100" i="44"/>
  <c r="AT100" i="44" s="1"/>
  <c r="AS100" i="44"/>
  <c r="AR102" i="44"/>
  <c r="AT102" i="44" s="1"/>
  <c r="AS102" i="44"/>
  <c r="AS105" i="44" s="1"/>
  <c r="AR103" i="44"/>
  <c r="AS103" i="44"/>
  <c r="AR104" i="44"/>
  <c r="AS104" i="44"/>
  <c r="AT104" i="44" s="1"/>
  <c r="AR106" i="44"/>
  <c r="AR107" i="44" s="1"/>
  <c r="AS106" i="44"/>
  <c r="AS107" i="44" s="1"/>
  <c r="AT106" i="44"/>
  <c r="AT107" i="44" s="1"/>
  <c r="AR108" i="44"/>
  <c r="AS108" i="44"/>
  <c r="AS113" i="44" s="1"/>
  <c r="AR109" i="44"/>
  <c r="AS109" i="44"/>
  <c r="AR110" i="44"/>
  <c r="AT110" i="44" s="1"/>
  <c r="AS110" i="44"/>
  <c r="AR111" i="44"/>
  <c r="AS111" i="44"/>
  <c r="AR112" i="44"/>
  <c r="AS112" i="44"/>
  <c r="AR114" i="44"/>
  <c r="AR115" i="44" s="1"/>
  <c r="AS114" i="44"/>
  <c r="AS115" i="44" s="1"/>
  <c r="AR116" i="44"/>
  <c r="AT116" i="44" s="1"/>
  <c r="AS116" i="44"/>
  <c r="AS124" i="44" s="1"/>
  <c r="AR117" i="44"/>
  <c r="AT117" i="44" s="1"/>
  <c r="AS117" i="44"/>
  <c r="AR118" i="44"/>
  <c r="AS118" i="44"/>
  <c r="AR119" i="44"/>
  <c r="AS119" i="44"/>
  <c r="AR120" i="44"/>
  <c r="AT120" i="44" s="1"/>
  <c r="AS120" i="44"/>
  <c r="AR121" i="44"/>
  <c r="AS121" i="44"/>
  <c r="AR122" i="44"/>
  <c r="AS122" i="44"/>
  <c r="AR123" i="44"/>
  <c r="AT123" i="44" s="1"/>
  <c r="AS123" i="44"/>
  <c r="AR125" i="44"/>
  <c r="AS125" i="44"/>
  <c r="AS130" i="44" s="1"/>
  <c r="AR126" i="44"/>
  <c r="AR130" i="44" s="1"/>
  <c r="AS126" i="44"/>
  <c r="AT126" i="44"/>
  <c r="AR127" i="44"/>
  <c r="AT127" i="44" s="1"/>
  <c r="AS127" i="44"/>
  <c r="AR128" i="44"/>
  <c r="AT128" i="44" s="1"/>
  <c r="AS128" i="44"/>
  <c r="AR129" i="44"/>
  <c r="AT129" i="44" s="1"/>
  <c r="AS129" i="44"/>
  <c r="AS12" i="44"/>
  <c r="AR12" i="44"/>
  <c r="AR13" i="44" s="1"/>
  <c r="AR14" i="43"/>
  <c r="AS14" i="43"/>
  <c r="AR15" i="43"/>
  <c r="AS15" i="43"/>
  <c r="AR16" i="43"/>
  <c r="AS16" i="43"/>
  <c r="AR17" i="43"/>
  <c r="AT17" i="43" s="1"/>
  <c r="AS17" i="43"/>
  <c r="AR19" i="43"/>
  <c r="AS19" i="43"/>
  <c r="AR20" i="43"/>
  <c r="AS20" i="43"/>
  <c r="AR21" i="43"/>
  <c r="AT21" i="43" s="1"/>
  <c r="AS21" i="43"/>
  <c r="AR23" i="43"/>
  <c r="AS23" i="43"/>
  <c r="AR24" i="43"/>
  <c r="AS24" i="43"/>
  <c r="AR25" i="43"/>
  <c r="AS25" i="43"/>
  <c r="AR26" i="43"/>
  <c r="AS26" i="43"/>
  <c r="AR28" i="43"/>
  <c r="AS28" i="43"/>
  <c r="AR29" i="43"/>
  <c r="AS29" i="43"/>
  <c r="AR30" i="43"/>
  <c r="AS30" i="43"/>
  <c r="AR32" i="43"/>
  <c r="AS32" i="43"/>
  <c r="AR33" i="43"/>
  <c r="AS33" i="43"/>
  <c r="AR34" i="43"/>
  <c r="AS34" i="43"/>
  <c r="AR36" i="43"/>
  <c r="AS36" i="43"/>
  <c r="AR37" i="43"/>
  <c r="AS37" i="43"/>
  <c r="AR38" i="43"/>
  <c r="AS38" i="43"/>
  <c r="AR40" i="43"/>
  <c r="AS40" i="43"/>
  <c r="AR41" i="43"/>
  <c r="AS41" i="43"/>
  <c r="AR43" i="43"/>
  <c r="AS43" i="43"/>
  <c r="AR44" i="43"/>
  <c r="AS44" i="43"/>
  <c r="AR45" i="43"/>
  <c r="AS45" i="43"/>
  <c r="AR47" i="43"/>
  <c r="AS47" i="43"/>
  <c r="AR48" i="43"/>
  <c r="AS48" i="43"/>
  <c r="AR50" i="43"/>
  <c r="AS50" i="43"/>
  <c r="AR51" i="43"/>
  <c r="AS51" i="43"/>
  <c r="AR53" i="43"/>
  <c r="AS53" i="43"/>
  <c r="AR54" i="43"/>
  <c r="AS54" i="43"/>
  <c r="AR56" i="43"/>
  <c r="AS56" i="43"/>
  <c r="AR57" i="43"/>
  <c r="AS57" i="43"/>
  <c r="AR58" i="43"/>
  <c r="AS58" i="43"/>
  <c r="AR60" i="43"/>
  <c r="AS60" i="43"/>
  <c r="AR61" i="43"/>
  <c r="AS61" i="43"/>
  <c r="AR62" i="43"/>
  <c r="AS62" i="43"/>
  <c r="AR64" i="43"/>
  <c r="AS64" i="43"/>
  <c r="AR65" i="43"/>
  <c r="AS65" i="43"/>
  <c r="AR66" i="43"/>
  <c r="AS66" i="43"/>
  <c r="AR68" i="43"/>
  <c r="AS68" i="43"/>
  <c r="AR69" i="43"/>
  <c r="AS69" i="43"/>
  <c r="AR71" i="43"/>
  <c r="AS71" i="43"/>
  <c r="AR72" i="43"/>
  <c r="AS72" i="43"/>
  <c r="AR73" i="43"/>
  <c r="AS73" i="43"/>
  <c r="AR74" i="43"/>
  <c r="AS74" i="43"/>
  <c r="AR76" i="43"/>
  <c r="AS76" i="43"/>
  <c r="AR77" i="43"/>
  <c r="AS77" i="43"/>
  <c r="AR78" i="43"/>
  <c r="AS78" i="43"/>
  <c r="AR80" i="43"/>
  <c r="AS80" i="43"/>
  <c r="AR81" i="43"/>
  <c r="AS81" i="43"/>
  <c r="AR83" i="43"/>
  <c r="AS83" i="43"/>
  <c r="AR84" i="43"/>
  <c r="AS84" i="43"/>
  <c r="AR85" i="43"/>
  <c r="AS85" i="43"/>
  <c r="AR87" i="43"/>
  <c r="AS87" i="43"/>
  <c r="AR88" i="43"/>
  <c r="AS88" i="43"/>
  <c r="AR89" i="43"/>
  <c r="AS89" i="43"/>
  <c r="AR91" i="43"/>
  <c r="AS91" i="43"/>
  <c r="AR92" i="43"/>
  <c r="AS92" i="43"/>
  <c r="AR93" i="43"/>
  <c r="AS93" i="43"/>
  <c r="AR95" i="43"/>
  <c r="AS95" i="43"/>
  <c r="AR96" i="43"/>
  <c r="AS96" i="43"/>
  <c r="AR97" i="43"/>
  <c r="AS97" i="43"/>
  <c r="AR99" i="43"/>
  <c r="AS99" i="43"/>
  <c r="AR100" i="43"/>
  <c r="AS100" i="43"/>
  <c r="AR101" i="43"/>
  <c r="AS101" i="43"/>
  <c r="AR103" i="43"/>
  <c r="AS103" i="43"/>
  <c r="AR104" i="43"/>
  <c r="AS104" i="43"/>
  <c r="AR106" i="43"/>
  <c r="AS106" i="43"/>
  <c r="AR107" i="43"/>
  <c r="AS107" i="43"/>
  <c r="AR108" i="43"/>
  <c r="AS108" i="43"/>
  <c r="AR110" i="43"/>
  <c r="AS110" i="43"/>
  <c r="AR111" i="43"/>
  <c r="AS111" i="43"/>
  <c r="AR112" i="43"/>
  <c r="AS112" i="43"/>
  <c r="AR114" i="43"/>
  <c r="AS114" i="43"/>
  <c r="AR115" i="43"/>
  <c r="AT115" i="43" s="1"/>
  <c r="AS115" i="43"/>
  <c r="AR117" i="43"/>
  <c r="AS117" i="43"/>
  <c r="AR118" i="43"/>
  <c r="AS118" i="43"/>
  <c r="AR119" i="43"/>
  <c r="AS119" i="43"/>
  <c r="AR121" i="43"/>
  <c r="AS121" i="43"/>
  <c r="AR122" i="43"/>
  <c r="AS122" i="43"/>
  <c r="AR123" i="43"/>
  <c r="AT123" i="43" s="1"/>
  <c r="AS123" i="43"/>
  <c r="AR124" i="43"/>
  <c r="AS124" i="43"/>
  <c r="AR126" i="43"/>
  <c r="AS126" i="43"/>
  <c r="AR127" i="43"/>
  <c r="AS127" i="43"/>
  <c r="AR128" i="43"/>
  <c r="AS128" i="43"/>
  <c r="AR129" i="43"/>
  <c r="AS129" i="43"/>
  <c r="AR130" i="43"/>
  <c r="AT130" i="43" s="1"/>
  <c r="AS130" i="43"/>
  <c r="AR131" i="43"/>
  <c r="AS131" i="43"/>
  <c r="AR133" i="43"/>
  <c r="AS133" i="43"/>
  <c r="AR134" i="43"/>
  <c r="AT134" i="43" s="1"/>
  <c r="AS134" i="43"/>
  <c r="AR135" i="43"/>
  <c r="AS135" i="43"/>
  <c r="AR136" i="43"/>
  <c r="AS136" i="43"/>
  <c r="AR137" i="43"/>
  <c r="AS137" i="43"/>
  <c r="AR138" i="43"/>
  <c r="AS138" i="43"/>
  <c r="AR140" i="43"/>
  <c r="AS140" i="43"/>
  <c r="AR141" i="43"/>
  <c r="AS141" i="43"/>
  <c r="AR142" i="43"/>
  <c r="AS142" i="43"/>
  <c r="AR143" i="43"/>
  <c r="AS143" i="43"/>
  <c r="AR144" i="43"/>
  <c r="AT144" i="43" s="1"/>
  <c r="AS144" i="43"/>
  <c r="AR146" i="43"/>
  <c r="AS146" i="43"/>
  <c r="AR147" i="43"/>
  <c r="AS147" i="43"/>
  <c r="AR148" i="43"/>
  <c r="AS148" i="43"/>
  <c r="AR149" i="43"/>
  <c r="AS149" i="43"/>
  <c r="AR150" i="43"/>
  <c r="AS150" i="43"/>
  <c r="AR152" i="43"/>
  <c r="AS152" i="43"/>
  <c r="AR153" i="43"/>
  <c r="AS153" i="43"/>
  <c r="AR154" i="43"/>
  <c r="AS154" i="43"/>
  <c r="AR155" i="43"/>
  <c r="AS155" i="43"/>
  <c r="AR156" i="43"/>
  <c r="AS156" i="43"/>
  <c r="AR158" i="43"/>
  <c r="AS158" i="43"/>
  <c r="AR159" i="43"/>
  <c r="AS159" i="43"/>
  <c r="AR160" i="43"/>
  <c r="AS160" i="43"/>
  <c r="AR161" i="43"/>
  <c r="AS161" i="43"/>
  <c r="AR163" i="43"/>
  <c r="AS163" i="43"/>
  <c r="AR164" i="43"/>
  <c r="AS164" i="43"/>
  <c r="AR165" i="43"/>
  <c r="AS165" i="43"/>
  <c r="AR166" i="43"/>
  <c r="AS166" i="43"/>
  <c r="AR167" i="43"/>
  <c r="AT167" i="43" s="1"/>
  <c r="AS167" i="43"/>
  <c r="AR169" i="43"/>
  <c r="AS169" i="43"/>
  <c r="AR170" i="43"/>
  <c r="AS170" i="43"/>
  <c r="AR171" i="43"/>
  <c r="AS171" i="43"/>
  <c r="AR172" i="43"/>
  <c r="AS172" i="43"/>
  <c r="AR173" i="43"/>
  <c r="AS173" i="43"/>
  <c r="AR175" i="43"/>
  <c r="AS175" i="43"/>
  <c r="AR176" i="43"/>
  <c r="AS176" i="43"/>
  <c r="AR177" i="43"/>
  <c r="AS177" i="43"/>
  <c r="AR178" i="43"/>
  <c r="AT178" i="43" s="1"/>
  <c r="AS178" i="43"/>
  <c r="AR179" i="43"/>
  <c r="AS179" i="43"/>
  <c r="AR181" i="43"/>
  <c r="AS181" i="43"/>
  <c r="AR182" i="43"/>
  <c r="AS182" i="43"/>
  <c r="AR183" i="43"/>
  <c r="AS183" i="43"/>
  <c r="AR184" i="43"/>
  <c r="AS184" i="43"/>
  <c r="AR185" i="43"/>
  <c r="AS185" i="43"/>
  <c r="AR186" i="43"/>
  <c r="AS186" i="43"/>
  <c r="AR188" i="43"/>
  <c r="AS188" i="43"/>
  <c r="AR189" i="43"/>
  <c r="AS189" i="43"/>
  <c r="AR190" i="43"/>
  <c r="AS190" i="43"/>
  <c r="AR191" i="43"/>
  <c r="AS191" i="43"/>
  <c r="AR192" i="43"/>
  <c r="AS192" i="43"/>
  <c r="AR193" i="43"/>
  <c r="AT193" i="43" s="1"/>
  <c r="AS193" i="43"/>
  <c r="AR195" i="43"/>
  <c r="AS195" i="43"/>
  <c r="AR196" i="43"/>
  <c r="AS196" i="43"/>
  <c r="AR197" i="43"/>
  <c r="AT197" i="43" s="1"/>
  <c r="AS197" i="43"/>
  <c r="AR198" i="43"/>
  <c r="AS198" i="43"/>
  <c r="AR199" i="43"/>
  <c r="AS199" i="43"/>
  <c r="AR201" i="43"/>
  <c r="AT201" i="43" s="1"/>
  <c r="AS201" i="43"/>
  <c r="AR202" i="43"/>
  <c r="AS202" i="43"/>
  <c r="AR203" i="43"/>
  <c r="AS203" i="43"/>
  <c r="AR204" i="43"/>
  <c r="AT204" i="43" s="1"/>
  <c r="AS204" i="43"/>
  <c r="AR205" i="43"/>
  <c r="AS205" i="43"/>
  <c r="AR207" i="43"/>
  <c r="AS207" i="43"/>
  <c r="AR208" i="43"/>
  <c r="AS208" i="43"/>
  <c r="AR209" i="43"/>
  <c r="AS209" i="43"/>
  <c r="AR210" i="43"/>
  <c r="AS210" i="43"/>
  <c r="AR211" i="43"/>
  <c r="AT211" i="43" s="1"/>
  <c r="AS211" i="43"/>
  <c r="AR212" i="43"/>
  <c r="AS212" i="43"/>
  <c r="AR214" i="43"/>
  <c r="AS214" i="43"/>
  <c r="AR215" i="43"/>
  <c r="AT215" i="43" s="1"/>
  <c r="AS215" i="43"/>
  <c r="AR216" i="43"/>
  <c r="AS216" i="43"/>
  <c r="AR217" i="43"/>
  <c r="AS217" i="43"/>
  <c r="AR218" i="43"/>
  <c r="AS218" i="43"/>
  <c r="AR220" i="43"/>
  <c r="AS220" i="43"/>
  <c r="AR221" i="43"/>
  <c r="AS221" i="43"/>
  <c r="AR222" i="43"/>
  <c r="AS222" i="43"/>
  <c r="AR223" i="43"/>
  <c r="AS223" i="43"/>
  <c r="AR224" i="43"/>
  <c r="AS224" i="43"/>
  <c r="AR226" i="43"/>
  <c r="AT226" i="43" s="1"/>
  <c r="AS226" i="43"/>
  <c r="AR227" i="43"/>
  <c r="AS227" i="43"/>
  <c r="AR228" i="43"/>
  <c r="AS228" i="43"/>
  <c r="AR229" i="43"/>
  <c r="AT229" i="43" s="1"/>
  <c r="AS229" i="43"/>
  <c r="AR230" i="43"/>
  <c r="AS230" i="43"/>
  <c r="AR232" i="43"/>
  <c r="AS232" i="43"/>
  <c r="AR233" i="43"/>
  <c r="AS233" i="43"/>
  <c r="AR234" i="43"/>
  <c r="AS234" i="43"/>
  <c r="AR235" i="43"/>
  <c r="AS235" i="43"/>
  <c r="AR236" i="43"/>
  <c r="AS236" i="43"/>
  <c r="AR238" i="43"/>
  <c r="AS238" i="43"/>
  <c r="AR239" i="43"/>
  <c r="AS239" i="43"/>
  <c r="AR240" i="43"/>
  <c r="AT240" i="43" s="1"/>
  <c r="AS240" i="43"/>
  <c r="AR241" i="43"/>
  <c r="AS241" i="43"/>
  <c r="AR242" i="43"/>
  <c r="AS242" i="43"/>
  <c r="AR244" i="43"/>
  <c r="AT244" i="43" s="1"/>
  <c r="AS244" i="43"/>
  <c r="AR245" i="43"/>
  <c r="AS245" i="43"/>
  <c r="AR246" i="43"/>
  <c r="AS246" i="43"/>
  <c r="AR247" i="43"/>
  <c r="AS247" i="43"/>
  <c r="AR248" i="43"/>
  <c r="AS248" i="43"/>
  <c r="AR250" i="43"/>
  <c r="AS250" i="43"/>
  <c r="AR251" i="43"/>
  <c r="AS251" i="43"/>
  <c r="AR252" i="43"/>
  <c r="AS252" i="43"/>
  <c r="AR253" i="43"/>
  <c r="AS253" i="43"/>
  <c r="AR254" i="43"/>
  <c r="AS254" i="43"/>
  <c r="AR255" i="43"/>
  <c r="AS255" i="43"/>
  <c r="AR257" i="43"/>
  <c r="AS257" i="43"/>
  <c r="AS258" i="43" s="1"/>
  <c r="AR259" i="43"/>
  <c r="AS259" i="43"/>
  <c r="AR260" i="43"/>
  <c r="AS260" i="43"/>
  <c r="AR261" i="43"/>
  <c r="AS261" i="43"/>
  <c r="AR263" i="43"/>
  <c r="AS263" i="43"/>
  <c r="AR264" i="43"/>
  <c r="AS264" i="43"/>
  <c r="AR265" i="43"/>
  <c r="AS265" i="43"/>
  <c r="AR267" i="43"/>
  <c r="AS267" i="43"/>
  <c r="AR268" i="43"/>
  <c r="AS268" i="43"/>
  <c r="AT268" i="43" s="1"/>
  <c r="AR269" i="43"/>
  <c r="AS269" i="43"/>
  <c r="AR270" i="43"/>
  <c r="AT270" i="43" s="1"/>
  <c r="AS270" i="43"/>
  <c r="AR271" i="43"/>
  <c r="AS271" i="43"/>
  <c r="AR273" i="43"/>
  <c r="AS273" i="43"/>
  <c r="AR274" i="43"/>
  <c r="AT274" i="43" s="1"/>
  <c r="AS274" i="43"/>
  <c r="AR275" i="43"/>
  <c r="AS275" i="43"/>
  <c r="AR277" i="43"/>
  <c r="AS277" i="43"/>
  <c r="AR278" i="43"/>
  <c r="AT278" i="43" s="1"/>
  <c r="AS278" i="43"/>
  <c r="AR279" i="43"/>
  <c r="AS279" i="43"/>
  <c r="AR280" i="43"/>
  <c r="AS280" i="43"/>
  <c r="AR281" i="43"/>
  <c r="AS281" i="43"/>
  <c r="AR282" i="43"/>
  <c r="AS282" i="43"/>
  <c r="AR284" i="43"/>
  <c r="AS284" i="43"/>
  <c r="AR285" i="43"/>
  <c r="AS285" i="43"/>
  <c r="AR286" i="43"/>
  <c r="AS286" i="43"/>
  <c r="AR287" i="43"/>
  <c r="AS287" i="43"/>
  <c r="AR289" i="43"/>
  <c r="AS289" i="43"/>
  <c r="AR290" i="43"/>
  <c r="AS290" i="43"/>
  <c r="AR291" i="43"/>
  <c r="AS291" i="43"/>
  <c r="AR292" i="43"/>
  <c r="AS292" i="43"/>
  <c r="AR293" i="43"/>
  <c r="AS293" i="43"/>
  <c r="AR294" i="43"/>
  <c r="AS294" i="43"/>
  <c r="AR295" i="43"/>
  <c r="AS295" i="43"/>
  <c r="AR297" i="43"/>
  <c r="AS297" i="43"/>
  <c r="AS298" i="43" s="1"/>
  <c r="AR299" i="43"/>
  <c r="AS299" i="43"/>
  <c r="AR300" i="43"/>
  <c r="AS300" i="43"/>
  <c r="AR301" i="43"/>
  <c r="AS301" i="43"/>
  <c r="AR302" i="43"/>
  <c r="AS302" i="43"/>
  <c r="AR303" i="43"/>
  <c r="AS303" i="43"/>
  <c r="AR304" i="43"/>
  <c r="AS304" i="43"/>
  <c r="AR306" i="43"/>
  <c r="AS306" i="43"/>
  <c r="AR307" i="43"/>
  <c r="AS307" i="43"/>
  <c r="AR308" i="43"/>
  <c r="AS308" i="43"/>
  <c r="AR309" i="43"/>
  <c r="AS309" i="43"/>
  <c r="AR310" i="43"/>
  <c r="AT310" i="43" s="1"/>
  <c r="AS310" i="43"/>
  <c r="AR311" i="43"/>
  <c r="AS311" i="43"/>
  <c r="AR313" i="43"/>
  <c r="AS313" i="43"/>
  <c r="AR314" i="43"/>
  <c r="AS314" i="43"/>
  <c r="AR315" i="43"/>
  <c r="AS315" i="43"/>
  <c r="AR317" i="43"/>
  <c r="AS317" i="43"/>
  <c r="AR318" i="43"/>
  <c r="AS318" i="43"/>
  <c r="AR319" i="43"/>
  <c r="AS319" i="43"/>
  <c r="AR320" i="43"/>
  <c r="AS320" i="43"/>
  <c r="AR321" i="43"/>
  <c r="AS321" i="43"/>
  <c r="AR323" i="43"/>
  <c r="AS323" i="43"/>
  <c r="AS324" i="43" s="1"/>
  <c r="AR325" i="43"/>
  <c r="AS325" i="43"/>
  <c r="AR326" i="43"/>
  <c r="AS326" i="43"/>
  <c r="AR327" i="43"/>
  <c r="AS327" i="43"/>
  <c r="AR329" i="43"/>
  <c r="AS329" i="43"/>
  <c r="AR330" i="43"/>
  <c r="AS330" i="43"/>
  <c r="AR331" i="43"/>
  <c r="AS331" i="43"/>
  <c r="AR333" i="43"/>
  <c r="AS333" i="43"/>
  <c r="AR334" i="43"/>
  <c r="AT334" i="43" s="1"/>
  <c r="AS334" i="43"/>
  <c r="AR336" i="43"/>
  <c r="AS336" i="43"/>
  <c r="AR337" i="43"/>
  <c r="AS337" i="43"/>
  <c r="AR338" i="43"/>
  <c r="AS338" i="43"/>
  <c r="AR339" i="43"/>
  <c r="AS339" i="43"/>
  <c r="AR340" i="43"/>
  <c r="AS340" i="43"/>
  <c r="AR341" i="43"/>
  <c r="AS341" i="43"/>
  <c r="AR342" i="43"/>
  <c r="AT342" i="43" s="1"/>
  <c r="AS342" i="43"/>
  <c r="AR343" i="43"/>
  <c r="AS343" i="43"/>
  <c r="AR345" i="43"/>
  <c r="AS345" i="43"/>
  <c r="AR346" i="43"/>
  <c r="AS346" i="43"/>
  <c r="AR347" i="43"/>
  <c r="AS347" i="43"/>
  <c r="AR348" i="43"/>
  <c r="AS348" i="43"/>
  <c r="AR349" i="43"/>
  <c r="AS349" i="43"/>
  <c r="AR351" i="43"/>
  <c r="AS351" i="43"/>
  <c r="AR352" i="43"/>
  <c r="AS352" i="43"/>
  <c r="AR353" i="43"/>
  <c r="AS353" i="43"/>
  <c r="AR354" i="43"/>
  <c r="AS354" i="43"/>
  <c r="AR355" i="43"/>
  <c r="AS355" i="43"/>
  <c r="AR356" i="43"/>
  <c r="AS356" i="43"/>
  <c r="AR358" i="43"/>
  <c r="AS358" i="43"/>
  <c r="AR359" i="43"/>
  <c r="AS359" i="43"/>
  <c r="AR360" i="43"/>
  <c r="AS360" i="43"/>
  <c r="AR361" i="43"/>
  <c r="AS361" i="43"/>
  <c r="AR363" i="43"/>
  <c r="AS363" i="43"/>
  <c r="AR364" i="43"/>
  <c r="AS364" i="43"/>
  <c r="AR365" i="43"/>
  <c r="AS365" i="43"/>
  <c r="AR366" i="43"/>
  <c r="AS366" i="43"/>
  <c r="AR367" i="43"/>
  <c r="AS367" i="43"/>
  <c r="AR368" i="43"/>
  <c r="AT368" i="43" s="1"/>
  <c r="AS368" i="43"/>
  <c r="AR370" i="43"/>
  <c r="AS370" i="43"/>
  <c r="AR371" i="43"/>
  <c r="AS371" i="43"/>
  <c r="AR372" i="43"/>
  <c r="AS372" i="43"/>
  <c r="AR374" i="43"/>
  <c r="AR375" i="43" s="1"/>
  <c r="AS374" i="43"/>
  <c r="AS375" i="43" s="1"/>
  <c r="AR376" i="43"/>
  <c r="AS376" i="43"/>
  <c r="AR377" i="43"/>
  <c r="AT377" i="43" s="1"/>
  <c r="AS377" i="43"/>
  <c r="AR378" i="43"/>
  <c r="AS378" i="43"/>
  <c r="AR379" i="43"/>
  <c r="AS379" i="43"/>
  <c r="AR380" i="43"/>
  <c r="AS380" i="43"/>
  <c r="AR381" i="43"/>
  <c r="AS381" i="43"/>
  <c r="AR383" i="43"/>
  <c r="AS383" i="43"/>
  <c r="AR384" i="43"/>
  <c r="AS384" i="43"/>
  <c r="AR385" i="43"/>
  <c r="AS385" i="43"/>
  <c r="AR386" i="43"/>
  <c r="AS386" i="43"/>
  <c r="AR387" i="43"/>
  <c r="AT387" i="43" s="1"/>
  <c r="AS387" i="43"/>
  <c r="AR389" i="43"/>
  <c r="AS389" i="43"/>
  <c r="AR390" i="43"/>
  <c r="AS390" i="43"/>
  <c r="AR391" i="43"/>
  <c r="AS391" i="43"/>
  <c r="AR393" i="43"/>
  <c r="AS393" i="43"/>
  <c r="AR394" i="43"/>
  <c r="AS394" i="43"/>
  <c r="AR395" i="43"/>
  <c r="AS395" i="43"/>
  <c r="AR396" i="43"/>
  <c r="AS396" i="43"/>
  <c r="AR397" i="43"/>
  <c r="AS397" i="43"/>
  <c r="AR398" i="43"/>
  <c r="AS398" i="43"/>
  <c r="AR400" i="43"/>
  <c r="AS400" i="43"/>
  <c r="AR401" i="43"/>
  <c r="AS401" i="43"/>
  <c r="AR402" i="43"/>
  <c r="AS402" i="43"/>
  <c r="AR403" i="43"/>
  <c r="AS403" i="43"/>
  <c r="AR404" i="43"/>
  <c r="AS404" i="43"/>
  <c r="AR405" i="43"/>
  <c r="AS405" i="43"/>
  <c r="AR407" i="43"/>
  <c r="AS407" i="43"/>
  <c r="AR408" i="43"/>
  <c r="AS408" i="43"/>
  <c r="AR409" i="43"/>
  <c r="AS409" i="43"/>
  <c r="AR411" i="43"/>
  <c r="AS411" i="43"/>
  <c r="AR412" i="43"/>
  <c r="AS412" i="43"/>
  <c r="AR413" i="43"/>
  <c r="AT413" i="43" s="1"/>
  <c r="AS413" i="43"/>
  <c r="AR414" i="43"/>
  <c r="AS414" i="43"/>
  <c r="AR415" i="43"/>
  <c r="AS415" i="43"/>
  <c r="AR417" i="43"/>
  <c r="AT417" i="43" s="1"/>
  <c r="AS417" i="43"/>
  <c r="AR418" i="43"/>
  <c r="AS418" i="43"/>
  <c r="AR419" i="43"/>
  <c r="AT419" i="43" s="1"/>
  <c r="AS419" i="43"/>
  <c r="AR420" i="43"/>
  <c r="AS420" i="43"/>
  <c r="AR421" i="43"/>
  <c r="AS421" i="43"/>
  <c r="AR422" i="43"/>
  <c r="AS422" i="43"/>
  <c r="AR424" i="43"/>
  <c r="AS424" i="43"/>
  <c r="AR425" i="43"/>
  <c r="AS425" i="43"/>
  <c r="AR426" i="43"/>
  <c r="AS426" i="43"/>
  <c r="AR427" i="43"/>
  <c r="AS427" i="43"/>
  <c r="AR428" i="43"/>
  <c r="AS428" i="43"/>
  <c r="AR429" i="43"/>
  <c r="AT429" i="43" s="1"/>
  <c r="AS429" i="43"/>
  <c r="AR431" i="43"/>
  <c r="AS431" i="43"/>
  <c r="AR432" i="43"/>
  <c r="AS432" i="43"/>
  <c r="AR433" i="43"/>
  <c r="AT433" i="43" s="1"/>
  <c r="AS433" i="43"/>
  <c r="AR434" i="43"/>
  <c r="AS434" i="43"/>
  <c r="AR435" i="43"/>
  <c r="AS435" i="43"/>
  <c r="AR436" i="43"/>
  <c r="AS436" i="43"/>
  <c r="AR438" i="43"/>
  <c r="AS438" i="43"/>
  <c r="AR439" i="43"/>
  <c r="AS439" i="43"/>
  <c r="AR440" i="43"/>
  <c r="AS440" i="43"/>
  <c r="AR441" i="43"/>
  <c r="AS441" i="43"/>
  <c r="AR442" i="43"/>
  <c r="AS442" i="43"/>
  <c r="AR443" i="43"/>
  <c r="AS443" i="43"/>
  <c r="AR445" i="43"/>
  <c r="AS445" i="43"/>
  <c r="AR446" i="43"/>
  <c r="AS446" i="43"/>
  <c r="AR447" i="43"/>
  <c r="AS447" i="43"/>
  <c r="AR448" i="43"/>
  <c r="AS448" i="43"/>
  <c r="AR449" i="43"/>
  <c r="AS449" i="43"/>
  <c r="AR450" i="43"/>
  <c r="AS450" i="43"/>
  <c r="AR452" i="43"/>
  <c r="AS452" i="43"/>
  <c r="AR453" i="43"/>
  <c r="AS453" i="43"/>
  <c r="AR454" i="43"/>
  <c r="AS454" i="43"/>
  <c r="AR455" i="43"/>
  <c r="AS455" i="43"/>
  <c r="AR456" i="43"/>
  <c r="AS456" i="43"/>
  <c r="AR457" i="43"/>
  <c r="AS457" i="43"/>
  <c r="AR459" i="43"/>
  <c r="AS459" i="43"/>
  <c r="AR460" i="43"/>
  <c r="AS460" i="43"/>
  <c r="AR462" i="43"/>
  <c r="AS462" i="43"/>
  <c r="AR463" i="43"/>
  <c r="AS463" i="43"/>
  <c r="AR464" i="43"/>
  <c r="AS464" i="43"/>
  <c r="AQ465" i="43"/>
  <c r="AP465" i="43"/>
  <c r="AO465" i="43"/>
  <c r="AN465" i="43"/>
  <c r="AM465" i="43"/>
  <c r="AQ461" i="43"/>
  <c r="AP461" i="43"/>
  <c r="AO461" i="43"/>
  <c r="AN461" i="43"/>
  <c r="AM461" i="43"/>
  <c r="AQ458" i="43"/>
  <c r="AP458" i="43"/>
  <c r="AO458" i="43"/>
  <c r="AN458" i="43"/>
  <c r="AM458" i="43"/>
  <c r="AQ451" i="43"/>
  <c r="AP451" i="43"/>
  <c r="AO451" i="43"/>
  <c r="AN451" i="43"/>
  <c r="AM451" i="43"/>
  <c r="AQ444" i="43"/>
  <c r="AP444" i="43"/>
  <c r="AO444" i="43"/>
  <c r="AN444" i="43"/>
  <c r="AM444" i="43"/>
  <c r="AQ437" i="43"/>
  <c r="AP437" i="43"/>
  <c r="AO437" i="43"/>
  <c r="AN437" i="43"/>
  <c r="AM437" i="43"/>
  <c r="AQ430" i="43"/>
  <c r="AP430" i="43"/>
  <c r="AO430" i="43"/>
  <c r="AN430" i="43"/>
  <c r="AM430" i="43"/>
  <c r="AQ423" i="43"/>
  <c r="AP423" i="43"/>
  <c r="AO423" i="43"/>
  <c r="AN423" i="43"/>
  <c r="AM423" i="43"/>
  <c r="AQ416" i="43"/>
  <c r="AP416" i="43"/>
  <c r="AO416" i="43"/>
  <c r="AN416" i="43"/>
  <c r="AM416" i="43"/>
  <c r="AQ410" i="43"/>
  <c r="AP410" i="43"/>
  <c r="AO410" i="43"/>
  <c r="AN410" i="43"/>
  <c r="AM410" i="43"/>
  <c r="AQ406" i="43"/>
  <c r="AP406" i="43"/>
  <c r="AO406" i="43"/>
  <c r="AN406" i="43"/>
  <c r="AM406" i="43"/>
  <c r="AQ399" i="43"/>
  <c r="AP399" i="43"/>
  <c r="AO399" i="43"/>
  <c r="AN399" i="43"/>
  <c r="AM399" i="43"/>
  <c r="AQ392" i="43"/>
  <c r="AP392" i="43"/>
  <c r="AO392" i="43"/>
  <c r="AN392" i="43"/>
  <c r="AM392" i="43"/>
  <c r="AQ388" i="43"/>
  <c r="AP388" i="43"/>
  <c r="AO388" i="43"/>
  <c r="AN388" i="43"/>
  <c r="AM388" i="43"/>
  <c r="AQ382" i="43"/>
  <c r="AP382" i="43"/>
  <c r="AO382" i="43"/>
  <c r="AN382" i="43"/>
  <c r="AM382" i="43"/>
  <c r="AQ375" i="43"/>
  <c r="AP375" i="43"/>
  <c r="AO375" i="43"/>
  <c r="AN375" i="43"/>
  <c r="AM375" i="43"/>
  <c r="AQ373" i="43"/>
  <c r="AP373" i="43"/>
  <c r="AO373" i="43"/>
  <c r="AN373" i="43"/>
  <c r="AM373" i="43"/>
  <c r="AQ369" i="43"/>
  <c r="AP369" i="43"/>
  <c r="AO369" i="43"/>
  <c r="AN369" i="43"/>
  <c r="AM369" i="43"/>
  <c r="AQ362" i="43"/>
  <c r="AP362" i="43"/>
  <c r="AO362" i="43"/>
  <c r="AN362" i="43"/>
  <c r="AM362" i="43"/>
  <c r="AQ357" i="43"/>
  <c r="AP357" i="43"/>
  <c r="AO357" i="43"/>
  <c r="AN357" i="43"/>
  <c r="AM357" i="43"/>
  <c r="AQ350" i="43"/>
  <c r="AP350" i="43"/>
  <c r="AO350" i="43"/>
  <c r="AN350" i="43"/>
  <c r="AM350" i="43"/>
  <c r="AQ344" i="43"/>
  <c r="AP344" i="43"/>
  <c r="AO344" i="43"/>
  <c r="AN344" i="43"/>
  <c r="AM344" i="43"/>
  <c r="AQ335" i="43"/>
  <c r="AP335" i="43"/>
  <c r="AO335" i="43"/>
  <c r="AN335" i="43"/>
  <c r="AM335" i="43"/>
  <c r="AQ332" i="43"/>
  <c r="AP332" i="43"/>
  <c r="AO332" i="43"/>
  <c r="AN332" i="43"/>
  <c r="AM332" i="43"/>
  <c r="AQ328" i="43"/>
  <c r="AP328" i="43"/>
  <c r="AO328" i="43"/>
  <c r="AN328" i="43"/>
  <c r="AM328" i="43"/>
  <c r="AQ324" i="43"/>
  <c r="AP324" i="43"/>
  <c r="AO324" i="43"/>
  <c r="AN324" i="43"/>
  <c r="AM324" i="43"/>
  <c r="AQ322" i="43"/>
  <c r="AP322" i="43"/>
  <c r="AO322" i="43"/>
  <c r="AN322" i="43"/>
  <c r="AM322" i="43"/>
  <c r="AQ316" i="43"/>
  <c r="AP316" i="43"/>
  <c r="AO316" i="43"/>
  <c r="AN316" i="43"/>
  <c r="AM316" i="43"/>
  <c r="AQ312" i="43"/>
  <c r="AP312" i="43"/>
  <c r="AO312" i="43"/>
  <c r="AN312" i="43"/>
  <c r="AM312" i="43"/>
  <c r="AQ305" i="43"/>
  <c r="AP305" i="43"/>
  <c r="AO305" i="43"/>
  <c r="AN305" i="43"/>
  <c r="AM305" i="43"/>
  <c r="AQ298" i="43"/>
  <c r="AP298" i="43"/>
  <c r="AO298" i="43"/>
  <c r="AN298" i="43"/>
  <c r="AM298" i="43"/>
  <c r="AQ296" i="43"/>
  <c r="AP296" i="43"/>
  <c r="AO296" i="43"/>
  <c r="AN296" i="43"/>
  <c r="AM296" i="43"/>
  <c r="AQ288" i="43"/>
  <c r="AP288" i="43"/>
  <c r="AO288" i="43"/>
  <c r="AN288" i="43"/>
  <c r="AM288" i="43"/>
  <c r="AQ283" i="43"/>
  <c r="AP283" i="43"/>
  <c r="AO283" i="43"/>
  <c r="AN283" i="43"/>
  <c r="AM283" i="43"/>
  <c r="AQ276" i="43"/>
  <c r="AP276" i="43"/>
  <c r="AO276" i="43"/>
  <c r="AN276" i="43"/>
  <c r="AM276" i="43"/>
  <c r="AQ272" i="43"/>
  <c r="AP272" i="43"/>
  <c r="AO272" i="43"/>
  <c r="AN272" i="43"/>
  <c r="AM272" i="43"/>
  <c r="AQ266" i="43"/>
  <c r="AP266" i="43"/>
  <c r="AO266" i="43"/>
  <c r="AN266" i="43"/>
  <c r="AM266" i="43"/>
  <c r="AQ262" i="43"/>
  <c r="AP262" i="43"/>
  <c r="AO262" i="43"/>
  <c r="AN262" i="43"/>
  <c r="AM262" i="43"/>
  <c r="AQ258" i="43"/>
  <c r="AP258" i="43"/>
  <c r="AO258" i="43"/>
  <c r="AN258" i="43"/>
  <c r="AM258" i="43"/>
  <c r="AQ256" i="43"/>
  <c r="AP256" i="43"/>
  <c r="AO256" i="43"/>
  <c r="AN256" i="43"/>
  <c r="AM256" i="43"/>
  <c r="AQ249" i="43"/>
  <c r="AP249" i="43"/>
  <c r="AO249" i="43"/>
  <c r="AN249" i="43"/>
  <c r="AM249" i="43"/>
  <c r="AQ243" i="43"/>
  <c r="AP243" i="43"/>
  <c r="AO243" i="43"/>
  <c r="AN243" i="43"/>
  <c r="AM243" i="43"/>
  <c r="AQ237" i="43"/>
  <c r="AP237" i="43"/>
  <c r="AO237" i="43"/>
  <c r="AN237" i="43"/>
  <c r="AM237" i="43"/>
  <c r="AQ231" i="43"/>
  <c r="AP231" i="43"/>
  <c r="AO231" i="43"/>
  <c r="AN231" i="43"/>
  <c r="AM231" i="43"/>
  <c r="AQ225" i="43"/>
  <c r="AP225" i="43"/>
  <c r="AO225" i="43"/>
  <c r="AN225" i="43"/>
  <c r="AM225" i="43"/>
  <c r="AQ219" i="43"/>
  <c r="AP219" i="43"/>
  <c r="AO219" i="43"/>
  <c r="AN219" i="43"/>
  <c r="AM219" i="43"/>
  <c r="AQ213" i="43"/>
  <c r="AP213" i="43"/>
  <c r="AO213" i="43"/>
  <c r="AN213" i="43"/>
  <c r="AM213" i="43"/>
  <c r="AQ206" i="43"/>
  <c r="AP206" i="43"/>
  <c r="AO206" i="43"/>
  <c r="AN206" i="43"/>
  <c r="AM206" i="43"/>
  <c r="AQ200" i="43"/>
  <c r="AP200" i="43"/>
  <c r="AO200" i="43"/>
  <c r="AN200" i="43"/>
  <c r="AM200" i="43"/>
  <c r="AQ194" i="43"/>
  <c r="AP194" i="43"/>
  <c r="AO194" i="43"/>
  <c r="AN194" i="43"/>
  <c r="AM194" i="43"/>
  <c r="AQ187" i="43"/>
  <c r="AP187" i="43"/>
  <c r="AO187" i="43"/>
  <c r="AN187" i="43"/>
  <c r="AM187" i="43"/>
  <c r="AQ180" i="43"/>
  <c r="AP180" i="43"/>
  <c r="AO180" i="43"/>
  <c r="AN180" i="43"/>
  <c r="AM180" i="43"/>
  <c r="AQ174" i="43"/>
  <c r="AP174" i="43"/>
  <c r="AO174" i="43"/>
  <c r="AN174" i="43"/>
  <c r="AM174" i="43"/>
  <c r="AQ168" i="43"/>
  <c r="AP168" i="43"/>
  <c r="AO168" i="43"/>
  <c r="AN168" i="43"/>
  <c r="AM168" i="43"/>
  <c r="AQ162" i="43"/>
  <c r="AP162" i="43"/>
  <c r="AO162" i="43"/>
  <c r="AN162" i="43"/>
  <c r="AM162" i="43"/>
  <c r="AQ157" i="43"/>
  <c r="AP157" i="43"/>
  <c r="AO157" i="43"/>
  <c r="AN157" i="43"/>
  <c r="AM157" i="43"/>
  <c r="AQ151" i="43"/>
  <c r="AP151" i="43"/>
  <c r="AO151" i="43"/>
  <c r="AN151" i="43"/>
  <c r="AM151" i="43"/>
  <c r="AQ145" i="43"/>
  <c r="AP145" i="43"/>
  <c r="AO145" i="43"/>
  <c r="AN145" i="43"/>
  <c r="AM145" i="43"/>
  <c r="AQ139" i="43"/>
  <c r="AP139" i="43"/>
  <c r="AO139" i="43"/>
  <c r="AN139" i="43"/>
  <c r="AM139" i="43"/>
  <c r="AQ132" i="43"/>
  <c r="AP132" i="43"/>
  <c r="AO132" i="43"/>
  <c r="AN132" i="43"/>
  <c r="AM132" i="43"/>
  <c r="AQ125" i="43"/>
  <c r="AP125" i="43"/>
  <c r="AO125" i="43"/>
  <c r="AN125" i="43"/>
  <c r="AM125" i="43"/>
  <c r="AQ120" i="43"/>
  <c r="AP120" i="43"/>
  <c r="AO120" i="43"/>
  <c r="AN120" i="43"/>
  <c r="AM120" i="43"/>
  <c r="AQ116" i="43"/>
  <c r="AP116" i="43"/>
  <c r="AO116" i="43"/>
  <c r="AN116" i="43"/>
  <c r="AM116" i="43"/>
  <c r="AQ113" i="43"/>
  <c r="AP113" i="43"/>
  <c r="AO113" i="43"/>
  <c r="AN113" i="43"/>
  <c r="AM113" i="43"/>
  <c r="AQ109" i="43"/>
  <c r="AP109" i="43"/>
  <c r="AO109" i="43"/>
  <c r="AN109" i="43"/>
  <c r="AM109" i="43"/>
  <c r="AQ105" i="43"/>
  <c r="AP105" i="43"/>
  <c r="AO105" i="43"/>
  <c r="AN105" i="43"/>
  <c r="AM105" i="43"/>
  <c r="AQ102" i="43"/>
  <c r="AP102" i="43"/>
  <c r="AO102" i="43"/>
  <c r="AN102" i="43"/>
  <c r="AM102" i="43"/>
  <c r="AQ98" i="43"/>
  <c r="AP98" i="43"/>
  <c r="AO98" i="43"/>
  <c r="AN98" i="43"/>
  <c r="AM98" i="43"/>
  <c r="AQ94" i="43"/>
  <c r="AP94" i="43"/>
  <c r="AO94" i="43"/>
  <c r="AN94" i="43"/>
  <c r="AM94" i="43"/>
  <c r="AQ90" i="43"/>
  <c r="AP90" i="43"/>
  <c r="AO90" i="43"/>
  <c r="AN90" i="43"/>
  <c r="AM90" i="43"/>
  <c r="AQ86" i="43"/>
  <c r="AP86" i="43"/>
  <c r="AO86" i="43"/>
  <c r="AN86" i="43"/>
  <c r="AM86" i="43"/>
  <c r="AQ82" i="43"/>
  <c r="AP82" i="43"/>
  <c r="AO82" i="43"/>
  <c r="AN82" i="43"/>
  <c r="AM82" i="43"/>
  <c r="AQ79" i="43"/>
  <c r="AP79" i="43"/>
  <c r="AO79" i="43"/>
  <c r="AN79" i="43"/>
  <c r="AM79" i="43"/>
  <c r="AQ75" i="43"/>
  <c r="AP75" i="43"/>
  <c r="AO75" i="43"/>
  <c r="AN75" i="43"/>
  <c r="AM75" i="43"/>
  <c r="AQ70" i="43"/>
  <c r="AP70" i="43"/>
  <c r="AO70" i="43"/>
  <c r="AN70" i="43"/>
  <c r="AM70" i="43"/>
  <c r="AQ67" i="43"/>
  <c r="AP67" i="43"/>
  <c r="AO67" i="43"/>
  <c r="AN67" i="43"/>
  <c r="AM67" i="43"/>
  <c r="AQ63" i="43"/>
  <c r="AP63" i="43"/>
  <c r="AO63" i="43"/>
  <c r="AN63" i="43"/>
  <c r="AM63" i="43"/>
  <c r="AQ59" i="43"/>
  <c r="AP59" i="43"/>
  <c r="AO59" i="43"/>
  <c r="AN59" i="43"/>
  <c r="AM59" i="43"/>
  <c r="AQ55" i="43"/>
  <c r="AP55" i="43"/>
  <c r="AO55" i="43"/>
  <c r="AN55" i="43"/>
  <c r="AM55" i="43"/>
  <c r="AQ52" i="43"/>
  <c r="AP52" i="43"/>
  <c r="AO52" i="43"/>
  <c r="AN52" i="43"/>
  <c r="AM52" i="43"/>
  <c r="AQ49" i="43"/>
  <c r="AP49" i="43"/>
  <c r="AO49" i="43"/>
  <c r="AN49" i="43"/>
  <c r="AM49" i="43"/>
  <c r="AQ46" i="43"/>
  <c r="AP46" i="43"/>
  <c r="AO46" i="43"/>
  <c r="AN46" i="43"/>
  <c r="AM46" i="43"/>
  <c r="AQ42" i="43"/>
  <c r="AP42" i="43"/>
  <c r="AO42" i="43"/>
  <c r="AN42" i="43"/>
  <c r="AM42" i="43"/>
  <c r="AQ39" i="43"/>
  <c r="AP39" i="43"/>
  <c r="AO39" i="43"/>
  <c r="AN39" i="43"/>
  <c r="AM39" i="43"/>
  <c r="AQ35" i="43"/>
  <c r="AP35" i="43"/>
  <c r="AO35" i="43"/>
  <c r="AN35" i="43"/>
  <c r="AM35" i="43"/>
  <c r="AQ31" i="43"/>
  <c r="AP31" i="43"/>
  <c r="AO31" i="43"/>
  <c r="AN31" i="43"/>
  <c r="AM31" i="43"/>
  <c r="AQ27" i="43"/>
  <c r="AP27" i="43"/>
  <c r="AO27" i="43"/>
  <c r="AN27" i="43"/>
  <c r="AM27" i="43"/>
  <c r="AQ22" i="43"/>
  <c r="AP22" i="43"/>
  <c r="AO22" i="43"/>
  <c r="AN22" i="43"/>
  <c r="AM22" i="43"/>
  <c r="AQ18" i="43"/>
  <c r="AP18" i="43"/>
  <c r="AO18" i="43"/>
  <c r="AN18" i="43"/>
  <c r="AM18" i="43"/>
  <c r="AQ13" i="43"/>
  <c r="AP13" i="43"/>
  <c r="AO13" i="43"/>
  <c r="AN13" i="43"/>
  <c r="AM13" i="43"/>
  <c r="T465" i="43"/>
  <c r="T461" i="43"/>
  <c r="T458" i="43"/>
  <c r="T451" i="43"/>
  <c r="T444" i="43"/>
  <c r="T437" i="43"/>
  <c r="T430" i="43"/>
  <c r="T423" i="43"/>
  <c r="T416" i="43"/>
  <c r="T41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S335" i="43" l="1"/>
  <c r="AT343" i="43"/>
  <c r="AT365" i="43"/>
  <c r="AT436" i="43"/>
  <c r="AT380" i="43"/>
  <c r="AT320" i="43"/>
  <c r="AT294" i="43"/>
  <c r="AT228" i="43"/>
  <c r="AT306" i="43"/>
  <c r="AT443" i="43"/>
  <c r="AT124" i="43"/>
  <c r="AT104" i="43"/>
  <c r="AT100" i="43"/>
  <c r="AS70" i="43"/>
  <c r="AS22" i="43"/>
  <c r="AT391" i="43"/>
  <c r="AR82" i="43"/>
  <c r="AT453" i="43"/>
  <c r="AT378" i="43"/>
  <c r="AT366" i="43"/>
  <c r="AT150" i="43"/>
  <c r="AT48" i="43"/>
  <c r="AS332" i="43"/>
  <c r="AS288" i="43"/>
  <c r="AS276" i="43"/>
  <c r="AT390" i="43"/>
  <c r="AT160" i="43"/>
  <c r="AT77" i="43"/>
  <c r="AT69" i="43"/>
  <c r="AT44" i="43"/>
  <c r="AT24" i="43"/>
  <c r="AT20" i="43"/>
  <c r="AT327" i="43"/>
  <c r="AT323" i="43"/>
  <c r="AT324" i="43" s="1"/>
  <c r="AT315" i="43"/>
  <c r="AT308" i="43"/>
  <c r="AT282" i="43"/>
  <c r="AT271" i="43"/>
  <c r="AT260" i="43"/>
  <c r="AT252" i="43"/>
  <c r="AT245" i="43"/>
  <c r="AT238" i="43"/>
  <c r="AT223" i="43"/>
  <c r="AT96" i="43"/>
  <c r="AT84" i="43"/>
  <c r="AT72" i="43"/>
  <c r="AT64" i="43"/>
  <c r="AT43" i="43"/>
  <c r="AT363" i="43"/>
  <c r="AT355" i="43"/>
  <c r="AT352" i="43"/>
  <c r="AT348" i="43"/>
  <c r="AT54" i="43"/>
  <c r="AT339" i="43"/>
  <c r="AT331" i="43"/>
  <c r="AT319" i="43"/>
  <c r="AT311" i="43"/>
  <c r="AT293" i="43"/>
  <c r="AT286" i="43"/>
  <c r="AT264" i="43"/>
  <c r="AT255" i="43"/>
  <c r="AT248" i="43"/>
  <c r="AT234" i="43"/>
  <c r="AT209" i="43"/>
  <c r="AT51" i="43"/>
  <c r="AT463" i="43"/>
  <c r="AR105" i="43"/>
  <c r="AR98" i="43"/>
  <c r="AR59" i="43"/>
  <c r="AT415" i="43"/>
  <c r="AT383" i="43"/>
  <c r="AT449" i="43"/>
  <c r="AT439" i="43"/>
  <c r="AT435" i="43"/>
  <c r="AT425" i="43"/>
  <c r="AT421" i="43"/>
  <c r="AS399" i="43"/>
  <c r="AS392" i="43"/>
  <c r="AT379" i="43"/>
  <c r="AT356" i="43"/>
  <c r="AT257" i="43"/>
  <c r="AT258" i="43" s="1"/>
  <c r="AT246" i="43"/>
  <c r="AT242" i="43"/>
  <c r="AT214" i="43"/>
  <c r="AT210" i="43"/>
  <c r="AT133" i="43"/>
  <c r="AT129" i="43"/>
  <c r="AR116" i="43"/>
  <c r="AT41" i="43"/>
  <c r="AT37" i="43"/>
  <c r="AT33" i="43"/>
  <c r="AT408" i="43"/>
  <c r="AT62" i="43"/>
  <c r="AT15" i="43"/>
  <c r="AS461" i="43"/>
  <c r="AS444" i="43"/>
  <c r="AS430" i="43"/>
  <c r="AT407" i="43"/>
  <c r="AT403" i="43"/>
  <c r="AT396" i="43"/>
  <c r="AR388" i="43"/>
  <c r="AS373" i="43"/>
  <c r="AS120" i="43"/>
  <c r="AR67" i="43"/>
  <c r="AT404" i="43"/>
  <c r="AT66" i="43"/>
  <c r="AT459" i="43"/>
  <c r="AT448" i="43"/>
  <c r="AT445" i="43"/>
  <c r="AT441" i="43"/>
  <c r="AT402" i="43"/>
  <c r="AT205" i="43"/>
  <c r="AT202" i="43"/>
  <c r="AT198" i="43"/>
  <c r="AT149" i="43"/>
  <c r="AT88" i="43"/>
  <c r="AS67" i="43"/>
  <c r="AT56" i="43"/>
  <c r="AR39" i="43"/>
  <c r="AT32" i="43"/>
  <c r="AT394" i="43"/>
  <c r="AT87" i="43"/>
  <c r="AS465" i="43"/>
  <c r="AR316" i="43"/>
  <c r="AS266" i="43"/>
  <c r="AT38" i="43"/>
  <c r="AT34" i="43"/>
  <c r="AS458" i="43"/>
  <c r="AS388" i="43"/>
  <c r="AT358" i="43"/>
  <c r="AS357" i="43"/>
  <c r="AR332" i="43"/>
  <c r="AT321" i="43"/>
  <c r="AS139" i="43"/>
  <c r="AS113" i="43"/>
  <c r="AR94" i="43"/>
  <c r="AR86" i="43"/>
  <c r="AS168" i="43"/>
  <c r="AT455" i="43"/>
  <c r="AT452" i="43"/>
  <c r="AS451" i="43"/>
  <c r="AS416" i="43"/>
  <c r="AS410" i="43"/>
  <c r="AS406" i="43"/>
  <c r="AT386" i="43"/>
  <c r="AS382" i="43"/>
  <c r="AT340" i="43"/>
  <c r="AS328" i="43"/>
  <c r="AS272" i="43"/>
  <c r="AS262" i="43"/>
  <c r="AS249" i="43"/>
  <c r="AT236" i="43"/>
  <c r="AS231" i="43"/>
  <c r="AS200" i="43"/>
  <c r="AT188" i="43"/>
  <c r="AT184" i="43"/>
  <c r="AS187" i="43"/>
  <c r="AS151" i="43"/>
  <c r="AT97" i="43"/>
  <c r="AT30" i="43"/>
  <c r="AR416" i="43"/>
  <c r="AR187" i="43"/>
  <c r="AT462" i="43"/>
  <c r="AT457" i="43"/>
  <c r="AT454" i="43"/>
  <c r="AT450" i="43"/>
  <c r="AT431" i="43"/>
  <c r="AT427" i="43"/>
  <c r="AT317" i="43"/>
  <c r="AT177" i="43"/>
  <c r="AT170" i="43"/>
  <c r="AT166" i="43"/>
  <c r="AT163" i="43"/>
  <c r="AT159" i="43"/>
  <c r="AT80" i="43"/>
  <c r="AT57" i="43"/>
  <c r="AR324" i="43"/>
  <c r="AS157" i="43"/>
  <c r="AT464" i="43"/>
  <c r="AR410" i="43"/>
  <c r="AR276" i="43"/>
  <c r="AS174" i="43"/>
  <c r="AS105" i="43"/>
  <c r="AS102" i="43"/>
  <c r="AR79" i="43"/>
  <c r="AS63" i="43"/>
  <c r="AS49" i="43"/>
  <c r="AR42" i="43"/>
  <c r="AS35" i="43"/>
  <c r="AT304" i="43"/>
  <c r="AR180" i="43"/>
  <c r="AS145" i="43"/>
  <c r="AT136" i="43"/>
  <c r="AT103" i="43"/>
  <c r="AR35" i="43"/>
  <c r="AT28" i="43"/>
  <c r="AT124" i="44"/>
  <c r="AT19" i="44"/>
  <c r="AR42" i="44"/>
  <c r="AR124" i="44"/>
  <c r="AT12" i="44"/>
  <c r="AT13" i="44" s="1"/>
  <c r="AT125" i="44"/>
  <c r="AT130" i="44" s="1"/>
  <c r="AT118" i="44"/>
  <c r="AT114" i="44"/>
  <c r="AT115" i="44" s="1"/>
  <c r="AT108" i="44"/>
  <c r="AT52" i="44"/>
  <c r="AT48" i="44"/>
  <c r="AT45" i="44"/>
  <c r="AT49" i="44" s="1"/>
  <c r="AT21" i="44"/>
  <c r="AS13" i="44"/>
  <c r="AS95" i="44"/>
  <c r="AR70" i="44"/>
  <c r="AR95" i="44"/>
  <c r="AT67" i="44"/>
  <c r="AT51" i="44"/>
  <c r="AT31" i="44"/>
  <c r="AT35" i="44" s="1"/>
  <c r="AT25" i="44"/>
  <c r="AT28" i="44" s="1"/>
  <c r="AT17" i="44"/>
  <c r="AR19" i="44"/>
  <c r="AR35" i="44"/>
  <c r="AR49" i="44"/>
  <c r="AR56" i="44"/>
  <c r="AR105" i="44"/>
  <c r="AT86" i="44"/>
  <c r="AT82" i="44"/>
  <c r="AT76" i="44"/>
  <c r="AT69" i="44"/>
  <c r="AT64" i="44"/>
  <c r="AT60" i="44"/>
  <c r="AT57" i="44"/>
  <c r="AT40" i="44"/>
  <c r="AT27" i="44"/>
  <c r="AT24" i="44"/>
  <c r="AS101" i="44"/>
  <c r="AR84" i="44"/>
  <c r="AT122" i="44"/>
  <c r="AT112" i="44"/>
  <c r="AT79" i="44"/>
  <c r="AT84" i="44" s="1"/>
  <c r="AT53" i="44"/>
  <c r="AT50" i="44"/>
  <c r="AT56" i="44" s="1"/>
  <c r="AT46" i="44"/>
  <c r="AT83" i="44"/>
  <c r="AT121" i="44"/>
  <c r="AT109" i="44"/>
  <c r="AT97" i="44"/>
  <c r="AT101" i="44" s="1"/>
  <c r="AT85" i="44"/>
  <c r="AT91" i="44" s="1"/>
  <c r="AT73" i="44"/>
  <c r="AT61" i="44"/>
  <c r="AT37" i="44"/>
  <c r="AT42" i="44" s="1"/>
  <c r="AT71" i="44"/>
  <c r="AT77" i="44" s="1"/>
  <c r="AT111" i="44"/>
  <c r="AT47" i="44"/>
  <c r="AT65" i="44"/>
  <c r="AT119" i="44"/>
  <c r="AT59" i="44"/>
  <c r="AT103" i="44"/>
  <c r="AT105" i="44" s="1"/>
  <c r="AT33" i="44"/>
  <c r="AT432" i="43"/>
  <c r="AR437" i="43"/>
  <c r="AT351" i="43"/>
  <c r="AR357" i="43"/>
  <c r="AT126" i="43"/>
  <c r="AR132" i="43"/>
  <c r="AT118" i="43"/>
  <c r="AR120" i="43"/>
  <c r="AT110" i="43"/>
  <c r="AR113" i="43"/>
  <c r="AT106" i="43"/>
  <c r="AR109" i="43"/>
  <c r="AT50" i="43"/>
  <c r="AS52" i="43"/>
  <c r="AS437" i="43"/>
  <c r="AT418" i="43"/>
  <c r="AR423" i="43"/>
  <c r="AT400" i="43"/>
  <c r="AR406" i="43"/>
  <c r="AT376" i="43"/>
  <c r="AR382" i="43"/>
  <c r="AT367" i="43"/>
  <c r="AT364" i="43"/>
  <c r="AR369" i="43"/>
  <c r="AT360" i="43"/>
  <c r="AR344" i="43"/>
  <c r="AR335" i="43"/>
  <c r="AR328" i="43"/>
  <c r="AS322" i="43"/>
  <c r="AS316" i="43"/>
  <c r="AS305" i="43"/>
  <c r="AT267" i="43"/>
  <c r="AR272" i="43"/>
  <c r="AT263" i="43"/>
  <c r="AR266" i="43"/>
  <c r="AT259" i="43"/>
  <c r="AR262" i="43"/>
  <c r="AT254" i="43"/>
  <c r="AT251" i="43"/>
  <c r="AR256" i="43"/>
  <c r="AT142" i="43"/>
  <c r="AR145" i="43"/>
  <c r="AS125" i="43"/>
  <c r="AT16" i="43"/>
  <c r="AR243" i="43"/>
  <c r="AT438" i="43"/>
  <c r="AR444" i="43"/>
  <c r="AT424" i="43"/>
  <c r="AR430" i="43"/>
  <c r="AS423" i="43"/>
  <c r="AT393" i="43"/>
  <c r="AR399" i="43"/>
  <c r="AT389" i="43"/>
  <c r="AR392" i="43"/>
  <c r="AT381" i="43"/>
  <c r="AS369" i="43"/>
  <c r="AS344" i="43"/>
  <c r="AR312" i="43"/>
  <c r="AR288" i="43"/>
  <c r="AT284" i="43"/>
  <c r="AT280" i="43"/>
  <c r="AS283" i="43"/>
  <c r="AS256" i="43"/>
  <c r="AS237" i="43"/>
  <c r="AS219" i="43"/>
  <c r="AS213" i="43"/>
  <c r="AS206" i="43"/>
  <c r="AS79" i="43"/>
  <c r="AS55" i="43"/>
  <c r="AS27" i="43"/>
  <c r="AR22" i="43"/>
  <c r="AR46" i="43"/>
  <c r="AR90" i="43"/>
  <c r="AT460" i="43"/>
  <c r="AR461" i="43"/>
  <c r="AT447" i="43"/>
  <c r="AR451" i="43"/>
  <c r="AS350" i="43"/>
  <c r="AR283" i="43"/>
  <c r="AR237" i="43"/>
  <c r="AR213" i="43"/>
  <c r="AS162" i="43"/>
  <c r="AT68" i="43"/>
  <c r="AR70" i="43"/>
  <c r="AT23" i="43"/>
  <c r="AR27" i="43"/>
  <c r="AS362" i="43"/>
  <c r="AR305" i="43"/>
  <c r="AT297" i="43"/>
  <c r="AT298" i="43" s="1"/>
  <c r="AR298" i="43"/>
  <c r="AT290" i="43"/>
  <c r="AR296" i="43"/>
  <c r="AS243" i="43"/>
  <c r="AT230" i="43"/>
  <c r="AT220" i="43"/>
  <c r="AS225" i="43"/>
  <c r="AT212" i="43"/>
  <c r="AT203" i="43"/>
  <c r="AR206" i="43"/>
  <c r="AT196" i="43"/>
  <c r="AT169" i="43"/>
  <c r="AR174" i="43"/>
  <c r="AT165" i="43"/>
  <c r="AR168" i="43"/>
  <c r="AT161" i="43"/>
  <c r="AT158" i="43"/>
  <c r="AR162" i="43"/>
  <c r="AT154" i="43"/>
  <c r="AR157" i="43"/>
  <c r="AR102" i="43"/>
  <c r="AS98" i="43"/>
  <c r="AS94" i="43"/>
  <c r="AS90" i="43"/>
  <c r="AS86" i="43"/>
  <c r="AS75" i="43"/>
  <c r="AR63" i="43"/>
  <c r="AS39" i="43"/>
  <c r="AT29" i="43"/>
  <c r="AS18" i="43"/>
  <c r="AR31" i="43"/>
  <c r="AR52" i="43"/>
  <c r="AR75" i="43"/>
  <c r="AT318" i="43"/>
  <c r="AS296" i="43"/>
  <c r="AT227" i="43"/>
  <c r="AR231" i="43"/>
  <c r="AR225" i="43"/>
  <c r="AT216" i="43"/>
  <c r="AR219" i="43"/>
  <c r="AR194" i="43"/>
  <c r="AT185" i="43"/>
  <c r="AT182" i="43"/>
  <c r="AS180" i="43"/>
  <c r="AS132" i="43"/>
  <c r="AS109" i="43"/>
  <c r="AT78" i="43"/>
  <c r="AT74" i="43"/>
  <c r="AT58" i="43"/>
  <c r="AT47" i="43"/>
  <c r="AR49" i="43"/>
  <c r="AS46" i="43"/>
  <c r="AT36" i="43"/>
  <c r="AS31" i="43"/>
  <c r="AR18" i="43"/>
  <c r="AT14" i="43"/>
  <c r="AT440" i="43"/>
  <c r="AT426" i="43"/>
  <c r="AT412" i="43"/>
  <c r="AT374" i="43"/>
  <c r="AT375" i="43" s="1"/>
  <c r="AT370" i="43"/>
  <c r="AT353" i="43"/>
  <c r="AT346" i="43"/>
  <c r="AT329" i="43"/>
  <c r="AT307" i="43"/>
  <c r="AT303" i="43"/>
  <c r="AT300" i="43"/>
  <c r="AT295" i="43"/>
  <c r="AT292" i="43"/>
  <c r="AT269" i="43"/>
  <c r="AT247" i="43"/>
  <c r="AT175" i="43"/>
  <c r="AT171" i="43"/>
  <c r="AT141" i="43"/>
  <c r="AT121" i="43"/>
  <c r="AT117" i="43"/>
  <c r="AT108" i="43"/>
  <c r="AT93" i="43"/>
  <c r="AT81" i="43"/>
  <c r="AT61" i="43"/>
  <c r="AT45" i="43"/>
  <c r="AT46" i="43" s="1"/>
  <c r="AT25" i="43"/>
  <c r="AT19" i="43"/>
  <c r="AS59" i="43"/>
  <c r="AS82" i="43"/>
  <c r="AS194" i="43"/>
  <c r="AT411" i="43"/>
  <c r="AT384" i="43"/>
  <c r="AT336" i="43"/>
  <c r="AT250" i="43"/>
  <c r="AT222" i="43"/>
  <c r="AT195" i="43"/>
  <c r="AT143" i="43"/>
  <c r="AT60" i="43"/>
  <c r="AT372" i="43"/>
  <c r="AT345" i="43"/>
  <c r="AT287" i="43"/>
  <c r="AT186" i="43"/>
  <c r="AT152" i="43"/>
  <c r="AT146" i="43"/>
  <c r="AT53" i="43"/>
  <c r="AT40" i="43"/>
  <c r="AT42" i="43" s="1"/>
  <c r="AR55" i="43"/>
  <c r="AR125" i="43"/>
  <c r="AR139" i="43"/>
  <c r="AR151" i="43"/>
  <c r="AR200" i="43"/>
  <c r="AR249" i="43"/>
  <c r="AR258" i="43"/>
  <c r="AR322" i="43"/>
  <c r="AR350" i="43"/>
  <c r="AR362" i="43"/>
  <c r="AR373" i="43"/>
  <c r="AR458" i="43"/>
  <c r="AR465" i="43"/>
  <c r="AT354" i="43"/>
  <c r="AT330" i="43"/>
  <c r="AT281" i="43"/>
  <c r="AT190" i="43"/>
  <c r="AT122" i="43"/>
  <c r="AT114" i="43"/>
  <c r="AT116" i="43" s="1"/>
  <c r="AT26" i="43"/>
  <c r="AS42" i="43"/>
  <c r="AS116" i="43"/>
  <c r="AS312" i="43"/>
  <c r="AT428" i="43"/>
  <c r="AT420" i="43"/>
  <c r="AT398" i="43"/>
  <c r="AT395" i="43"/>
  <c r="AT371" i="43"/>
  <c r="AT347" i="43"/>
  <c r="AT333" i="43"/>
  <c r="AT335" i="43" s="1"/>
  <c r="AT309" i="43"/>
  <c r="AT285" i="43"/>
  <c r="AT261" i="43"/>
  <c r="AT221" i="43"/>
  <c r="AT199" i="43"/>
  <c r="AT91" i="43"/>
  <c r="AT71" i="43"/>
  <c r="AT422" i="43"/>
  <c r="AT338" i="43"/>
  <c r="AT273" i="43"/>
  <c r="AT181" i="43"/>
  <c r="AT156" i="43"/>
  <c r="AT153" i="43"/>
  <c r="AT138" i="43"/>
  <c r="AT135" i="43"/>
  <c r="AT127" i="43"/>
  <c r="AT99" i="43"/>
  <c r="AT73" i="43"/>
  <c r="AT65" i="43"/>
  <c r="AT89" i="43"/>
  <c r="AT83" i="43"/>
  <c r="AT456" i="43"/>
  <c r="AT442" i="43"/>
  <c r="AT434" i="43"/>
  <c r="AT414" i="43"/>
  <c r="AT405" i="43"/>
  <c r="AT359" i="43"/>
  <c r="AT326" i="43"/>
  <c r="AT314" i="43"/>
  <c r="AT302" i="43"/>
  <c r="AT299" i="43"/>
  <c r="AT275" i="43"/>
  <c r="AT218" i="43"/>
  <c r="AT207" i="43"/>
  <c r="AT192" i="43"/>
  <c r="AT189" i="43"/>
  <c r="AT179" i="43"/>
  <c r="AT176" i="43"/>
  <c r="AT107" i="43"/>
  <c r="AT148" i="43"/>
  <c r="AT140" i="43"/>
  <c r="AT112" i="43"/>
  <c r="AT446" i="43"/>
  <c r="AT409" i="43"/>
  <c r="AT397" i="43"/>
  <c r="AT385" i="43"/>
  <c r="AT361" i="43"/>
  <c r="AT349" i="43"/>
  <c r="AT337" i="43"/>
  <c r="AT325" i="43"/>
  <c r="AT313" i="43"/>
  <c r="AT301" i="43"/>
  <c r="AT289" i="43"/>
  <c r="AT277" i="43"/>
  <c r="AT265" i="43"/>
  <c r="AT253" i="43"/>
  <c r="AT241" i="43"/>
  <c r="AT217" i="43"/>
  <c r="AT191" i="43"/>
  <c r="AT183" i="43"/>
  <c r="AT173" i="43"/>
  <c r="AT155" i="43"/>
  <c r="AT147" i="43"/>
  <c r="AT137" i="43"/>
  <c r="AT119" i="43"/>
  <c r="AT111" i="43"/>
  <c r="AT101" i="43"/>
  <c r="AT85" i="43"/>
  <c r="AT291" i="43"/>
  <c r="AT279" i="43"/>
  <c r="AT172" i="43"/>
  <c r="AT401" i="43"/>
  <c r="AT341" i="43"/>
  <c r="AT232" i="43"/>
  <c r="AT224" i="43"/>
  <c r="AT208" i="43"/>
  <c r="AT164" i="43"/>
  <c r="AT131" i="43"/>
  <c r="AT128" i="43"/>
  <c r="AT95" i="43"/>
  <c r="AT92" i="43"/>
  <c r="AT76" i="43"/>
  <c r="AT233" i="43"/>
  <c r="AT235" i="43"/>
  <c r="AT239" i="43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AO244" i="43"/>
  <c r="U244" i="43"/>
  <c r="AT322" i="43" l="1"/>
  <c r="AT105" i="43"/>
  <c r="AT82" i="43"/>
  <c r="AT461" i="43"/>
  <c r="AT410" i="43"/>
  <c r="AT90" i="43"/>
  <c r="AT49" i="43"/>
  <c r="AT168" i="43"/>
  <c r="AT55" i="43"/>
  <c r="AT22" i="43"/>
  <c r="AT249" i="43"/>
  <c r="AT39" i="43"/>
  <c r="AT70" i="43"/>
  <c r="AT392" i="43"/>
  <c r="AT52" i="43"/>
  <c r="AT35" i="43"/>
  <c r="AT31" i="43"/>
  <c r="AT59" i="43"/>
  <c r="AT98" i="43"/>
  <c r="AT237" i="43"/>
  <c r="AT328" i="43"/>
  <c r="AT200" i="43"/>
  <c r="AT18" i="43"/>
  <c r="AT206" i="43"/>
  <c r="AT465" i="43"/>
  <c r="AT243" i="43"/>
  <c r="AT67" i="43"/>
  <c r="AT102" i="43"/>
  <c r="AT344" i="43"/>
  <c r="AT312" i="43"/>
  <c r="AT262" i="43"/>
  <c r="AT369" i="43"/>
  <c r="AT451" i="43"/>
  <c r="AT194" i="43"/>
  <c r="AT437" i="43"/>
  <c r="AT94" i="43"/>
  <c r="AT231" i="43"/>
  <c r="AT423" i="43"/>
  <c r="AT79" i="43"/>
  <c r="AT458" i="43"/>
  <c r="AT388" i="43"/>
  <c r="AT332" i="43"/>
  <c r="AT296" i="43"/>
  <c r="AT219" i="43"/>
  <c r="AT162" i="43"/>
  <c r="AT63" i="44"/>
  <c r="AT113" i="44"/>
  <c r="AT70" i="44"/>
  <c r="AT213" i="43"/>
  <c r="AT276" i="43"/>
  <c r="AT151" i="43"/>
  <c r="AT63" i="43"/>
  <c r="AT120" i="43"/>
  <c r="AT399" i="43"/>
  <c r="AT444" i="43"/>
  <c r="AT113" i="43"/>
  <c r="AT357" i="43"/>
  <c r="AT316" i="43"/>
  <c r="AT362" i="43"/>
  <c r="AT86" i="43"/>
  <c r="AT139" i="43"/>
  <c r="AT157" i="43"/>
  <c r="AT416" i="43"/>
  <c r="AT125" i="43"/>
  <c r="AT174" i="43"/>
  <c r="AT225" i="43"/>
  <c r="AT266" i="43"/>
  <c r="AT305" i="43"/>
  <c r="AT75" i="43"/>
  <c r="AT373" i="43"/>
  <c r="AT288" i="43"/>
  <c r="AT430" i="43"/>
  <c r="AT272" i="43"/>
  <c r="AT382" i="43"/>
  <c r="AT283" i="43"/>
  <c r="AT350" i="43"/>
  <c r="AT256" i="43"/>
  <c r="AT180" i="43"/>
  <c r="AT109" i="43"/>
  <c r="AT132" i="43"/>
  <c r="AT145" i="43"/>
  <c r="AT187" i="43"/>
  <c r="AT27" i="43"/>
  <c r="AT406" i="43"/>
  <c r="AH129" i="44"/>
  <c r="AB129" i="44"/>
  <c r="R129" i="44"/>
  <c r="X129" i="44" s="1"/>
  <c r="AH128" i="44"/>
  <c r="AB128" i="44"/>
  <c r="R128" i="44"/>
  <c r="X128" i="44" s="1"/>
  <c r="AH127" i="44"/>
  <c r="AB127" i="44"/>
  <c r="R127" i="44"/>
  <c r="X127" i="44" s="1"/>
  <c r="AH126" i="44"/>
  <c r="AB126" i="44"/>
  <c r="R126" i="44"/>
  <c r="X126" i="44" s="1"/>
  <c r="AD126" i="44" s="1"/>
  <c r="AH125" i="44"/>
  <c r="AB125" i="44"/>
  <c r="R125" i="44"/>
  <c r="X125" i="44" s="1"/>
  <c r="AH123" i="44"/>
  <c r="AB123" i="44"/>
  <c r="R123" i="44"/>
  <c r="X123" i="44" s="1"/>
  <c r="AH122" i="44"/>
  <c r="AB122" i="44"/>
  <c r="R122" i="44"/>
  <c r="X122" i="44" s="1"/>
  <c r="AE122" i="44" s="1"/>
  <c r="AH121" i="44"/>
  <c r="AB121" i="44"/>
  <c r="R121" i="44"/>
  <c r="X121" i="44" s="1"/>
  <c r="AD121" i="44" s="1"/>
  <c r="AH120" i="44"/>
  <c r="AB120" i="44"/>
  <c r="R120" i="44"/>
  <c r="X120" i="44" s="1"/>
  <c r="AE120" i="44" s="1"/>
  <c r="AH119" i="44"/>
  <c r="AB119" i="44"/>
  <c r="R119" i="44"/>
  <c r="X119" i="44" s="1"/>
  <c r="AH118" i="44"/>
  <c r="AB118" i="44"/>
  <c r="R118" i="44"/>
  <c r="X118" i="44" s="1"/>
  <c r="AE118" i="44" s="1"/>
  <c r="AH117" i="44"/>
  <c r="AB117" i="44"/>
  <c r="R117" i="44"/>
  <c r="X117" i="44" s="1"/>
  <c r="AH116" i="44"/>
  <c r="AB116" i="44"/>
  <c r="R116" i="44"/>
  <c r="X116" i="44" s="1"/>
  <c r="AE116" i="44" s="1"/>
  <c r="AH114" i="44"/>
  <c r="AB114" i="44"/>
  <c r="R114" i="44"/>
  <c r="X114" i="44" s="1"/>
  <c r="AH112" i="44"/>
  <c r="AB112" i="44"/>
  <c r="R112" i="44"/>
  <c r="X112" i="44" s="1"/>
  <c r="AH111" i="44"/>
  <c r="AB111" i="44"/>
  <c r="R111" i="44"/>
  <c r="X111" i="44" s="1"/>
  <c r="AH110" i="44"/>
  <c r="AB110" i="44"/>
  <c r="R110" i="44"/>
  <c r="X110" i="44" s="1"/>
  <c r="AE110" i="44" s="1"/>
  <c r="AH109" i="44"/>
  <c r="AB109" i="44"/>
  <c r="R109" i="44"/>
  <c r="X109" i="44" s="1"/>
  <c r="AH108" i="44"/>
  <c r="AB108" i="44"/>
  <c r="R108" i="44"/>
  <c r="X108" i="44" s="1"/>
  <c r="AH106" i="44"/>
  <c r="AB106" i="44"/>
  <c r="R106" i="44"/>
  <c r="X106" i="44" s="1"/>
  <c r="AD106" i="44" s="1"/>
  <c r="AH104" i="44"/>
  <c r="AB104" i="44"/>
  <c r="R104" i="44"/>
  <c r="X104" i="44" s="1"/>
  <c r="AE104" i="44" s="1"/>
  <c r="AH103" i="44"/>
  <c r="AB103" i="44"/>
  <c r="R103" i="44"/>
  <c r="X103" i="44" s="1"/>
  <c r="AH102" i="44"/>
  <c r="AB102" i="44"/>
  <c r="R102" i="44"/>
  <c r="X102" i="44" s="1"/>
  <c r="AE102" i="44" s="1"/>
  <c r="AH100" i="44"/>
  <c r="AB100" i="44"/>
  <c r="R100" i="44"/>
  <c r="X100" i="44" s="1"/>
  <c r="AD100" i="44" s="1"/>
  <c r="AH99" i="44"/>
  <c r="AB99" i="44"/>
  <c r="R99" i="44"/>
  <c r="X99" i="44" s="1"/>
  <c r="AH98" i="44"/>
  <c r="AB98" i="44"/>
  <c r="R98" i="44"/>
  <c r="X98" i="44" s="1"/>
  <c r="AH97" i="44"/>
  <c r="AB97" i="44"/>
  <c r="R97" i="44"/>
  <c r="X97" i="44" s="1"/>
  <c r="AE97" i="44" s="1"/>
  <c r="AH96" i="44"/>
  <c r="AB96" i="44"/>
  <c r="R96" i="44"/>
  <c r="X96" i="44" s="1"/>
  <c r="AH94" i="44"/>
  <c r="AB94" i="44"/>
  <c r="R94" i="44"/>
  <c r="X94" i="44" s="1"/>
  <c r="AH93" i="44"/>
  <c r="AB93" i="44"/>
  <c r="R93" i="44"/>
  <c r="X93" i="44" s="1"/>
  <c r="AH92" i="44"/>
  <c r="AB92" i="44"/>
  <c r="R92" i="44"/>
  <c r="X92" i="44" s="1"/>
  <c r="AH90" i="44"/>
  <c r="AB90" i="44"/>
  <c r="R90" i="44"/>
  <c r="X90" i="44" s="1"/>
  <c r="AH89" i="44"/>
  <c r="AB89" i="44"/>
  <c r="R89" i="44"/>
  <c r="X89" i="44" s="1"/>
  <c r="AC89" i="44" s="1"/>
  <c r="AH88" i="44"/>
  <c r="AB88" i="44"/>
  <c r="R88" i="44"/>
  <c r="X88" i="44" s="1"/>
  <c r="AH87" i="44"/>
  <c r="AB87" i="44"/>
  <c r="R87" i="44"/>
  <c r="X87" i="44" s="1"/>
  <c r="AE87" i="44" s="1"/>
  <c r="AH86" i="44"/>
  <c r="AB86" i="44"/>
  <c r="R86" i="44"/>
  <c r="X86" i="44" s="1"/>
  <c r="AD86" i="44" s="1"/>
  <c r="AH85" i="44"/>
  <c r="AB85" i="44"/>
  <c r="R85" i="44"/>
  <c r="X85" i="44" s="1"/>
  <c r="AH83" i="44"/>
  <c r="AB83" i="44"/>
  <c r="R83" i="44"/>
  <c r="X83" i="44" s="1"/>
  <c r="AH82" i="44"/>
  <c r="AB82" i="44"/>
  <c r="R82" i="44"/>
  <c r="X82" i="44" s="1"/>
  <c r="AH81" i="44"/>
  <c r="AB81" i="44"/>
  <c r="R81" i="44"/>
  <c r="X81" i="44" s="1"/>
  <c r="AH80" i="44"/>
  <c r="AB80" i="44"/>
  <c r="R80" i="44"/>
  <c r="X80" i="44" s="1"/>
  <c r="AE80" i="44" s="1"/>
  <c r="AH79" i="44"/>
  <c r="AB79" i="44"/>
  <c r="R79" i="44"/>
  <c r="X79" i="44" s="1"/>
  <c r="AH78" i="44"/>
  <c r="AB78" i="44"/>
  <c r="R78" i="44"/>
  <c r="X78" i="44" s="1"/>
  <c r="AH76" i="44"/>
  <c r="AB76" i="44"/>
  <c r="R76" i="44"/>
  <c r="X76" i="44" s="1"/>
  <c r="AD76" i="44" s="1"/>
  <c r="AH75" i="44"/>
  <c r="AB75" i="44"/>
  <c r="R75" i="44"/>
  <c r="X75" i="44" s="1"/>
  <c r="AH74" i="44"/>
  <c r="AB74" i="44"/>
  <c r="R74" i="44"/>
  <c r="X74" i="44" s="1"/>
  <c r="AH73" i="44"/>
  <c r="AB73" i="44"/>
  <c r="R73" i="44"/>
  <c r="X73" i="44" s="1"/>
  <c r="AE73" i="44" s="1"/>
  <c r="AH72" i="44"/>
  <c r="AB72" i="44"/>
  <c r="R72" i="44"/>
  <c r="X72" i="44" s="1"/>
  <c r="AH71" i="44"/>
  <c r="AB71" i="44"/>
  <c r="R71" i="44"/>
  <c r="X71" i="44" s="1"/>
  <c r="AH69" i="44"/>
  <c r="AB69" i="44"/>
  <c r="R69" i="44"/>
  <c r="X69" i="44" s="1"/>
  <c r="AH68" i="44"/>
  <c r="AB68" i="44"/>
  <c r="R68" i="44"/>
  <c r="X68" i="44" s="1"/>
  <c r="AH67" i="44"/>
  <c r="AB67" i="44"/>
  <c r="R67" i="44"/>
  <c r="X67" i="44" s="1"/>
  <c r="AD67" i="44" s="1"/>
  <c r="AH66" i="44"/>
  <c r="AB66" i="44"/>
  <c r="R66" i="44"/>
  <c r="X66" i="44" s="1"/>
  <c r="AH65" i="44"/>
  <c r="AB65" i="44"/>
  <c r="R65" i="44"/>
  <c r="X65" i="44" s="1"/>
  <c r="AH64" i="44"/>
  <c r="AB64" i="44"/>
  <c r="R64" i="44"/>
  <c r="X64" i="44" s="1"/>
  <c r="AE64" i="44" s="1"/>
  <c r="AH62" i="44"/>
  <c r="AB62" i="44"/>
  <c r="R62" i="44"/>
  <c r="X62" i="44" s="1"/>
  <c r="AH61" i="44"/>
  <c r="AB61" i="44"/>
  <c r="R61" i="44"/>
  <c r="X61" i="44" s="1"/>
  <c r="AE61" i="44" s="1"/>
  <c r="AH60" i="44"/>
  <c r="AB60" i="44"/>
  <c r="R60" i="44"/>
  <c r="X60" i="44" s="1"/>
  <c r="AH59" i="44"/>
  <c r="AB59" i="44"/>
  <c r="R59" i="44"/>
  <c r="X59" i="44" s="1"/>
  <c r="AH58" i="44"/>
  <c r="AB58" i="44"/>
  <c r="R58" i="44"/>
  <c r="X58" i="44" s="1"/>
  <c r="AH57" i="44"/>
  <c r="AB57" i="44"/>
  <c r="R57" i="44"/>
  <c r="X57" i="44" s="1"/>
  <c r="AD57" i="44" s="1"/>
  <c r="AH55" i="44"/>
  <c r="AB55" i="44"/>
  <c r="R55" i="44"/>
  <c r="X55" i="44" s="1"/>
  <c r="AH54" i="44"/>
  <c r="AB54" i="44"/>
  <c r="R54" i="44"/>
  <c r="X54" i="44" s="1"/>
  <c r="AH53" i="44"/>
  <c r="AB53" i="44"/>
  <c r="R53" i="44"/>
  <c r="X53" i="44" s="1"/>
  <c r="AH52" i="44"/>
  <c r="AB52" i="44"/>
  <c r="R52" i="44"/>
  <c r="X52" i="44" s="1"/>
  <c r="AE52" i="44" s="1"/>
  <c r="AH51" i="44"/>
  <c r="AB51" i="44"/>
  <c r="R51" i="44"/>
  <c r="X51" i="44" s="1"/>
  <c r="AD51" i="44" s="1"/>
  <c r="AH50" i="44"/>
  <c r="AB50" i="44"/>
  <c r="R50" i="44"/>
  <c r="X50" i="44" s="1"/>
  <c r="AE50" i="44" s="1"/>
  <c r="AH48" i="44"/>
  <c r="AB48" i="44"/>
  <c r="R48" i="44"/>
  <c r="X48" i="44" s="1"/>
  <c r="AH47" i="44"/>
  <c r="AB47" i="44"/>
  <c r="R47" i="44"/>
  <c r="X47" i="44" s="1"/>
  <c r="AE47" i="44" s="1"/>
  <c r="AH46" i="44"/>
  <c r="AB46" i="44"/>
  <c r="R46" i="44"/>
  <c r="X46" i="44" s="1"/>
  <c r="AD46" i="44" s="1"/>
  <c r="AH45" i="44"/>
  <c r="AB45" i="44"/>
  <c r="R45" i="44"/>
  <c r="X45" i="44" s="1"/>
  <c r="AH44" i="44"/>
  <c r="AB44" i="44"/>
  <c r="R44" i="44"/>
  <c r="X44" i="44" s="1"/>
  <c r="AH43" i="44"/>
  <c r="AB43" i="44"/>
  <c r="R43" i="44"/>
  <c r="X43" i="44" s="1"/>
  <c r="AE43" i="44" s="1"/>
  <c r="AH41" i="44"/>
  <c r="AB41" i="44"/>
  <c r="R41" i="44"/>
  <c r="X41" i="44" s="1"/>
  <c r="AH40" i="44"/>
  <c r="AB40" i="44"/>
  <c r="R40" i="44"/>
  <c r="X40" i="44" s="1"/>
  <c r="AC40" i="44" s="1"/>
  <c r="AH39" i="44"/>
  <c r="AB39" i="44"/>
  <c r="R39" i="44"/>
  <c r="X39" i="44" s="1"/>
  <c r="AH38" i="44"/>
  <c r="AB38" i="44"/>
  <c r="R38" i="44"/>
  <c r="X38" i="44" s="1"/>
  <c r="AE38" i="44" s="1"/>
  <c r="AH37" i="44"/>
  <c r="AB37" i="44"/>
  <c r="R37" i="44"/>
  <c r="X37" i="44" s="1"/>
  <c r="AD37" i="44" s="1"/>
  <c r="AH36" i="44"/>
  <c r="AB36" i="44"/>
  <c r="R36" i="44"/>
  <c r="X36" i="44" s="1"/>
  <c r="AH34" i="44"/>
  <c r="AB34" i="44"/>
  <c r="R34" i="44"/>
  <c r="X34" i="44" s="1"/>
  <c r="AE34" i="44" s="1"/>
  <c r="AH33" i="44"/>
  <c r="AB33" i="44"/>
  <c r="R33" i="44"/>
  <c r="X33" i="44" s="1"/>
  <c r="AE33" i="44" s="1"/>
  <c r="AH32" i="44"/>
  <c r="AB32" i="44"/>
  <c r="R32" i="44"/>
  <c r="X32" i="44" s="1"/>
  <c r="AD32" i="44" s="1"/>
  <c r="AH31" i="44"/>
  <c r="AB31" i="44"/>
  <c r="R31" i="44"/>
  <c r="X31" i="44" s="1"/>
  <c r="AH30" i="44"/>
  <c r="AB30" i="44"/>
  <c r="R30" i="44"/>
  <c r="X30" i="44" s="1"/>
  <c r="AH29" i="44"/>
  <c r="AB29" i="44"/>
  <c r="R29" i="44"/>
  <c r="X29" i="44" s="1"/>
  <c r="AE29" i="44" s="1"/>
  <c r="AH27" i="44"/>
  <c r="AB27" i="44"/>
  <c r="R27" i="44"/>
  <c r="X27" i="44" s="1"/>
  <c r="AD27" i="44" s="1"/>
  <c r="AH26" i="44"/>
  <c r="AB26" i="44"/>
  <c r="R26" i="44"/>
  <c r="X26" i="44" s="1"/>
  <c r="AH25" i="44"/>
  <c r="AB25" i="44"/>
  <c r="R25" i="44"/>
  <c r="X25" i="44" s="1"/>
  <c r="AH24" i="44"/>
  <c r="AB24" i="44"/>
  <c r="R24" i="44"/>
  <c r="X24" i="44" s="1"/>
  <c r="AE24" i="44" s="1"/>
  <c r="AH23" i="44"/>
  <c r="AB23" i="44"/>
  <c r="R23" i="44"/>
  <c r="X23" i="44" s="1"/>
  <c r="AD23" i="44" s="1"/>
  <c r="AH22" i="44"/>
  <c r="AB22" i="44"/>
  <c r="R22" i="44"/>
  <c r="X22" i="44" s="1"/>
  <c r="AH21" i="44"/>
  <c r="AB21" i="44"/>
  <c r="R21" i="44"/>
  <c r="X21" i="44" s="1"/>
  <c r="AE21" i="44" s="1"/>
  <c r="AH20" i="44"/>
  <c r="AB20" i="44"/>
  <c r="R20" i="44"/>
  <c r="X20" i="44" s="1"/>
  <c r="AE20" i="44" s="1"/>
  <c r="AH18" i="44"/>
  <c r="AB18" i="44"/>
  <c r="R18" i="44"/>
  <c r="X18" i="44" s="1"/>
  <c r="AH17" i="44"/>
  <c r="AB17" i="44"/>
  <c r="R17" i="44"/>
  <c r="X17" i="44" s="1"/>
  <c r="AH16" i="44"/>
  <c r="AB16" i="44"/>
  <c r="R16" i="44"/>
  <c r="X16" i="44" s="1"/>
  <c r="AE16" i="44" s="1"/>
  <c r="AH15" i="44"/>
  <c r="AB15" i="44"/>
  <c r="R15" i="44"/>
  <c r="X15" i="44" s="1"/>
  <c r="AE15" i="44" s="1"/>
  <c r="AH14" i="44"/>
  <c r="AB14" i="44"/>
  <c r="R14" i="44"/>
  <c r="X14" i="44" s="1"/>
  <c r="AD14" i="44" s="1"/>
  <c r="AH464" i="43"/>
  <c r="AB464" i="43"/>
  <c r="R464" i="43"/>
  <c r="X464" i="43" s="1"/>
  <c r="AE464" i="43" s="1"/>
  <c r="AH463" i="43"/>
  <c r="AB463" i="43"/>
  <c r="R463" i="43"/>
  <c r="X463" i="43" s="1"/>
  <c r="AE463" i="43" s="1"/>
  <c r="AH462" i="43"/>
  <c r="AB462" i="43"/>
  <c r="R462" i="43"/>
  <c r="X462" i="43" s="1"/>
  <c r="AE462" i="43" s="1"/>
  <c r="AH460" i="43"/>
  <c r="AB460" i="43"/>
  <c r="R460" i="43"/>
  <c r="X460" i="43" s="1"/>
  <c r="AH459" i="43"/>
  <c r="AB459" i="43"/>
  <c r="R459" i="43"/>
  <c r="X459" i="43" s="1"/>
  <c r="AH457" i="43"/>
  <c r="AB457" i="43"/>
  <c r="R457" i="43"/>
  <c r="X457" i="43" s="1"/>
  <c r="AH456" i="43"/>
  <c r="AB456" i="43"/>
  <c r="R456" i="43"/>
  <c r="X456" i="43" s="1"/>
  <c r="AH455" i="43"/>
  <c r="AB455" i="43"/>
  <c r="R455" i="43"/>
  <c r="X455" i="43" s="1"/>
  <c r="AD455" i="43" s="1"/>
  <c r="AH454" i="43"/>
  <c r="AB454" i="43"/>
  <c r="R454" i="43"/>
  <c r="X454" i="43" s="1"/>
  <c r="AH453" i="43"/>
  <c r="AB453" i="43"/>
  <c r="R453" i="43"/>
  <c r="X453" i="43" s="1"/>
  <c r="AH452" i="43"/>
  <c r="AB452" i="43"/>
  <c r="R452" i="43"/>
  <c r="X452" i="43" s="1"/>
  <c r="AE452" i="43" s="1"/>
  <c r="AH450" i="43"/>
  <c r="AB450" i="43"/>
  <c r="R450" i="43"/>
  <c r="X450" i="43" s="1"/>
  <c r="AH449" i="43"/>
  <c r="AB449" i="43"/>
  <c r="R449" i="43"/>
  <c r="X449" i="43" s="1"/>
  <c r="AH448" i="43"/>
  <c r="AB448" i="43"/>
  <c r="R448" i="43"/>
  <c r="X448" i="43" s="1"/>
  <c r="AH447" i="43"/>
  <c r="AB447" i="43"/>
  <c r="R447" i="43"/>
  <c r="X447" i="43" s="1"/>
  <c r="AH446" i="43"/>
  <c r="AB446" i="43"/>
  <c r="R446" i="43"/>
  <c r="X446" i="43" s="1"/>
  <c r="AH445" i="43"/>
  <c r="AB445" i="43"/>
  <c r="R445" i="43"/>
  <c r="X445" i="43" s="1"/>
  <c r="AH443" i="43"/>
  <c r="AB443" i="43"/>
  <c r="R443" i="43"/>
  <c r="X443" i="43" s="1"/>
  <c r="AH442" i="43"/>
  <c r="AB442" i="43"/>
  <c r="R442" i="43"/>
  <c r="X442" i="43" s="1"/>
  <c r="AH441" i="43"/>
  <c r="AB441" i="43"/>
  <c r="R441" i="43"/>
  <c r="X441" i="43" s="1"/>
  <c r="AD441" i="43" s="1"/>
  <c r="AH440" i="43"/>
  <c r="AB440" i="43"/>
  <c r="R440" i="43"/>
  <c r="X440" i="43" s="1"/>
  <c r="AH439" i="43"/>
  <c r="AB439" i="43"/>
  <c r="R439" i="43"/>
  <c r="X439" i="43" s="1"/>
  <c r="AH438" i="43"/>
  <c r="AB438" i="43"/>
  <c r="R438" i="43"/>
  <c r="X438" i="43" s="1"/>
  <c r="AE438" i="43" s="1"/>
  <c r="AH436" i="43"/>
  <c r="AB436" i="43"/>
  <c r="R436" i="43"/>
  <c r="X436" i="43" s="1"/>
  <c r="AH435" i="43"/>
  <c r="AB435" i="43"/>
  <c r="R435" i="43"/>
  <c r="X435" i="43" s="1"/>
  <c r="AH434" i="43"/>
  <c r="AB434" i="43"/>
  <c r="R434" i="43"/>
  <c r="X434" i="43" s="1"/>
  <c r="AH433" i="43"/>
  <c r="AB433" i="43"/>
  <c r="R433" i="43"/>
  <c r="X433" i="43" s="1"/>
  <c r="AH432" i="43"/>
  <c r="AB432" i="43"/>
  <c r="R432" i="43"/>
  <c r="X432" i="43" s="1"/>
  <c r="AD432" i="43" s="1"/>
  <c r="AH431" i="43"/>
  <c r="AB431" i="43"/>
  <c r="R431" i="43"/>
  <c r="X431" i="43" s="1"/>
  <c r="AH429" i="43"/>
  <c r="AB429" i="43"/>
  <c r="R429" i="43"/>
  <c r="X429" i="43" s="1"/>
  <c r="AH428" i="43"/>
  <c r="AB428" i="43"/>
  <c r="R428" i="43"/>
  <c r="X428" i="43" s="1"/>
  <c r="AE428" i="43" s="1"/>
  <c r="AH427" i="43"/>
  <c r="AB427" i="43"/>
  <c r="R427" i="43"/>
  <c r="X427" i="43" s="1"/>
  <c r="AH426" i="43"/>
  <c r="AB426" i="43"/>
  <c r="R426" i="43"/>
  <c r="X426" i="43" s="1"/>
  <c r="AE426" i="43" s="1"/>
  <c r="AH425" i="43"/>
  <c r="AB425" i="43"/>
  <c r="R425" i="43"/>
  <c r="X425" i="43" s="1"/>
  <c r="AH424" i="43"/>
  <c r="AB424" i="43"/>
  <c r="R424" i="43"/>
  <c r="X424" i="43" s="1"/>
  <c r="AH422" i="43"/>
  <c r="AB422" i="43"/>
  <c r="R422" i="43"/>
  <c r="X422" i="43" s="1"/>
  <c r="AH421" i="43"/>
  <c r="AB421" i="43"/>
  <c r="R421" i="43"/>
  <c r="X421" i="43" s="1"/>
  <c r="AH420" i="43"/>
  <c r="AB420" i="43"/>
  <c r="R420" i="43"/>
  <c r="X420" i="43" s="1"/>
  <c r="AH419" i="43"/>
  <c r="AB419" i="43"/>
  <c r="R419" i="43"/>
  <c r="X419" i="43" s="1"/>
  <c r="AE419" i="43" s="1"/>
  <c r="AH418" i="43"/>
  <c r="AB418" i="43"/>
  <c r="R418" i="43"/>
  <c r="X418" i="43" s="1"/>
  <c r="AD418" i="43" s="1"/>
  <c r="AH417" i="43"/>
  <c r="AB417" i="43"/>
  <c r="R417" i="43"/>
  <c r="X417" i="43" s="1"/>
  <c r="AH415" i="43"/>
  <c r="AB415" i="43"/>
  <c r="R415" i="43"/>
  <c r="X415" i="43" s="1"/>
  <c r="AE415" i="43" s="1"/>
  <c r="AH414" i="43"/>
  <c r="AB414" i="43"/>
  <c r="R414" i="43"/>
  <c r="X414" i="43" s="1"/>
  <c r="AE414" i="43" s="1"/>
  <c r="AH413" i="43"/>
  <c r="AB413" i="43"/>
  <c r="R413" i="43"/>
  <c r="X413" i="43" s="1"/>
  <c r="AH412" i="43"/>
  <c r="AB412" i="43"/>
  <c r="R412" i="43"/>
  <c r="X412" i="43" s="1"/>
  <c r="AH411" i="43"/>
  <c r="AB411" i="43"/>
  <c r="R411" i="43"/>
  <c r="X411" i="43" s="1"/>
  <c r="AH409" i="43"/>
  <c r="AB409" i="43"/>
  <c r="R409" i="43"/>
  <c r="X409" i="43" s="1"/>
  <c r="AH408" i="43"/>
  <c r="AB408" i="43"/>
  <c r="R408" i="43"/>
  <c r="X408" i="43" s="1"/>
  <c r="AD408" i="43" s="1"/>
  <c r="AH407" i="43"/>
  <c r="AB407" i="43"/>
  <c r="R407" i="43"/>
  <c r="X407" i="43" s="1"/>
  <c r="AH405" i="43"/>
  <c r="AB405" i="43"/>
  <c r="R405" i="43"/>
  <c r="X405" i="43" s="1"/>
  <c r="AE405" i="43" s="1"/>
  <c r="AH404" i="43"/>
  <c r="AB404" i="43"/>
  <c r="R404" i="43"/>
  <c r="X404" i="43" s="1"/>
  <c r="AE404" i="43" s="1"/>
  <c r="AH403" i="43"/>
  <c r="AB403" i="43"/>
  <c r="R403" i="43"/>
  <c r="X403" i="43" s="1"/>
  <c r="AD403" i="43" s="1"/>
  <c r="AH402" i="43"/>
  <c r="AB402" i="43"/>
  <c r="R402" i="43"/>
  <c r="X402" i="43" s="1"/>
  <c r="AH401" i="43"/>
  <c r="AB401" i="43"/>
  <c r="R401" i="43"/>
  <c r="X401" i="43" s="1"/>
  <c r="AE401" i="43" s="1"/>
  <c r="AH400" i="43"/>
  <c r="AB400" i="43"/>
  <c r="R400" i="43"/>
  <c r="X400" i="43" s="1"/>
  <c r="AE400" i="43" s="1"/>
  <c r="AH398" i="43"/>
  <c r="AB398" i="43"/>
  <c r="R398" i="43"/>
  <c r="X398" i="43" s="1"/>
  <c r="AH397" i="43"/>
  <c r="AB397" i="43"/>
  <c r="R397" i="43"/>
  <c r="X397" i="43" s="1"/>
  <c r="AH396" i="43"/>
  <c r="AB396" i="43"/>
  <c r="R396" i="43"/>
  <c r="X396" i="43" s="1"/>
  <c r="AH395" i="43"/>
  <c r="AB395" i="43"/>
  <c r="R395" i="43"/>
  <c r="X395" i="43" s="1"/>
  <c r="AD395" i="43" s="1"/>
  <c r="AH394" i="43"/>
  <c r="AB394" i="43"/>
  <c r="R394" i="43"/>
  <c r="X394" i="43" s="1"/>
  <c r="AH393" i="43"/>
  <c r="AB393" i="43"/>
  <c r="R393" i="43"/>
  <c r="X393" i="43" s="1"/>
  <c r="AH391" i="43"/>
  <c r="AB391" i="43"/>
  <c r="R391" i="43"/>
  <c r="X391" i="43" s="1"/>
  <c r="AH390" i="43"/>
  <c r="AB390" i="43"/>
  <c r="R390" i="43"/>
  <c r="X390" i="43" s="1"/>
  <c r="AD390" i="43" s="1"/>
  <c r="AH389" i="43"/>
  <c r="AB389" i="43"/>
  <c r="R389" i="43"/>
  <c r="X389" i="43" s="1"/>
  <c r="AH387" i="43"/>
  <c r="AB387" i="43"/>
  <c r="R387" i="43"/>
  <c r="X387" i="43" s="1"/>
  <c r="AH386" i="43"/>
  <c r="AB386" i="43"/>
  <c r="R386" i="43"/>
  <c r="X386" i="43" s="1"/>
  <c r="AH385" i="43"/>
  <c r="AB385" i="43"/>
  <c r="R385" i="43"/>
  <c r="X385" i="43" s="1"/>
  <c r="AD385" i="43" s="1"/>
  <c r="AH384" i="43"/>
  <c r="AB384" i="43"/>
  <c r="R384" i="43"/>
  <c r="X384" i="43" s="1"/>
  <c r="AH383" i="43"/>
  <c r="AB383" i="43"/>
  <c r="R383" i="43"/>
  <c r="X383" i="43" s="1"/>
  <c r="AE383" i="43" s="1"/>
  <c r="AH381" i="43"/>
  <c r="AB381" i="43"/>
  <c r="R381" i="43"/>
  <c r="X381" i="43" s="1"/>
  <c r="AH380" i="43"/>
  <c r="AB380" i="43"/>
  <c r="R380" i="43"/>
  <c r="X380" i="43" s="1"/>
  <c r="AD380" i="43" s="1"/>
  <c r="AH379" i="43"/>
  <c r="AB379" i="43"/>
  <c r="R379" i="43"/>
  <c r="X379" i="43" s="1"/>
  <c r="AH378" i="43"/>
  <c r="AB378" i="43"/>
  <c r="R378" i="43"/>
  <c r="X378" i="43" s="1"/>
  <c r="AE378" i="43" s="1"/>
  <c r="AH377" i="43"/>
  <c r="AB377" i="43"/>
  <c r="R377" i="43"/>
  <c r="X377" i="43" s="1"/>
  <c r="AH376" i="43"/>
  <c r="AB376" i="43"/>
  <c r="R376" i="43"/>
  <c r="X376" i="43" s="1"/>
  <c r="AD376" i="43" s="1"/>
  <c r="AH374" i="43"/>
  <c r="AB374" i="43"/>
  <c r="R374" i="43"/>
  <c r="X374" i="43" s="1"/>
  <c r="AH372" i="43"/>
  <c r="AB372" i="43"/>
  <c r="R372" i="43"/>
  <c r="X372" i="43" s="1"/>
  <c r="AE372" i="43" s="1"/>
  <c r="AH371" i="43"/>
  <c r="AB371" i="43"/>
  <c r="R371" i="43"/>
  <c r="X371" i="43" s="1"/>
  <c r="AH370" i="43"/>
  <c r="AB370" i="43"/>
  <c r="R370" i="43"/>
  <c r="X370" i="43" s="1"/>
  <c r="AD370" i="43" s="1"/>
  <c r="AH368" i="43"/>
  <c r="AB368" i="43"/>
  <c r="R368" i="43"/>
  <c r="X368" i="43" s="1"/>
  <c r="AH367" i="43"/>
  <c r="AB367" i="43"/>
  <c r="R367" i="43"/>
  <c r="X367" i="43" s="1"/>
  <c r="AE367" i="43" s="1"/>
  <c r="AH366" i="43"/>
  <c r="AB366" i="43"/>
  <c r="R366" i="43"/>
  <c r="X366" i="43" s="1"/>
  <c r="AH365" i="43"/>
  <c r="AB365" i="43"/>
  <c r="R365" i="43"/>
  <c r="X365" i="43" s="1"/>
  <c r="AD365" i="43" s="1"/>
  <c r="AH364" i="43"/>
  <c r="AB364" i="43"/>
  <c r="R364" i="43"/>
  <c r="X364" i="43" s="1"/>
  <c r="AH363" i="43"/>
  <c r="AB363" i="43"/>
  <c r="R363" i="43"/>
  <c r="X363" i="43" s="1"/>
  <c r="AE363" i="43" s="1"/>
  <c r="AH361" i="43"/>
  <c r="AB361" i="43"/>
  <c r="R361" i="43"/>
  <c r="X361" i="43" s="1"/>
  <c r="AH360" i="43"/>
  <c r="AB360" i="43"/>
  <c r="R360" i="43"/>
  <c r="X360" i="43" s="1"/>
  <c r="AD360" i="43" s="1"/>
  <c r="AH359" i="43"/>
  <c r="AB359" i="43"/>
  <c r="R359" i="43"/>
  <c r="X359" i="43" s="1"/>
  <c r="AH358" i="43"/>
  <c r="AB358" i="43"/>
  <c r="R358" i="43"/>
  <c r="X358" i="43" s="1"/>
  <c r="AE358" i="43" s="1"/>
  <c r="AH356" i="43"/>
  <c r="AB356" i="43"/>
  <c r="R356" i="43"/>
  <c r="X356" i="43" s="1"/>
  <c r="AH355" i="43"/>
  <c r="AB355" i="43"/>
  <c r="R355" i="43"/>
  <c r="X355" i="43" s="1"/>
  <c r="AH354" i="43"/>
  <c r="AB354" i="43"/>
  <c r="R354" i="43"/>
  <c r="X354" i="43" s="1"/>
  <c r="AH353" i="43"/>
  <c r="AB353" i="43"/>
  <c r="R353" i="43"/>
  <c r="X353" i="43" s="1"/>
  <c r="AE353" i="43" s="1"/>
  <c r="AH352" i="43"/>
  <c r="AB352" i="43"/>
  <c r="R352" i="43"/>
  <c r="X352" i="43" s="1"/>
  <c r="AH351" i="43"/>
  <c r="AB351" i="43"/>
  <c r="R351" i="43"/>
  <c r="X351" i="43" s="1"/>
  <c r="AD351" i="43" s="1"/>
  <c r="AH349" i="43"/>
  <c r="AB349" i="43"/>
  <c r="R349" i="43"/>
  <c r="X349" i="43" s="1"/>
  <c r="AH348" i="43"/>
  <c r="AB348" i="43"/>
  <c r="R348" i="43"/>
  <c r="X348" i="43" s="1"/>
  <c r="AH347" i="43"/>
  <c r="AB347" i="43"/>
  <c r="R347" i="43"/>
  <c r="X347" i="43" s="1"/>
  <c r="AH346" i="43"/>
  <c r="AB346" i="43"/>
  <c r="R346" i="43"/>
  <c r="X346" i="43" s="1"/>
  <c r="AE346" i="43" s="1"/>
  <c r="AH345" i="43"/>
  <c r="AB345" i="43"/>
  <c r="R345" i="43"/>
  <c r="X345" i="43" s="1"/>
  <c r="AE345" i="43" s="1"/>
  <c r="AH343" i="43"/>
  <c r="AB343" i="43"/>
  <c r="R343" i="43"/>
  <c r="X343" i="43" s="1"/>
  <c r="AH342" i="43"/>
  <c r="AB342" i="43"/>
  <c r="R342" i="43"/>
  <c r="X342" i="43" s="1"/>
  <c r="AH341" i="43"/>
  <c r="AB341" i="43"/>
  <c r="R341" i="43"/>
  <c r="X341" i="43" s="1"/>
  <c r="AH340" i="43"/>
  <c r="AB340" i="43"/>
  <c r="R340" i="43"/>
  <c r="X340" i="43" s="1"/>
  <c r="AE340" i="43" s="1"/>
  <c r="AH339" i="43"/>
  <c r="AB339" i="43"/>
  <c r="R339" i="43"/>
  <c r="X339" i="43" s="1"/>
  <c r="AH338" i="43"/>
  <c r="AB338" i="43"/>
  <c r="R338" i="43"/>
  <c r="X338" i="43" s="1"/>
  <c r="AH337" i="43"/>
  <c r="AB337" i="43"/>
  <c r="R337" i="43"/>
  <c r="X337" i="43" s="1"/>
  <c r="AH336" i="43"/>
  <c r="AB336" i="43"/>
  <c r="R336" i="43"/>
  <c r="X336" i="43" s="1"/>
  <c r="AE336" i="43" s="1"/>
  <c r="AH334" i="43"/>
  <c r="AB334" i="43"/>
  <c r="R334" i="43"/>
  <c r="X334" i="43" s="1"/>
  <c r="AH333" i="43"/>
  <c r="AB333" i="43"/>
  <c r="R333" i="43"/>
  <c r="X333" i="43" s="1"/>
  <c r="AH331" i="43"/>
  <c r="AB331" i="43"/>
  <c r="R331" i="43"/>
  <c r="X331" i="43" s="1"/>
  <c r="AE331" i="43" s="1"/>
  <c r="AH330" i="43"/>
  <c r="AB330" i="43"/>
  <c r="R330" i="43"/>
  <c r="X330" i="43" s="1"/>
  <c r="AE330" i="43" s="1"/>
  <c r="AH329" i="43"/>
  <c r="AB329" i="43"/>
  <c r="R329" i="43"/>
  <c r="X329" i="43" s="1"/>
  <c r="AH327" i="43"/>
  <c r="AB327" i="43"/>
  <c r="R327" i="43"/>
  <c r="X327" i="43" s="1"/>
  <c r="AH326" i="43"/>
  <c r="AB326" i="43"/>
  <c r="R326" i="43"/>
  <c r="X326" i="43" s="1"/>
  <c r="AH325" i="43"/>
  <c r="AB325" i="43"/>
  <c r="R325" i="43"/>
  <c r="X325" i="43" s="1"/>
  <c r="AE325" i="43" s="1"/>
  <c r="AH323" i="43"/>
  <c r="AB323" i="43"/>
  <c r="R323" i="43"/>
  <c r="X323" i="43" s="1"/>
  <c r="AH321" i="43"/>
  <c r="AB321" i="43"/>
  <c r="R321" i="43"/>
  <c r="X321" i="43" s="1"/>
  <c r="AH320" i="43"/>
  <c r="AB320" i="43"/>
  <c r="R320" i="43"/>
  <c r="X320" i="43" s="1"/>
  <c r="AE320" i="43" s="1"/>
  <c r="AH319" i="43"/>
  <c r="AB319" i="43"/>
  <c r="R319" i="43"/>
  <c r="X319" i="43" s="1"/>
  <c r="AE319" i="43" s="1"/>
  <c r="AH318" i="43"/>
  <c r="AB318" i="43"/>
  <c r="R318" i="43"/>
  <c r="X318" i="43" s="1"/>
  <c r="AH317" i="43"/>
  <c r="AB317" i="43"/>
  <c r="R317" i="43"/>
  <c r="X317" i="43" s="1"/>
  <c r="AH315" i="43"/>
  <c r="AB315" i="43"/>
  <c r="R315" i="43"/>
  <c r="X315" i="43" s="1"/>
  <c r="AE315" i="43" s="1"/>
  <c r="AH314" i="43"/>
  <c r="AB314" i="43"/>
  <c r="R314" i="43"/>
  <c r="X314" i="43" s="1"/>
  <c r="AE314" i="43" s="1"/>
  <c r="AH313" i="43"/>
  <c r="AB313" i="43"/>
  <c r="R313" i="43"/>
  <c r="X313" i="43" s="1"/>
  <c r="AH311" i="43"/>
  <c r="AB311" i="43"/>
  <c r="R311" i="43"/>
  <c r="X311" i="43" s="1"/>
  <c r="AH310" i="43"/>
  <c r="AB310" i="43"/>
  <c r="R310" i="43"/>
  <c r="X310" i="43" s="1"/>
  <c r="AH309" i="43"/>
  <c r="AB309" i="43"/>
  <c r="R309" i="43"/>
  <c r="X309" i="43" s="1"/>
  <c r="AE309" i="43" s="1"/>
  <c r="AH308" i="43"/>
  <c r="AB308" i="43"/>
  <c r="R308" i="43"/>
  <c r="X308" i="43" s="1"/>
  <c r="AH307" i="43"/>
  <c r="AB307" i="43"/>
  <c r="R307" i="43"/>
  <c r="X307" i="43" s="1"/>
  <c r="AH306" i="43"/>
  <c r="AB306" i="43"/>
  <c r="R306" i="43"/>
  <c r="X306" i="43" s="1"/>
  <c r="AH304" i="43"/>
  <c r="AB304" i="43"/>
  <c r="R304" i="43"/>
  <c r="X304" i="43" s="1"/>
  <c r="AE304" i="43" s="1"/>
  <c r="AH303" i="43"/>
  <c r="AB303" i="43"/>
  <c r="R303" i="43"/>
  <c r="X303" i="43" s="1"/>
  <c r="AH302" i="43"/>
  <c r="AB302" i="43"/>
  <c r="R302" i="43"/>
  <c r="X302" i="43" s="1"/>
  <c r="AH301" i="43"/>
  <c r="AB301" i="43"/>
  <c r="R301" i="43"/>
  <c r="X301" i="43" s="1"/>
  <c r="AE301" i="43" s="1"/>
  <c r="AH300" i="43"/>
  <c r="AB300" i="43"/>
  <c r="R300" i="43"/>
  <c r="X300" i="43" s="1"/>
  <c r="AE300" i="43" s="1"/>
  <c r="AH299" i="43"/>
  <c r="AB299" i="43"/>
  <c r="R299" i="43"/>
  <c r="X299" i="43" s="1"/>
  <c r="AH297" i="43"/>
  <c r="AB297" i="43"/>
  <c r="R297" i="43"/>
  <c r="X297" i="43" s="1"/>
  <c r="AH295" i="43"/>
  <c r="AB295" i="43"/>
  <c r="R295" i="43"/>
  <c r="X295" i="43" s="1"/>
  <c r="AH294" i="43"/>
  <c r="AB294" i="43"/>
  <c r="R294" i="43"/>
  <c r="X294" i="43" s="1"/>
  <c r="AE294" i="43" s="1"/>
  <c r="AH293" i="43"/>
  <c r="AB293" i="43"/>
  <c r="R293" i="43"/>
  <c r="X293" i="43" s="1"/>
  <c r="AH292" i="43"/>
  <c r="AB292" i="43"/>
  <c r="R292" i="43"/>
  <c r="X292" i="43" s="1"/>
  <c r="AH291" i="43"/>
  <c r="AB291" i="43"/>
  <c r="R291" i="43"/>
  <c r="X291" i="43" s="1"/>
  <c r="AH290" i="43"/>
  <c r="AB290" i="43"/>
  <c r="R290" i="43"/>
  <c r="X290" i="43" s="1"/>
  <c r="AE290" i="43" s="1"/>
  <c r="AH289" i="43"/>
  <c r="AB289" i="43"/>
  <c r="R289" i="43"/>
  <c r="X289" i="43" s="1"/>
  <c r="AH287" i="43"/>
  <c r="AB287" i="43"/>
  <c r="R287" i="43"/>
  <c r="X287" i="43" s="1"/>
  <c r="AH286" i="43"/>
  <c r="AB286" i="43"/>
  <c r="R286" i="43"/>
  <c r="X286" i="43" s="1"/>
  <c r="AH285" i="43"/>
  <c r="AB285" i="43"/>
  <c r="R285" i="43"/>
  <c r="X285" i="43" s="1"/>
  <c r="AE285" i="43" s="1"/>
  <c r="AH284" i="43"/>
  <c r="AB284" i="43"/>
  <c r="R284" i="43"/>
  <c r="X284" i="43" s="1"/>
  <c r="AH282" i="43"/>
  <c r="AB282" i="43"/>
  <c r="R282" i="43"/>
  <c r="X282" i="43" s="1"/>
  <c r="AH281" i="43"/>
  <c r="AB281" i="43"/>
  <c r="R281" i="43"/>
  <c r="X281" i="43" s="1"/>
  <c r="AH280" i="43"/>
  <c r="AB280" i="43"/>
  <c r="R280" i="43"/>
  <c r="X280" i="43" s="1"/>
  <c r="AH279" i="43"/>
  <c r="AB279" i="43"/>
  <c r="R279" i="43"/>
  <c r="X279" i="43" s="1"/>
  <c r="AH278" i="43"/>
  <c r="AB278" i="43"/>
  <c r="R278" i="43"/>
  <c r="X278" i="43" s="1"/>
  <c r="AH277" i="43"/>
  <c r="AB277" i="43"/>
  <c r="R277" i="43"/>
  <c r="X277" i="43" s="1"/>
  <c r="AH275" i="43"/>
  <c r="AB275" i="43"/>
  <c r="R275" i="43"/>
  <c r="X275" i="43" s="1"/>
  <c r="AE275" i="43" s="1"/>
  <c r="AH274" i="43"/>
  <c r="AB274" i="43"/>
  <c r="R274" i="43"/>
  <c r="X274" i="43" s="1"/>
  <c r="AH273" i="43"/>
  <c r="AB273" i="43"/>
  <c r="R273" i="43"/>
  <c r="X273" i="43" s="1"/>
  <c r="AH271" i="43"/>
  <c r="AB271" i="43"/>
  <c r="R271" i="43"/>
  <c r="X271" i="43" s="1"/>
  <c r="AH270" i="43"/>
  <c r="AB270" i="43"/>
  <c r="R270" i="43"/>
  <c r="X270" i="43" s="1"/>
  <c r="AE270" i="43" s="1"/>
  <c r="AH269" i="43"/>
  <c r="AB269" i="43"/>
  <c r="R269" i="43"/>
  <c r="X269" i="43" s="1"/>
  <c r="AH268" i="43"/>
  <c r="AB268" i="43"/>
  <c r="R268" i="43"/>
  <c r="X268" i="43" s="1"/>
  <c r="AH267" i="43"/>
  <c r="AB267" i="43"/>
  <c r="R267" i="43"/>
  <c r="X267" i="43" s="1"/>
  <c r="AH265" i="43"/>
  <c r="AB265" i="43"/>
  <c r="R265" i="43"/>
  <c r="X265" i="43" s="1"/>
  <c r="AE265" i="43" s="1"/>
  <c r="AH264" i="43"/>
  <c r="AB264" i="43"/>
  <c r="R264" i="43"/>
  <c r="X264" i="43" s="1"/>
  <c r="AH263" i="43"/>
  <c r="AB263" i="43"/>
  <c r="R263" i="43"/>
  <c r="X263" i="43" s="1"/>
  <c r="AH261" i="43"/>
  <c r="AB261" i="43"/>
  <c r="R261" i="43"/>
  <c r="X261" i="43" s="1"/>
  <c r="AH260" i="43"/>
  <c r="AB260" i="43"/>
  <c r="R260" i="43"/>
  <c r="X260" i="43" s="1"/>
  <c r="AE260" i="43" s="1"/>
  <c r="AH259" i="43"/>
  <c r="AB259" i="43"/>
  <c r="R259" i="43"/>
  <c r="X259" i="43" s="1"/>
  <c r="AH257" i="43"/>
  <c r="AB257" i="43"/>
  <c r="R257" i="43"/>
  <c r="X257" i="43" s="1"/>
  <c r="AH255" i="43"/>
  <c r="AB255" i="43"/>
  <c r="R255" i="43"/>
  <c r="X255" i="43" s="1"/>
  <c r="AH254" i="43"/>
  <c r="AB254" i="43"/>
  <c r="R254" i="43"/>
  <c r="X254" i="43" s="1"/>
  <c r="AE254" i="43" s="1"/>
  <c r="AH253" i="43"/>
  <c r="AB253" i="43"/>
  <c r="R253" i="43"/>
  <c r="X253" i="43" s="1"/>
  <c r="AH252" i="43"/>
  <c r="AB252" i="43"/>
  <c r="R252" i="43"/>
  <c r="X252" i="43" s="1"/>
  <c r="AH251" i="43"/>
  <c r="AB251" i="43"/>
  <c r="R251" i="43"/>
  <c r="X251" i="43" s="1"/>
  <c r="AH250" i="43"/>
  <c r="AB250" i="43"/>
  <c r="R250" i="43"/>
  <c r="X250" i="43" s="1"/>
  <c r="AE250" i="43" s="1"/>
  <c r="AH248" i="43"/>
  <c r="AB248" i="43"/>
  <c r="R248" i="43"/>
  <c r="X248" i="43" s="1"/>
  <c r="AH247" i="43"/>
  <c r="AB247" i="43"/>
  <c r="R247" i="43"/>
  <c r="X247" i="43" s="1"/>
  <c r="AH246" i="43"/>
  <c r="AB246" i="43"/>
  <c r="R246" i="43"/>
  <c r="X246" i="43" s="1"/>
  <c r="AH245" i="43"/>
  <c r="AB245" i="43"/>
  <c r="R245" i="43"/>
  <c r="X245" i="43" s="1"/>
  <c r="AE245" i="43" s="1"/>
  <c r="AH244" i="43"/>
  <c r="AB244" i="43"/>
  <c r="R244" i="43"/>
  <c r="X244" i="43" s="1"/>
  <c r="AH242" i="43"/>
  <c r="AB242" i="43"/>
  <c r="R242" i="43"/>
  <c r="X242" i="43" s="1"/>
  <c r="AH241" i="43"/>
  <c r="AB241" i="43"/>
  <c r="R241" i="43"/>
  <c r="X241" i="43" s="1"/>
  <c r="AH240" i="43"/>
  <c r="AB240" i="43"/>
  <c r="R240" i="43"/>
  <c r="X240" i="43" s="1"/>
  <c r="AE240" i="43" s="1"/>
  <c r="AH239" i="43"/>
  <c r="AB239" i="43"/>
  <c r="R239" i="43"/>
  <c r="X239" i="43" s="1"/>
  <c r="AH238" i="43"/>
  <c r="AB238" i="43"/>
  <c r="R238" i="43"/>
  <c r="X238" i="43" s="1"/>
  <c r="AH236" i="43"/>
  <c r="AB236" i="43"/>
  <c r="R236" i="43"/>
  <c r="X236" i="43" s="1"/>
  <c r="AH235" i="43"/>
  <c r="AB235" i="43"/>
  <c r="R235" i="43"/>
  <c r="X235" i="43" s="1"/>
  <c r="AE235" i="43" s="1"/>
  <c r="AH234" i="43"/>
  <c r="AB234" i="43"/>
  <c r="R234" i="43"/>
  <c r="X234" i="43" s="1"/>
  <c r="AH233" i="43"/>
  <c r="AB233" i="43"/>
  <c r="R233" i="43"/>
  <c r="X233" i="43" s="1"/>
  <c r="AH232" i="43"/>
  <c r="AB232" i="43"/>
  <c r="R232" i="43"/>
  <c r="X232" i="43" s="1"/>
  <c r="AH230" i="43"/>
  <c r="AB230" i="43"/>
  <c r="R230" i="43"/>
  <c r="X230" i="43" s="1"/>
  <c r="AD230" i="43" s="1"/>
  <c r="AH229" i="43"/>
  <c r="AB229" i="43"/>
  <c r="R229" i="43"/>
  <c r="X229" i="43" s="1"/>
  <c r="AH228" i="43"/>
  <c r="AB228" i="43"/>
  <c r="R228" i="43"/>
  <c r="X228" i="43" s="1"/>
  <c r="AH227" i="43"/>
  <c r="AB227" i="43"/>
  <c r="R227" i="43"/>
  <c r="X227" i="43" s="1"/>
  <c r="AE227" i="43" s="1"/>
  <c r="AH226" i="43"/>
  <c r="AB226" i="43"/>
  <c r="R226" i="43"/>
  <c r="X226" i="43" s="1"/>
  <c r="AH224" i="43"/>
  <c r="AB224" i="43"/>
  <c r="R224" i="43"/>
  <c r="X224" i="43" s="1"/>
  <c r="AH223" i="43"/>
  <c r="AB223" i="43"/>
  <c r="R223" i="43"/>
  <c r="X223" i="43" s="1"/>
  <c r="AH222" i="43"/>
  <c r="AB222" i="43"/>
  <c r="R222" i="43"/>
  <c r="X222" i="43" s="1"/>
  <c r="AH221" i="43"/>
  <c r="AB221" i="43"/>
  <c r="R221" i="43"/>
  <c r="X221" i="43" s="1"/>
  <c r="AH220" i="43"/>
  <c r="AB220" i="43"/>
  <c r="R220" i="43"/>
  <c r="X220" i="43" s="1"/>
  <c r="AH218" i="43"/>
  <c r="AB218" i="43"/>
  <c r="R218" i="43"/>
  <c r="X218" i="43" s="1"/>
  <c r="AH217" i="43"/>
  <c r="AB217" i="43"/>
  <c r="R217" i="43"/>
  <c r="X217" i="43" s="1"/>
  <c r="AH216" i="43"/>
  <c r="AB216" i="43"/>
  <c r="R216" i="43"/>
  <c r="X216" i="43" s="1"/>
  <c r="AD216" i="43" s="1"/>
  <c r="AH215" i="43"/>
  <c r="AB215" i="43"/>
  <c r="R215" i="43"/>
  <c r="X215" i="43" s="1"/>
  <c r="AH214" i="43"/>
  <c r="AB214" i="43"/>
  <c r="R214" i="43"/>
  <c r="X214" i="43" s="1"/>
  <c r="AH212" i="43"/>
  <c r="AB212" i="43"/>
  <c r="R212" i="43"/>
  <c r="X212" i="43" s="1"/>
  <c r="AE212" i="43" s="1"/>
  <c r="AH211" i="43"/>
  <c r="AB211" i="43"/>
  <c r="R211" i="43"/>
  <c r="X211" i="43" s="1"/>
  <c r="AD211" i="43" s="1"/>
  <c r="AH210" i="43"/>
  <c r="AB210" i="43"/>
  <c r="R210" i="43"/>
  <c r="X210" i="43" s="1"/>
  <c r="AD210" i="43" s="1"/>
  <c r="AH209" i="43"/>
  <c r="AB209" i="43"/>
  <c r="R209" i="43"/>
  <c r="X209" i="43" s="1"/>
  <c r="AH208" i="43"/>
  <c r="AB208" i="43"/>
  <c r="R208" i="43"/>
  <c r="X208" i="43" s="1"/>
  <c r="AE208" i="43" s="1"/>
  <c r="AH207" i="43"/>
  <c r="AB207" i="43"/>
  <c r="R207" i="43"/>
  <c r="X207" i="43" s="1"/>
  <c r="AH205" i="43"/>
  <c r="AB205" i="43"/>
  <c r="R205" i="43"/>
  <c r="X205" i="43" s="1"/>
  <c r="AH204" i="43"/>
  <c r="AB204" i="43"/>
  <c r="R204" i="43"/>
  <c r="X204" i="43" s="1"/>
  <c r="AH203" i="43"/>
  <c r="AB203" i="43"/>
  <c r="R203" i="43"/>
  <c r="X203" i="43" s="1"/>
  <c r="AH202" i="43"/>
  <c r="AB202" i="43"/>
  <c r="R202" i="43"/>
  <c r="X202" i="43" s="1"/>
  <c r="AH201" i="43"/>
  <c r="AB201" i="43"/>
  <c r="R201" i="43"/>
  <c r="X201" i="43" s="1"/>
  <c r="AH199" i="43"/>
  <c r="AB199" i="43"/>
  <c r="R199" i="43"/>
  <c r="X199" i="43" s="1"/>
  <c r="AH198" i="43"/>
  <c r="AB198" i="43"/>
  <c r="R198" i="43"/>
  <c r="X198" i="43" s="1"/>
  <c r="AH197" i="43"/>
  <c r="AB197" i="43"/>
  <c r="R197" i="43"/>
  <c r="X197" i="43" s="1"/>
  <c r="AD197" i="43" s="1"/>
  <c r="AH196" i="43"/>
  <c r="AB196" i="43"/>
  <c r="R196" i="43"/>
  <c r="X196" i="43" s="1"/>
  <c r="AH195" i="43"/>
  <c r="AB195" i="43"/>
  <c r="R195" i="43"/>
  <c r="X195" i="43" s="1"/>
  <c r="AH193" i="43"/>
  <c r="AB193" i="43"/>
  <c r="R193" i="43"/>
  <c r="X193" i="43" s="1"/>
  <c r="AE193" i="43" s="1"/>
  <c r="AH192" i="43"/>
  <c r="AB192" i="43"/>
  <c r="R192" i="43"/>
  <c r="X192" i="43" s="1"/>
  <c r="AD192" i="43" s="1"/>
  <c r="AH191" i="43"/>
  <c r="AB191" i="43"/>
  <c r="R191" i="43"/>
  <c r="X191" i="43" s="1"/>
  <c r="AH190" i="43"/>
  <c r="AB190" i="43"/>
  <c r="R190" i="43"/>
  <c r="X190" i="43" s="1"/>
  <c r="AH189" i="43"/>
  <c r="AB189" i="43"/>
  <c r="R189" i="43"/>
  <c r="X189" i="43" s="1"/>
  <c r="AE189" i="43" s="1"/>
  <c r="AH188" i="43"/>
  <c r="AB188" i="43"/>
  <c r="R188" i="43"/>
  <c r="X188" i="43" s="1"/>
  <c r="AH186" i="43"/>
  <c r="AB186" i="43"/>
  <c r="R186" i="43"/>
  <c r="X186" i="43" s="1"/>
  <c r="AH185" i="43"/>
  <c r="AB185" i="43"/>
  <c r="R185" i="43"/>
  <c r="X185" i="43" s="1"/>
  <c r="AH184" i="43"/>
  <c r="AB184" i="43"/>
  <c r="R184" i="43"/>
  <c r="X184" i="43" s="1"/>
  <c r="AD184" i="43" s="1"/>
  <c r="AH183" i="43"/>
  <c r="AB183" i="43"/>
  <c r="R183" i="43"/>
  <c r="X183" i="43" s="1"/>
  <c r="AH182" i="43"/>
  <c r="AB182" i="43"/>
  <c r="R182" i="43"/>
  <c r="X182" i="43" s="1"/>
  <c r="AD182" i="43" s="1"/>
  <c r="AH181" i="43"/>
  <c r="AB181" i="43"/>
  <c r="R181" i="43"/>
  <c r="X181" i="43" s="1"/>
  <c r="AH179" i="43"/>
  <c r="AB179" i="43"/>
  <c r="R179" i="43"/>
  <c r="X179" i="43" s="1"/>
  <c r="AD179" i="43" s="1"/>
  <c r="AH178" i="43"/>
  <c r="AB178" i="43"/>
  <c r="R178" i="43"/>
  <c r="X178" i="43" s="1"/>
  <c r="AH177" i="43"/>
  <c r="AB177" i="43"/>
  <c r="R177" i="43"/>
  <c r="X177" i="43" s="1"/>
  <c r="AD177" i="43" s="1"/>
  <c r="AH176" i="43"/>
  <c r="AB176" i="43"/>
  <c r="R176" i="43"/>
  <c r="X176" i="43" s="1"/>
  <c r="AH175" i="43"/>
  <c r="AB175" i="43"/>
  <c r="R175" i="43"/>
  <c r="X175" i="43" s="1"/>
  <c r="AD175" i="43" s="1"/>
  <c r="AH173" i="43"/>
  <c r="AB173" i="43"/>
  <c r="R173" i="43"/>
  <c r="X173" i="43" s="1"/>
  <c r="AH172" i="43"/>
  <c r="AB172" i="43"/>
  <c r="R172" i="43"/>
  <c r="X172" i="43" s="1"/>
  <c r="AD172" i="43" s="1"/>
  <c r="AH171" i="43"/>
  <c r="AB171" i="43"/>
  <c r="R171" i="43"/>
  <c r="X171" i="43" s="1"/>
  <c r="AH170" i="43"/>
  <c r="AB170" i="43"/>
  <c r="R170" i="43"/>
  <c r="X170" i="43" s="1"/>
  <c r="AD170" i="43" s="1"/>
  <c r="AH169" i="43"/>
  <c r="AB169" i="43"/>
  <c r="X169" i="43"/>
  <c r="AH167" i="43"/>
  <c r="AB167" i="43"/>
  <c r="R167" i="43"/>
  <c r="X167" i="43" s="1"/>
  <c r="AD167" i="43" s="1"/>
  <c r="AH166" i="43"/>
  <c r="AB166" i="43"/>
  <c r="R166" i="43"/>
  <c r="X166" i="43" s="1"/>
  <c r="AH165" i="43"/>
  <c r="AB165" i="43"/>
  <c r="R165" i="43"/>
  <c r="X165" i="43" s="1"/>
  <c r="AD165" i="43" s="1"/>
  <c r="AH164" i="43"/>
  <c r="AB164" i="43"/>
  <c r="R164" i="43"/>
  <c r="X164" i="43" s="1"/>
  <c r="AH163" i="43"/>
  <c r="AB163" i="43"/>
  <c r="R163" i="43"/>
  <c r="X163" i="43" s="1"/>
  <c r="AD163" i="43" s="1"/>
  <c r="AH161" i="43"/>
  <c r="AB161" i="43"/>
  <c r="R161" i="43"/>
  <c r="X161" i="43" s="1"/>
  <c r="AH160" i="43"/>
  <c r="AB160" i="43"/>
  <c r="R160" i="43"/>
  <c r="X160" i="43" s="1"/>
  <c r="AD160" i="43" s="1"/>
  <c r="AH159" i="43"/>
  <c r="AB159" i="43"/>
  <c r="R159" i="43"/>
  <c r="X159" i="43" s="1"/>
  <c r="AH158" i="43"/>
  <c r="AB158" i="43"/>
  <c r="R158" i="43"/>
  <c r="X158" i="43" s="1"/>
  <c r="AD158" i="43" s="1"/>
  <c r="AH156" i="43"/>
  <c r="AB156" i="43"/>
  <c r="R156" i="43"/>
  <c r="X156" i="43" s="1"/>
  <c r="AH155" i="43"/>
  <c r="AB155" i="43"/>
  <c r="R155" i="43"/>
  <c r="X155" i="43" s="1"/>
  <c r="AD155" i="43" s="1"/>
  <c r="AH154" i="43"/>
  <c r="AB154" i="43"/>
  <c r="R154" i="43"/>
  <c r="X154" i="43" s="1"/>
  <c r="AH153" i="43"/>
  <c r="AB153" i="43"/>
  <c r="R153" i="43"/>
  <c r="X153" i="43" s="1"/>
  <c r="AD153" i="43" s="1"/>
  <c r="AH152" i="43"/>
  <c r="AB152" i="43"/>
  <c r="R152" i="43"/>
  <c r="X152" i="43" s="1"/>
  <c r="AH150" i="43"/>
  <c r="AB150" i="43"/>
  <c r="R150" i="43"/>
  <c r="X150" i="43" s="1"/>
  <c r="AD150" i="43" s="1"/>
  <c r="AH149" i="43"/>
  <c r="AB149" i="43"/>
  <c r="R149" i="43"/>
  <c r="X149" i="43" s="1"/>
  <c r="AH148" i="43"/>
  <c r="AB148" i="43"/>
  <c r="R148" i="43"/>
  <c r="X148" i="43" s="1"/>
  <c r="AD148" i="43" s="1"/>
  <c r="AH147" i="43"/>
  <c r="AB147" i="43"/>
  <c r="R147" i="43"/>
  <c r="X147" i="43" s="1"/>
  <c r="AH146" i="43"/>
  <c r="AB146" i="43"/>
  <c r="R146" i="43"/>
  <c r="X146" i="43" s="1"/>
  <c r="AD146" i="43" s="1"/>
  <c r="AH144" i="43"/>
  <c r="AB144" i="43"/>
  <c r="R144" i="43"/>
  <c r="X144" i="43" s="1"/>
  <c r="AH143" i="43"/>
  <c r="AB143" i="43"/>
  <c r="R143" i="43"/>
  <c r="X143" i="43" s="1"/>
  <c r="AE143" i="43" s="1"/>
  <c r="AH142" i="43"/>
  <c r="AB142" i="43"/>
  <c r="R142" i="43"/>
  <c r="X142" i="43" s="1"/>
  <c r="AH141" i="43"/>
  <c r="AB141" i="43"/>
  <c r="R141" i="43"/>
  <c r="X141" i="43" s="1"/>
  <c r="AH140" i="43"/>
  <c r="AB140" i="43"/>
  <c r="R140" i="43"/>
  <c r="X140" i="43" s="1"/>
  <c r="AH138" i="43"/>
  <c r="AB138" i="43"/>
  <c r="R138" i="43"/>
  <c r="X138" i="43" s="1"/>
  <c r="AH137" i="43"/>
  <c r="AB137" i="43"/>
  <c r="R137" i="43"/>
  <c r="X137" i="43" s="1"/>
  <c r="AH136" i="43"/>
  <c r="AB136" i="43"/>
  <c r="R136" i="43"/>
  <c r="X136" i="43" s="1"/>
  <c r="AE136" i="43" s="1"/>
  <c r="AH135" i="43"/>
  <c r="AB135" i="43"/>
  <c r="R135" i="43"/>
  <c r="X135" i="43" s="1"/>
  <c r="AE135" i="43" s="1"/>
  <c r="AH134" i="43"/>
  <c r="AB134" i="43"/>
  <c r="R134" i="43"/>
  <c r="X134" i="43" s="1"/>
  <c r="AE134" i="43" s="1"/>
  <c r="AH133" i="43"/>
  <c r="AB133" i="43"/>
  <c r="R133" i="43"/>
  <c r="X133" i="43" s="1"/>
  <c r="AH131" i="43"/>
  <c r="AB131" i="43"/>
  <c r="R131" i="43"/>
  <c r="X131" i="43" s="1"/>
  <c r="AH130" i="43"/>
  <c r="AB130" i="43"/>
  <c r="R130" i="43"/>
  <c r="X130" i="43" s="1"/>
  <c r="AH129" i="43"/>
  <c r="AB129" i="43"/>
  <c r="R129" i="43"/>
  <c r="X129" i="43" s="1"/>
  <c r="AE129" i="43" s="1"/>
  <c r="AH128" i="43"/>
  <c r="AB128" i="43"/>
  <c r="R128" i="43"/>
  <c r="X128" i="43" s="1"/>
  <c r="AH127" i="43"/>
  <c r="AB127" i="43"/>
  <c r="R127" i="43"/>
  <c r="X127" i="43" s="1"/>
  <c r="AE127" i="43" s="1"/>
  <c r="AH126" i="43"/>
  <c r="AB126" i="43"/>
  <c r="R126" i="43"/>
  <c r="X126" i="43" s="1"/>
  <c r="AE126" i="43" s="1"/>
  <c r="AH124" i="43"/>
  <c r="AB124" i="43"/>
  <c r="R124" i="43"/>
  <c r="X124" i="43" s="1"/>
  <c r="AH123" i="43"/>
  <c r="AB123" i="43"/>
  <c r="R123" i="43"/>
  <c r="X123" i="43" s="1"/>
  <c r="AH122" i="43"/>
  <c r="AB122" i="43"/>
  <c r="R122" i="43"/>
  <c r="X122" i="43" s="1"/>
  <c r="AE122" i="43" s="1"/>
  <c r="AH121" i="43"/>
  <c r="AB121" i="43"/>
  <c r="R121" i="43"/>
  <c r="X121" i="43" s="1"/>
  <c r="AE121" i="43" s="1"/>
  <c r="AH119" i="43"/>
  <c r="AB119" i="43"/>
  <c r="R119" i="43"/>
  <c r="X119" i="43" s="1"/>
  <c r="AH118" i="43"/>
  <c r="AB118" i="43"/>
  <c r="R118" i="43"/>
  <c r="X118" i="43" s="1"/>
  <c r="AH117" i="43"/>
  <c r="AB117" i="43"/>
  <c r="R117" i="43"/>
  <c r="X117" i="43" s="1"/>
  <c r="AE117" i="43" s="1"/>
  <c r="AH115" i="43"/>
  <c r="AB115" i="43"/>
  <c r="R115" i="43"/>
  <c r="X115" i="43" s="1"/>
  <c r="AE115" i="43" s="1"/>
  <c r="AH114" i="43"/>
  <c r="AB114" i="43"/>
  <c r="R114" i="43"/>
  <c r="X114" i="43" s="1"/>
  <c r="AE114" i="43" s="1"/>
  <c r="AH112" i="43"/>
  <c r="AB112" i="43"/>
  <c r="R112" i="43"/>
  <c r="X112" i="43" s="1"/>
  <c r="AH111" i="43"/>
  <c r="AB111" i="43"/>
  <c r="R111" i="43"/>
  <c r="X111" i="43" s="1"/>
  <c r="AE111" i="43" s="1"/>
  <c r="AH110" i="43"/>
  <c r="AB110" i="43"/>
  <c r="R110" i="43"/>
  <c r="X110" i="43" s="1"/>
  <c r="AH108" i="43"/>
  <c r="AB108" i="43"/>
  <c r="R108" i="43"/>
  <c r="X108" i="43" s="1"/>
  <c r="AE108" i="43" s="1"/>
  <c r="AH107" i="43"/>
  <c r="AB107" i="43"/>
  <c r="R107" i="43"/>
  <c r="X107" i="43" s="1"/>
  <c r="AH106" i="43"/>
  <c r="AB106" i="43"/>
  <c r="R106" i="43"/>
  <c r="X106" i="43" s="1"/>
  <c r="AE106" i="43" s="1"/>
  <c r="AH104" i="43"/>
  <c r="AB104" i="43"/>
  <c r="R104" i="43"/>
  <c r="X104" i="43" s="1"/>
  <c r="AH103" i="43"/>
  <c r="AB103" i="43"/>
  <c r="R103" i="43"/>
  <c r="X103" i="43" s="1"/>
  <c r="AE103" i="43" s="1"/>
  <c r="AH101" i="43"/>
  <c r="AB101" i="43"/>
  <c r="R101" i="43"/>
  <c r="X101" i="43" s="1"/>
  <c r="AH100" i="43"/>
  <c r="AB100" i="43"/>
  <c r="R100" i="43"/>
  <c r="X100" i="43" s="1"/>
  <c r="AE100" i="43" s="1"/>
  <c r="AH99" i="43"/>
  <c r="AB99" i="43"/>
  <c r="R99" i="43"/>
  <c r="X99" i="43" s="1"/>
  <c r="AH97" i="43"/>
  <c r="AB97" i="43"/>
  <c r="R97" i="43"/>
  <c r="X97" i="43" s="1"/>
  <c r="AE97" i="43" s="1"/>
  <c r="AH96" i="43"/>
  <c r="AB96" i="43"/>
  <c r="R96" i="43"/>
  <c r="X96" i="43" s="1"/>
  <c r="AH95" i="43"/>
  <c r="AB95" i="43"/>
  <c r="R95" i="43"/>
  <c r="X95" i="43" s="1"/>
  <c r="AE95" i="43" s="1"/>
  <c r="AH93" i="43"/>
  <c r="AB93" i="43"/>
  <c r="R93" i="43"/>
  <c r="X93" i="43" s="1"/>
  <c r="AE93" i="43" s="1"/>
  <c r="AH92" i="43"/>
  <c r="AB92" i="43"/>
  <c r="R92" i="43"/>
  <c r="X92" i="43" s="1"/>
  <c r="AH91" i="43"/>
  <c r="AB91" i="43"/>
  <c r="R91" i="43"/>
  <c r="X91" i="43" s="1"/>
  <c r="AD91" i="43" s="1"/>
  <c r="AH89" i="43"/>
  <c r="AB89" i="43"/>
  <c r="R89" i="43"/>
  <c r="X89" i="43" s="1"/>
  <c r="AH88" i="43"/>
  <c r="AB88" i="43"/>
  <c r="R88" i="43"/>
  <c r="X88" i="43" s="1"/>
  <c r="AH87" i="43"/>
  <c r="AB87" i="43"/>
  <c r="R87" i="43"/>
  <c r="X87" i="43" s="1"/>
  <c r="AH85" i="43"/>
  <c r="AB85" i="43"/>
  <c r="R85" i="43"/>
  <c r="X85" i="43" s="1"/>
  <c r="AD85" i="43" s="1"/>
  <c r="AH84" i="43"/>
  <c r="AB84" i="43"/>
  <c r="R84" i="43"/>
  <c r="X84" i="43" s="1"/>
  <c r="AH83" i="43"/>
  <c r="AB83" i="43"/>
  <c r="R83" i="43"/>
  <c r="X83" i="43" s="1"/>
  <c r="AH81" i="43"/>
  <c r="AB81" i="43"/>
  <c r="R81" i="43"/>
  <c r="X81" i="43" s="1"/>
  <c r="AH80" i="43"/>
  <c r="AB80" i="43"/>
  <c r="R80" i="43"/>
  <c r="X80" i="43" s="1"/>
  <c r="AD80" i="43" s="1"/>
  <c r="AH78" i="43"/>
  <c r="AB78" i="43"/>
  <c r="R78" i="43"/>
  <c r="X78" i="43" s="1"/>
  <c r="AH77" i="43"/>
  <c r="AB77" i="43"/>
  <c r="R77" i="43"/>
  <c r="X77" i="43" s="1"/>
  <c r="AH76" i="43"/>
  <c r="AB76" i="43"/>
  <c r="R76" i="43"/>
  <c r="X76" i="43" s="1"/>
  <c r="AH74" i="43"/>
  <c r="AB74" i="43"/>
  <c r="R74" i="43"/>
  <c r="X74" i="43" s="1"/>
  <c r="AD74" i="43" s="1"/>
  <c r="AH73" i="43"/>
  <c r="AB73" i="43"/>
  <c r="R73" i="43"/>
  <c r="X73" i="43" s="1"/>
  <c r="AH72" i="43"/>
  <c r="AB72" i="43"/>
  <c r="R72" i="43"/>
  <c r="X72" i="43" s="1"/>
  <c r="AH71" i="43"/>
  <c r="AB71" i="43"/>
  <c r="R71" i="43"/>
  <c r="X71" i="43" s="1"/>
  <c r="AH69" i="43"/>
  <c r="AB69" i="43"/>
  <c r="R69" i="43"/>
  <c r="X69" i="43" s="1"/>
  <c r="AD69" i="43" s="1"/>
  <c r="AH68" i="43"/>
  <c r="AB68" i="43"/>
  <c r="R68" i="43"/>
  <c r="X68" i="43" s="1"/>
  <c r="AH66" i="43"/>
  <c r="AB66" i="43"/>
  <c r="R66" i="43"/>
  <c r="X66" i="43" s="1"/>
  <c r="AH65" i="43"/>
  <c r="AB65" i="43"/>
  <c r="R65" i="43"/>
  <c r="X65" i="43" s="1"/>
  <c r="AH64" i="43"/>
  <c r="AB64" i="43"/>
  <c r="R64" i="43"/>
  <c r="X64" i="43" s="1"/>
  <c r="AD64" i="43" s="1"/>
  <c r="AH62" i="43"/>
  <c r="AB62" i="43"/>
  <c r="R62" i="43"/>
  <c r="X62" i="43" s="1"/>
  <c r="AH61" i="43"/>
  <c r="AB61" i="43"/>
  <c r="R61" i="43"/>
  <c r="X61" i="43" s="1"/>
  <c r="AH60" i="43"/>
  <c r="AB60" i="43"/>
  <c r="R60" i="43"/>
  <c r="X60" i="43" s="1"/>
  <c r="AH58" i="43"/>
  <c r="AB58" i="43"/>
  <c r="R58" i="43"/>
  <c r="X58" i="43" s="1"/>
  <c r="AD58" i="43" s="1"/>
  <c r="AH57" i="43"/>
  <c r="AB57" i="43"/>
  <c r="R57" i="43"/>
  <c r="X57" i="43" s="1"/>
  <c r="AH56" i="43"/>
  <c r="AB56" i="43"/>
  <c r="R56" i="43"/>
  <c r="X56" i="43" s="1"/>
  <c r="AH54" i="43"/>
  <c r="AB54" i="43"/>
  <c r="R54" i="43"/>
  <c r="X54" i="43" s="1"/>
  <c r="AH53" i="43"/>
  <c r="AB53" i="43"/>
  <c r="R53" i="43"/>
  <c r="X53" i="43" s="1"/>
  <c r="AD53" i="43" s="1"/>
  <c r="AH51" i="43"/>
  <c r="AB51" i="43"/>
  <c r="R51" i="43"/>
  <c r="X51" i="43" s="1"/>
  <c r="AH50" i="43"/>
  <c r="AB50" i="43"/>
  <c r="R50" i="43"/>
  <c r="X50" i="43" s="1"/>
  <c r="AH48" i="43"/>
  <c r="AB48" i="43"/>
  <c r="R48" i="43"/>
  <c r="X48" i="43" s="1"/>
  <c r="AH47" i="43"/>
  <c r="AB47" i="43"/>
  <c r="R47" i="43"/>
  <c r="X47" i="43" s="1"/>
  <c r="AD47" i="43" s="1"/>
  <c r="AH45" i="43"/>
  <c r="AB45" i="43"/>
  <c r="R45" i="43"/>
  <c r="X45" i="43" s="1"/>
  <c r="AH44" i="43"/>
  <c r="AB44" i="43"/>
  <c r="R44" i="43"/>
  <c r="X44" i="43" s="1"/>
  <c r="AH43" i="43"/>
  <c r="AB43" i="43"/>
  <c r="R43" i="43"/>
  <c r="X43" i="43" s="1"/>
  <c r="AH41" i="43"/>
  <c r="AB41" i="43"/>
  <c r="R41" i="43"/>
  <c r="X41" i="43" s="1"/>
  <c r="AD41" i="43" s="1"/>
  <c r="AH40" i="43"/>
  <c r="AB40" i="43"/>
  <c r="R40" i="43"/>
  <c r="X40" i="43" s="1"/>
  <c r="AH38" i="43"/>
  <c r="AB38" i="43"/>
  <c r="R38" i="43"/>
  <c r="X38" i="43" s="1"/>
  <c r="AH37" i="43"/>
  <c r="AB37" i="43"/>
  <c r="R37" i="43"/>
  <c r="X37" i="43" s="1"/>
  <c r="AH36" i="43"/>
  <c r="AB36" i="43"/>
  <c r="R36" i="43"/>
  <c r="X36" i="43" s="1"/>
  <c r="AD36" i="43" s="1"/>
  <c r="AH34" i="43"/>
  <c r="AB34" i="43"/>
  <c r="R34" i="43"/>
  <c r="X34" i="43" s="1"/>
  <c r="AH33" i="43"/>
  <c r="AB33" i="43"/>
  <c r="R33" i="43"/>
  <c r="X33" i="43" s="1"/>
  <c r="AH32" i="43"/>
  <c r="AB32" i="43"/>
  <c r="R32" i="43"/>
  <c r="X32" i="43" s="1"/>
  <c r="AH30" i="43"/>
  <c r="AB30" i="43"/>
  <c r="R30" i="43"/>
  <c r="X30" i="43" s="1"/>
  <c r="AD30" i="43" s="1"/>
  <c r="AH29" i="43"/>
  <c r="AB29" i="43"/>
  <c r="R29" i="43"/>
  <c r="X29" i="43" s="1"/>
  <c r="AH28" i="43"/>
  <c r="AB28" i="43"/>
  <c r="R28" i="43"/>
  <c r="X28" i="43" s="1"/>
  <c r="AH26" i="43"/>
  <c r="AB26" i="43"/>
  <c r="R26" i="43"/>
  <c r="X26" i="43" s="1"/>
  <c r="AH25" i="43"/>
  <c r="AB25" i="43"/>
  <c r="R25" i="43"/>
  <c r="X25" i="43" s="1"/>
  <c r="AD25" i="43" s="1"/>
  <c r="AH24" i="43"/>
  <c r="AB24" i="43"/>
  <c r="R24" i="43"/>
  <c r="X24" i="43" s="1"/>
  <c r="AH23" i="43"/>
  <c r="AB23" i="43"/>
  <c r="R23" i="43"/>
  <c r="X23" i="43" s="1"/>
  <c r="AH21" i="43"/>
  <c r="AB21" i="43"/>
  <c r="R21" i="43"/>
  <c r="X21" i="43" s="1"/>
  <c r="AH20" i="43"/>
  <c r="AB20" i="43"/>
  <c r="R20" i="43"/>
  <c r="X20" i="43" s="1"/>
  <c r="AD20" i="43" s="1"/>
  <c r="AH19" i="43"/>
  <c r="AB19" i="43"/>
  <c r="R19" i="43"/>
  <c r="X19" i="43" s="1"/>
  <c r="AH17" i="43"/>
  <c r="AB17" i="43"/>
  <c r="R17" i="43"/>
  <c r="X17" i="43" s="1"/>
  <c r="AH16" i="43"/>
  <c r="AB16" i="43"/>
  <c r="R16" i="43"/>
  <c r="X16" i="43" s="1"/>
  <c r="AH15" i="43"/>
  <c r="AB15" i="43"/>
  <c r="R15" i="43"/>
  <c r="X15" i="43" s="1"/>
  <c r="AD15" i="43" s="1"/>
  <c r="AH14" i="43"/>
  <c r="AB14" i="43"/>
  <c r="R14" i="43"/>
  <c r="X14" i="43" s="1"/>
  <c r="AC268" i="43" l="1"/>
  <c r="AC17" i="44"/>
  <c r="AC257" i="43"/>
  <c r="AC26" i="44"/>
  <c r="AC75" i="44"/>
  <c r="AC233" i="43"/>
  <c r="AC242" i="43"/>
  <c r="AD191" i="43"/>
  <c r="AC191" i="43"/>
  <c r="AC104" i="43"/>
  <c r="AC229" i="43"/>
  <c r="AC412" i="43"/>
  <c r="AC397" i="43"/>
  <c r="AC407" i="43"/>
  <c r="AC454" i="43"/>
  <c r="AC111" i="43"/>
  <c r="AC464" i="43"/>
  <c r="AC99" i="43"/>
  <c r="AD127" i="43"/>
  <c r="AC440" i="43"/>
  <c r="AE125" i="44"/>
  <c r="AC125" i="44"/>
  <c r="AE54" i="44"/>
  <c r="AC54" i="44"/>
  <c r="AE94" i="44"/>
  <c r="AC94" i="44"/>
  <c r="AE59" i="44"/>
  <c r="AC59" i="44"/>
  <c r="AE99" i="44"/>
  <c r="AC99" i="44"/>
  <c r="AE45" i="44"/>
  <c r="AC45" i="44"/>
  <c r="AC34" i="44"/>
  <c r="AC50" i="44"/>
  <c r="AC104" i="44"/>
  <c r="AC16" i="44"/>
  <c r="AC21" i="44"/>
  <c r="AC36" i="44"/>
  <c r="AC80" i="44"/>
  <c r="AC110" i="44"/>
  <c r="AC116" i="44"/>
  <c r="AC120" i="44"/>
  <c r="AC66" i="44"/>
  <c r="AC18" i="44"/>
  <c r="AE18" i="44"/>
  <c r="AE22" i="44"/>
  <c r="AD22" i="44"/>
  <c r="AE25" i="44"/>
  <c r="AD25" i="44"/>
  <c r="AC25" i="44"/>
  <c r="AC14" i="44"/>
  <c r="AE14" i="44"/>
  <c r="AE17" i="44"/>
  <c r="AD17" i="44"/>
  <c r="AC27" i="44"/>
  <c r="AE27" i="44"/>
  <c r="AD38" i="44"/>
  <c r="AC38" i="44"/>
  <c r="AE40" i="44"/>
  <c r="AD40" i="44"/>
  <c r="AE44" i="44"/>
  <c r="AD44" i="44"/>
  <c r="AC44" i="44"/>
  <c r="AD52" i="44"/>
  <c r="AC52" i="44"/>
  <c r="AC55" i="44"/>
  <c r="AE55" i="44"/>
  <c r="AD55" i="44"/>
  <c r="AC60" i="44"/>
  <c r="AD60" i="44"/>
  <c r="AE60" i="44"/>
  <c r="AE31" i="44"/>
  <c r="AD31" i="44"/>
  <c r="AC41" i="44"/>
  <c r="AE41" i="44"/>
  <c r="AE58" i="44"/>
  <c r="AD58" i="44"/>
  <c r="AC58" i="44"/>
  <c r="AD18" i="44"/>
  <c r="AC22" i="44"/>
  <c r="AD24" i="44"/>
  <c r="AC24" i="44"/>
  <c r="AE26" i="44"/>
  <c r="AD26" i="44"/>
  <c r="AE30" i="44"/>
  <c r="AD30" i="44"/>
  <c r="AC30" i="44"/>
  <c r="AC31" i="44"/>
  <c r="AD33" i="44"/>
  <c r="AC33" i="44"/>
  <c r="AC37" i="44"/>
  <c r="AE37" i="44"/>
  <c r="AD41" i="44"/>
  <c r="AD47" i="44"/>
  <c r="AC47" i="44"/>
  <c r="AC51" i="44"/>
  <c r="AE51" i="44"/>
  <c r="AD15" i="44"/>
  <c r="AC15" i="44"/>
  <c r="AD29" i="44"/>
  <c r="AC29" i="44"/>
  <c r="AE48" i="44"/>
  <c r="AD48" i="44"/>
  <c r="AC48" i="44"/>
  <c r="AD20" i="44"/>
  <c r="AC20" i="44"/>
  <c r="AC23" i="44"/>
  <c r="AE23" i="44"/>
  <c r="AC32" i="44"/>
  <c r="AE32" i="44"/>
  <c r="AE36" i="44"/>
  <c r="AD36" i="44"/>
  <c r="AE39" i="44"/>
  <c r="AD39" i="44"/>
  <c r="AC39" i="44"/>
  <c r="AD43" i="44"/>
  <c r="AC43" i="44"/>
  <c r="AC46" i="44"/>
  <c r="AE46" i="44"/>
  <c r="AE53" i="44"/>
  <c r="AD53" i="44"/>
  <c r="AC53" i="44"/>
  <c r="AC62" i="44"/>
  <c r="AE62" i="44"/>
  <c r="AC72" i="44"/>
  <c r="AE72" i="44"/>
  <c r="AD92" i="44"/>
  <c r="AC92" i="44"/>
  <c r="AC96" i="44"/>
  <c r="AE96" i="44"/>
  <c r="AC117" i="44"/>
  <c r="AE117" i="44"/>
  <c r="AD45" i="44"/>
  <c r="AD50" i="44"/>
  <c r="AD54" i="44"/>
  <c r="AD59" i="44"/>
  <c r="AE65" i="44"/>
  <c r="AD65" i="44"/>
  <c r="AC65" i="44"/>
  <c r="AD68" i="44"/>
  <c r="AC68" i="44"/>
  <c r="AE71" i="44"/>
  <c r="AD71" i="44"/>
  <c r="AE74" i="44"/>
  <c r="AD74" i="44"/>
  <c r="AC74" i="44"/>
  <c r="AD78" i="44"/>
  <c r="AC78" i="44"/>
  <c r="AC81" i="44"/>
  <c r="AE81" i="44"/>
  <c r="AC90" i="44"/>
  <c r="AE90" i="44"/>
  <c r="AE98" i="44"/>
  <c r="AD98" i="44"/>
  <c r="AC98" i="44"/>
  <c r="AD108" i="44"/>
  <c r="AC108" i="44"/>
  <c r="AC111" i="44"/>
  <c r="AE111" i="44"/>
  <c r="AE119" i="44"/>
  <c r="AD119" i="44"/>
  <c r="AC119" i="44"/>
  <c r="AD127" i="44"/>
  <c r="AC127" i="44"/>
  <c r="AE129" i="44"/>
  <c r="AD129" i="44"/>
  <c r="AD82" i="44"/>
  <c r="AC82" i="44"/>
  <c r="AE85" i="44"/>
  <c r="AD85" i="44"/>
  <c r="AE88" i="44"/>
  <c r="AD88" i="44"/>
  <c r="AC88" i="44"/>
  <c r="AE103" i="44"/>
  <c r="AD103" i="44"/>
  <c r="AC103" i="44"/>
  <c r="AD112" i="44"/>
  <c r="AC112" i="44"/>
  <c r="AE123" i="44"/>
  <c r="AD123" i="44"/>
  <c r="AC123" i="44"/>
  <c r="AD16" i="44"/>
  <c r="AD21" i="44"/>
  <c r="AD34" i="44"/>
  <c r="AC57" i="44"/>
  <c r="AC61" i="44"/>
  <c r="AD62" i="44"/>
  <c r="AC67" i="44"/>
  <c r="AE67" i="44"/>
  <c r="AD72" i="44"/>
  <c r="AC76" i="44"/>
  <c r="AE76" i="44"/>
  <c r="AE82" i="44"/>
  <c r="AE83" i="44"/>
  <c r="AD83" i="44"/>
  <c r="AC83" i="44"/>
  <c r="AC85" i="44"/>
  <c r="AD87" i="44"/>
  <c r="AC87" i="44"/>
  <c r="AE89" i="44"/>
  <c r="AD89" i="44"/>
  <c r="AE92" i="44"/>
  <c r="AE93" i="44"/>
  <c r="AD93" i="44"/>
  <c r="AC93" i="44"/>
  <c r="AD96" i="44"/>
  <c r="AD102" i="44"/>
  <c r="AC102" i="44"/>
  <c r="AC106" i="44"/>
  <c r="AE106" i="44"/>
  <c r="AE112" i="44"/>
  <c r="AE114" i="44"/>
  <c r="AD114" i="44"/>
  <c r="AC114" i="44"/>
  <c r="AD117" i="44"/>
  <c r="AD122" i="44"/>
  <c r="AC122" i="44"/>
  <c r="AC126" i="44"/>
  <c r="AE126" i="44"/>
  <c r="AE57" i="44"/>
  <c r="AD61" i="44"/>
  <c r="AD64" i="44"/>
  <c r="AC64" i="44"/>
  <c r="AE66" i="44"/>
  <c r="AD66" i="44"/>
  <c r="AE68" i="44"/>
  <c r="AE69" i="44"/>
  <c r="AD69" i="44"/>
  <c r="AC69" i="44"/>
  <c r="AC71" i="44"/>
  <c r="AD73" i="44"/>
  <c r="AC73" i="44"/>
  <c r="AE75" i="44"/>
  <c r="AD75" i="44"/>
  <c r="AE78" i="44"/>
  <c r="AE79" i="44"/>
  <c r="AD79" i="44"/>
  <c r="AC79" i="44"/>
  <c r="AD81" i="44"/>
  <c r="AC86" i="44"/>
  <c r="AE86" i="44"/>
  <c r="AD90" i="44"/>
  <c r="AD97" i="44"/>
  <c r="AC97" i="44"/>
  <c r="AC100" i="44"/>
  <c r="AE100" i="44"/>
  <c r="AE108" i="44"/>
  <c r="AE109" i="44"/>
  <c r="AD109" i="44"/>
  <c r="AC109" i="44"/>
  <c r="AD111" i="44"/>
  <c r="AD118" i="44"/>
  <c r="AC118" i="44"/>
  <c r="AC121" i="44"/>
  <c r="AE121" i="44"/>
  <c r="AE127" i="44"/>
  <c r="AE128" i="44"/>
  <c r="AD128" i="44"/>
  <c r="AC128" i="44"/>
  <c r="AC129" i="44"/>
  <c r="AD80" i="44"/>
  <c r="AD94" i="44"/>
  <c r="AD99" i="44"/>
  <c r="AD104" i="44"/>
  <c r="AD110" i="44"/>
  <c r="AD116" i="44"/>
  <c r="AD120" i="44"/>
  <c r="AD125" i="44"/>
  <c r="AC301" i="43"/>
  <c r="AD93" i="43"/>
  <c r="AC110" i="43"/>
  <c r="AC118" i="43"/>
  <c r="AC238" i="43"/>
  <c r="AC306" i="43"/>
  <c r="AC315" i="43"/>
  <c r="AE146" i="43"/>
  <c r="AE148" i="43"/>
  <c r="AE150" i="43"/>
  <c r="AE153" i="43"/>
  <c r="AE155" i="43"/>
  <c r="AE158" i="43"/>
  <c r="AE160" i="43"/>
  <c r="AE163" i="43"/>
  <c r="AE165" i="43"/>
  <c r="AE167" i="43"/>
  <c r="AE170" i="43"/>
  <c r="AE172" i="43"/>
  <c r="AE175" i="43"/>
  <c r="AE177" i="43"/>
  <c r="AE179" i="43"/>
  <c r="AE182" i="43"/>
  <c r="AE184" i="43"/>
  <c r="AC210" i="43"/>
  <c r="AC100" i="43"/>
  <c r="AC136" i="43"/>
  <c r="AC273" i="43"/>
  <c r="AD100" i="43"/>
  <c r="AD111" i="43"/>
  <c r="AC126" i="43"/>
  <c r="AD201" i="43"/>
  <c r="AC201" i="43"/>
  <c r="AD220" i="43"/>
  <c r="AC220" i="43"/>
  <c r="AE393" i="43"/>
  <c r="AC393" i="43"/>
  <c r="AE131" i="43"/>
  <c r="AD131" i="43"/>
  <c r="AC131" i="43"/>
  <c r="AD196" i="43"/>
  <c r="AC196" i="43"/>
  <c r="AE263" i="43"/>
  <c r="AC263" i="43"/>
  <c r="AE387" i="43"/>
  <c r="AC387" i="43"/>
  <c r="AC95" i="43"/>
  <c r="AC106" i="43"/>
  <c r="AC117" i="43"/>
  <c r="AC121" i="43"/>
  <c r="AD205" i="43"/>
  <c r="AC205" i="43"/>
  <c r="AD224" i="43"/>
  <c r="AC224" i="43"/>
  <c r="AE445" i="43"/>
  <c r="AC445" i="43"/>
  <c r="AD95" i="43"/>
  <c r="AD106" i="43"/>
  <c r="AC115" i="43"/>
  <c r="AD117" i="43"/>
  <c r="AE130" i="43"/>
  <c r="AC130" i="43"/>
  <c r="AC137" i="43"/>
  <c r="AD215" i="43"/>
  <c r="AC215" i="43"/>
  <c r="AC421" i="43"/>
  <c r="AE449" i="43"/>
  <c r="AC449" i="43"/>
  <c r="AC135" i="43"/>
  <c r="AD136" i="43"/>
  <c r="AC378" i="43"/>
  <c r="AC426" i="43"/>
  <c r="AC286" i="43"/>
  <c r="AC320" i="43"/>
  <c r="AC346" i="43"/>
  <c r="AC431" i="43"/>
  <c r="AC252" i="43"/>
  <c r="AC278" i="43"/>
  <c r="AC331" i="43"/>
  <c r="AE16" i="43"/>
  <c r="AD16" i="43"/>
  <c r="AC16" i="43"/>
  <c r="AE23" i="43"/>
  <c r="AC23" i="43"/>
  <c r="AD23" i="43"/>
  <c r="AE26" i="43"/>
  <c r="AD26" i="43"/>
  <c r="AC26" i="43"/>
  <c r="AE33" i="43"/>
  <c r="AC33" i="43"/>
  <c r="AD33" i="43"/>
  <c r="AE37" i="43"/>
  <c r="AD37" i="43"/>
  <c r="AC37" i="43"/>
  <c r="AE44" i="43"/>
  <c r="AC44" i="43"/>
  <c r="AD44" i="43"/>
  <c r="AE48" i="43"/>
  <c r="AD48" i="43"/>
  <c r="AC48" i="43"/>
  <c r="AE56" i="43"/>
  <c r="AC56" i="43"/>
  <c r="AD56" i="43"/>
  <c r="AE60" i="43"/>
  <c r="AD60" i="43"/>
  <c r="AC60" i="43"/>
  <c r="AE66" i="43"/>
  <c r="AC66" i="43"/>
  <c r="AD66" i="43"/>
  <c r="AE71" i="43"/>
  <c r="AD71" i="43"/>
  <c r="AC71" i="43"/>
  <c r="AE77" i="43"/>
  <c r="AC77" i="43"/>
  <c r="AD77" i="43"/>
  <c r="AE81" i="43"/>
  <c r="AD81" i="43"/>
  <c r="AC81" i="43"/>
  <c r="AE88" i="43"/>
  <c r="AC88" i="43"/>
  <c r="AD88" i="43"/>
  <c r="AE92" i="43"/>
  <c r="AD92" i="43"/>
  <c r="AC92" i="43"/>
  <c r="AC96" i="43"/>
  <c r="AE96" i="43"/>
  <c r="AD96" i="43"/>
  <c r="AC107" i="43"/>
  <c r="AE107" i="43"/>
  <c r="AD107" i="43"/>
  <c r="AC17" i="43"/>
  <c r="AE17" i="43"/>
  <c r="AD17" i="43"/>
  <c r="AE21" i="43"/>
  <c r="AD21" i="43"/>
  <c r="AC21" i="43"/>
  <c r="AC28" i="43"/>
  <c r="AE28" i="43"/>
  <c r="AD28" i="43"/>
  <c r="AE32" i="43"/>
  <c r="AD32" i="43"/>
  <c r="AC32" i="43"/>
  <c r="AE38" i="43"/>
  <c r="AC38" i="43"/>
  <c r="AD38" i="43"/>
  <c r="AE43" i="43"/>
  <c r="AD43" i="43"/>
  <c r="AC43" i="43"/>
  <c r="AE50" i="43"/>
  <c r="AC50" i="43"/>
  <c r="AD50" i="43"/>
  <c r="AE54" i="43"/>
  <c r="AD54" i="43"/>
  <c r="AC54" i="43"/>
  <c r="AC61" i="43"/>
  <c r="AE61" i="43"/>
  <c r="AD61" i="43"/>
  <c r="AE65" i="43"/>
  <c r="AD65" i="43"/>
  <c r="AC65" i="43"/>
  <c r="AE72" i="43"/>
  <c r="AC72" i="43"/>
  <c r="AD72" i="43"/>
  <c r="AE76" i="43"/>
  <c r="AD76" i="43"/>
  <c r="AC76" i="43"/>
  <c r="AE83" i="43"/>
  <c r="AC83" i="43"/>
  <c r="AD83" i="43"/>
  <c r="AE87" i="43"/>
  <c r="AD87" i="43"/>
  <c r="AC87" i="43"/>
  <c r="AC101" i="43"/>
  <c r="AE101" i="43"/>
  <c r="AD101" i="43"/>
  <c r="AC112" i="43"/>
  <c r="AE112" i="43"/>
  <c r="AD112" i="43"/>
  <c r="AC19" i="43"/>
  <c r="AD19" i="43"/>
  <c r="AE19" i="43"/>
  <c r="AC29" i="43"/>
  <c r="AD29" i="43"/>
  <c r="AE29" i="43"/>
  <c r="AC40" i="43"/>
  <c r="AD40" i="43"/>
  <c r="AE40" i="43"/>
  <c r="AC51" i="43"/>
  <c r="AD51" i="43"/>
  <c r="AE51" i="43"/>
  <c r="AC62" i="43"/>
  <c r="AD62" i="43"/>
  <c r="AE62" i="43"/>
  <c r="AC73" i="43"/>
  <c r="AD73" i="43"/>
  <c r="AE73" i="43"/>
  <c r="AC84" i="43"/>
  <c r="AD84" i="43"/>
  <c r="AE84" i="43"/>
  <c r="AC14" i="43"/>
  <c r="AD14" i="43"/>
  <c r="AE14" i="43"/>
  <c r="AC24" i="43"/>
  <c r="AD24" i="43"/>
  <c r="AE24" i="43"/>
  <c r="AC34" i="43"/>
  <c r="AD34" i="43"/>
  <c r="AE34" i="43"/>
  <c r="AC45" i="43"/>
  <c r="AD45" i="43"/>
  <c r="AE45" i="43"/>
  <c r="AC57" i="43"/>
  <c r="AD57" i="43"/>
  <c r="AE57" i="43"/>
  <c r="AC68" i="43"/>
  <c r="AD68" i="43"/>
  <c r="AE68" i="43"/>
  <c r="AC78" i="43"/>
  <c r="AD78" i="43"/>
  <c r="AE78" i="43"/>
  <c r="AC89" i="43"/>
  <c r="AD89" i="43"/>
  <c r="AE89" i="43"/>
  <c r="AC123" i="43"/>
  <c r="AD123" i="43"/>
  <c r="AE123" i="43"/>
  <c r="AC128" i="43"/>
  <c r="AD128" i="43"/>
  <c r="AE128" i="43"/>
  <c r="AC133" i="43"/>
  <c r="AE133" i="43"/>
  <c r="AD133" i="43"/>
  <c r="AD141" i="43"/>
  <c r="AC141" i="43"/>
  <c r="AD269" i="43"/>
  <c r="AC269" i="43"/>
  <c r="AE269" i="43"/>
  <c r="AC279" i="43"/>
  <c r="AE279" i="43"/>
  <c r="AD279" i="43"/>
  <c r="AD124" i="43"/>
  <c r="AC124" i="43"/>
  <c r="AE188" i="43"/>
  <c r="AC188" i="43"/>
  <c r="AD188" i="43"/>
  <c r="AC214" i="43"/>
  <c r="AE214" i="43"/>
  <c r="AD214" i="43"/>
  <c r="AD222" i="43"/>
  <c r="AC222" i="43"/>
  <c r="AE222" i="43"/>
  <c r="AE15" i="43"/>
  <c r="AE20" i="43"/>
  <c r="AE25" i="43"/>
  <c r="AE30" i="43"/>
  <c r="AE36" i="43"/>
  <c r="AE41" i="43"/>
  <c r="AE47" i="43"/>
  <c r="AE58" i="43"/>
  <c r="AD119" i="43"/>
  <c r="AC119" i="43"/>
  <c r="AD138" i="43"/>
  <c r="AC138" i="43"/>
  <c r="AC195" i="43"/>
  <c r="AE195" i="43"/>
  <c r="AD195" i="43"/>
  <c r="AE236" i="43"/>
  <c r="AD236" i="43"/>
  <c r="AC236" i="43"/>
  <c r="AD253" i="43"/>
  <c r="AC253" i="43"/>
  <c r="AE253" i="43"/>
  <c r="AC15" i="43"/>
  <c r="AC20" i="43"/>
  <c r="AC25" i="43"/>
  <c r="AC30" i="43"/>
  <c r="AC36" i="43"/>
  <c r="AC41" i="43"/>
  <c r="AC47" i="43"/>
  <c r="AC53" i="43"/>
  <c r="AC58" i="43"/>
  <c r="AC64" i="43"/>
  <c r="AC69" i="43"/>
  <c r="AC74" i="43"/>
  <c r="AC80" i="43"/>
  <c r="AC85" i="43"/>
  <c r="AC91" i="43"/>
  <c r="AE99" i="43"/>
  <c r="AD99" i="43"/>
  <c r="AE104" i="43"/>
  <c r="AD104" i="43"/>
  <c r="AE110" i="43"/>
  <c r="AD110" i="43"/>
  <c r="AD118" i="43"/>
  <c r="AE119" i="43"/>
  <c r="AC122" i="43"/>
  <c r="AD129" i="43"/>
  <c r="AC129" i="43"/>
  <c r="AD137" i="43"/>
  <c r="AE138" i="43"/>
  <c r="AE140" i="43"/>
  <c r="AC140" i="43"/>
  <c r="AD140" i="43"/>
  <c r="AE141" i="43"/>
  <c r="AC142" i="43"/>
  <c r="AE142" i="43"/>
  <c r="AD142" i="43"/>
  <c r="AE144" i="43"/>
  <c r="AC144" i="43"/>
  <c r="AD144" i="43"/>
  <c r="AE207" i="43"/>
  <c r="AC207" i="43"/>
  <c r="AD207" i="43"/>
  <c r="AE53" i="43"/>
  <c r="AE64" i="43"/>
  <c r="AE69" i="43"/>
  <c r="AE74" i="43"/>
  <c r="AE80" i="43"/>
  <c r="AE85" i="43"/>
  <c r="AE91" i="43"/>
  <c r="AD143" i="43"/>
  <c r="AC143" i="43"/>
  <c r="AD203" i="43"/>
  <c r="AC203" i="43"/>
  <c r="AE203" i="43"/>
  <c r="AE246" i="43"/>
  <c r="AD246" i="43"/>
  <c r="AC246" i="43"/>
  <c r="AC93" i="43"/>
  <c r="AD97" i="43"/>
  <c r="AC97" i="43"/>
  <c r="AD103" i="43"/>
  <c r="AC103" i="43"/>
  <c r="AD108" i="43"/>
  <c r="AC108" i="43"/>
  <c r="AD114" i="43"/>
  <c r="AC114" i="43"/>
  <c r="AE118" i="43"/>
  <c r="AD122" i="43"/>
  <c r="AE124" i="43"/>
  <c r="AC127" i="43"/>
  <c r="AD134" i="43"/>
  <c r="AC134" i="43"/>
  <c r="AE137" i="43"/>
  <c r="AE226" i="43"/>
  <c r="AC226" i="43"/>
  <c r="AD226" i="43"/>
  <c r="AC147" i="43"/>
  <c r="AE147" i="43"/>
  <c r="AE149" i="43"/>
  <c r="AC149" i="43"/>
  <c r="AC152" i="43"/>
  <c r="AE152" i="43"/>
  <c r="AE154" i="43"/>
  <c r="AC154" i="43"/>
  <c r="AC156" i="43"/>
  <c r="AE156" i="43"/>
  <c r="AE159" i="43"/>
  <c r="AC159" i="43"/>
  <c r="AC161" i="43"/>
  <c r="AE161" i="43"/>
  <c r="AE164" i="43"/>
  <c r="AC164" i="43"/>
  <c r="AC166" i="43"/>
  <c r="AE166" i="43"/>
  <c r="AE169" i="43"/>
  <c r="AC169" i="43"/>
  <c r="AC171" i="43"/>
  <c r="AE171" i="43"/>
  <c r="AE173" i="43"/>
  <c r="AC173" i="43"/>
  <c r="AC176" i="43"/>
  <c r="AE176" i="43"/>
  <c r="AE178" i="43"/>
  <c r="AC178" i="43"/>
  <c r="AC181" i="43"/>
  <c r="AE181" i="43"/>
  <c r="AE183" i="43"/>
  <c r="AC183" i="43"/>
  <c r="AC185" i="43"/>
  <c r="AE185" i="43"/>
  <c r="AD186" i="43"/>
  <c r="AE186" i="43"/>
  <c r="AC190" i="43"/>
  <c r="AE190" i="43"/>
  <c r="AD190" i="43"/>
  <c r="AD198" i="43"/>
  <c r="AC198" i="43"/>
  <c r="AE202" i="43"/>
  <c r="AC202" i="43"/>
  <c r="AC209" i="43"/>
  <c r="AE209" i="43"/>
  <c r="AD209" i="43"/>
  <c r="AD217" i="43"/>
  <c r="AC217" i="43"/>
  <c r="AE221" i="43"/>
  <c r="AC221" i="43"/>
  <c r="AC228" i="43"/>
  <c r="AE228" i="43"/>
  <c r="AD228" i="43"/>
  <c r="AD232" i="43"/>
  <c r="AC232" i="43"/>
  <c r="AD234" i="43"/>
  <c r="AC234" i="43"/>
  <c r="AE234" i="43"/>
  <c r="AD244" i="43"/>
  <c r="AC244" i="43"/>
  <c r="AE244" i="43"/>
  <c r="AC247" i="43"/>
  <c r="AE247" i="43"/>
  <c r="AD247" i="43"/>
  <c r="AE251" i="43"/>
  <c r="AD251" i="43"/>
  <c r="AC251" i="43"/>
  <c r="AE261" i="43"/>
  <c r="AD261" i="43"/>
  <c r="AC261" i="43"/>
  <c r="AE267" i="43"/>
  <c r="AD267" i="43"/>
  <c r="AC267" i="43"/>
  <c r="AE277" i="43"/>
  <c r="AD277" i="43"/>
  <c r="AC277" i="43"/>
  <c r="AD115" i="43"/>
  <c r="AD121" i="43"/>
  <c r="AD126" i="43"/>
  <c r="AD130" i="43"/>
  <c r="AD135" i="43"/>
  <c r="AD193" i="43"/>
  <c r="AC193" i="43"/>
  <c r="AE197" i="43"/>
  <c r="AC197" i="43"/>
  <c r="AC204" i="43"/>
  <c r="AE204" i="43"/>
  <c r="AD204" i="43"/>
  <c r="AD212" i="43"/>
  <c r="AC212" i="43"/>
  <c r="AE216" i="43"/>
  <c r="AC216" i="43"/>
  <c r="AC223" i="43"/>
  <c r="AE223" i="43"/>
  <c r="AD223" i="43"/>
  <c r="AE230" i="43"/>
  <c r="AC230" i="43"/>
  <c r="AE241" i="43"/>
  <c r="AD241" i="43"/>
  <c r="AC241" i="43"/>
  <c r="AD248" i="43"/>
  <c r="AC248" i="43"/>
  <c r="AE248" i="43"/>
  <c r="AD259" i="43"/>
  <c r="AC259" i="43"/>
  <c r="AE259" i="43"/>
  <c r="AD264" i="43"/>
  <c r="AC264" i="43"/>
  <c r="AE264" i="43"/>
  <c r="AD274" i="43"/>
  <c r="AC274" i="43"/>
  <c r="AE274" i="43"/>
  <c r="AC146" i="43"/>
  <c r="AI146" i="43" s="1"/>
  <c r="AD147" i="43"/>
  <c r="AC148" i="43"/>
  <c r="AD149" i="43"/>
  <c r="AC150" i="43"/>
  <c r="AD152" i="43"/>
  <c r="AC153" i="43"/>
  <c r="AD154" i="43"/>
  <c r="AC155" i="43"/>
  <c r="AD156" i="43"/>
  <c r="AC158" i="43"/>
  <c r="AD159" i="43"/>
  <c r="AC160" i="43"/>
  <c r="AD161" i="43"/>
  <c r="AC163" i="43"/>
  <c r="AD164" i="43"/>
  <c r="AC165" i="43"/>
  <c r="AD166" i="43"/>
  <c r="AC167" i="43"/>
  <c r="AD169" i="43"/>
  <c r="AC170" i="43"/>
  <c r="AD171" i="43"/>
  <c r="AC172" i="43"/>
  <c r="AD173" i="43"/>
  <c r="AC175" i="43"/>
  <c r="AI175" i="43" s="1"/>
  <c r="AD176" i="43"/>
  <c r="AC177" i="43"/>
  <c r="AD178" i="43"/>
  <c r="AC179" i="43"/>
  <c r="AD181" i="43"/>
  <c r="AC182" i="43"/>
  <c r="AD183" i="43"/>
  <c r="AC184" i="43"/>
  <c r="AD185" i="43"/>
  <c r="AC186" i="43"/>
  <c r="AD189" i="43"/>
  <c r="AC189" i="43"/>
  <c r="AE192" i="43"/>
  <c r="AC192" i="43"/>
  <c r="AE198" i="43"/>
  <c r="AC199" i="43"/>
  <c r="AE199" i="43"/>
  <c r="AD199" i="43"/>
  <c r="AD202" i="43"/>
  <c r="AD208" i="43"/>
  <c r="AC208" i="43"/>
  <c r="AE211" i="43"/>
  <c r="AC211" i="43"/>
  <c r="AE217" i="43"/>
  <c r="AC218" i="43"/>
  <c r="AE218" i="43"/>
  <c r="AD218" i="43"/>
  <c r="AD221" i="43"/>
  <c r="AD227" i="43"/>
  <c r="AC227" i="43"/>
  <c r="AD229" i="43"/>
  <c r="AE229" i="43"/>
  <c r="AE232" i="43"/>
  <c r="AD239" i="43"/>
  <c r="AC239" i="43"/>
  <c r="AE239" i="43"/>
  <c r="AE255" i="43"/>
  <c r="AD255" i="43"/>
  <c r="AC255" i="43"/>
  <c r="AE271" i="43"/>
  <c r="AD271" i="43"/>
  <c r="AC271" i="43"/>
  <c r="AE191" i="43"/>
  <c r="AE196" i="43"/>
  <c r="AE201" i="43"/>
  <c r="AE205" i="43"/>
  <c r="AE210" i="43"/>
  <c r="AE215" i="43"/>
  <c r="AE220" i="43"/>
  <c r="AE224" i="43"/>
  <c r="AD233" i="43"/>
  <c r="AD238" i="43"/>
  <c r="AD242" i="43"/>
  <c r="AD252" i="43"/>
  <c r="AD257" i="43"/>
  <c r="AD263" i="43"/>
  <c r="AD268" i="43"/>
  <c r="AD273" i="43"/>
  <c r="AD278" i="43"/>
  <c r="AE289" i="43"/>
  <c r="AD289" i="43"/>
  <c r="AC289" i="43"/>
  <c r="AE308" i="43"/>
  <c r="AD308" i="43"/>
  <c r="AC308" i="43"/>
  <c r="AD317" i="43"/>
  <c r="AC317" i="43"/>
  <c r="AE317" i="43"/>
  <c r="AE323" i="43"/>
  <c r="AD323" i="43"/>
  <c r="AC323" i="43"/>
  <c r="AD333" i="43"/>
  <c r="AC333" i="43"/>
  <c r="AE333" i="43"/>
  <c r="AC337" i="43"/>
  <c r="AE337" i="43"/>
  <c r="AD337" i="43"/>
  <c r="AD342" i="43"/>
  <c r="AC342" i="43"/>
  <c r="AE342" i="43"/>
  <c r="AE233" i="43"/>
  <c r="AC235" i="43"/>
  <c r="AE238" i="43"/>
  <c r="AC240" i="43"/>
  <c r="AE242" i="43"/>
  <c r="AC245" i="43"/>
  <c r="AC250" i="43"/>
  <c r="AE252" i="43"/>
  <c r="AC254" i="43"/>
  <c r="AE257" i="43"/>
  <c r="AC260" i="43"/>
  <c r="AC265" i="43"/>
  <c r="AE268" i="43"/>
  <c r="AC270" i="43"/>
  <c r="AE273" i="43"/>
  <c r="AC275" i="43"/>
  <c r="AE278" i="43"/>
  <c r="AD280" i="43"/>
  <c r="AC280" i="43"/>
  <c r="AD282" i="43"/>
  <c r="AC282" i="43"/>
  <c r="AE282" i="43"/>
  <c r="AD292" i="43"/>
  <c r="AC292" i="43"/>
  <c r="AE292" i="43"/>
  <c r="AC295" i="43"/>
  <c r="AE295" i="43"/>
  <c r="AD295" i="43"/>
  <c r="AD302" i="43"/>
  <c r="AC302" i="43"/>
  <c r="AE302" i="43"/>
  <c r="AD311" i="43"/>
  <c r="AC311" i="43"/>
  <c r="AE311" i="43"/>
  <c r="AE318" i="43"/>
  <c r="AD318" i="43"/>
  <c r="AC318" i="43"/>
  <c r="AD327" i="43"/>
  <c r="AC327" i="43"/>
  <c r="AE327" i="43"/>
  <c r="AE334" i="43"/>
  <c r="AD334" i="43"/>
  <c r="AC334" i="43"/>
  <c r="AE343" i="43"/>
  <c r="AD343" i="43"/>
  <c r="AC343" i="43"/>
  <c r="AD235" i="43"/>
  <c r="AD240" i="43"/>
  <c r="AD245" i="43"/>
  <c r="AD250" i="43"/>
  <c r="AD254" i="43"/>
  <c r="AD260" i="43"/>
  <c r="AD265" i="43"/>
  <c r="AD270" i="43"/>
  <c r="AD275" i="43"/>
  <c r="AE284" i="43"/>
  <c r="AD284" i="43"/>
  <c r="AC284" i="43"/>
  <c r="AE293" i="43"/>
  <c r="AD293" i="43"/>
  <c r="AC293" i="43"/>
  <c r="AD297" i="43"/>
  <c r="AC297" i="43"/>
  <c r="AE297" i="43"/>
  <c r="AE303" i="43"/>
  <c r="AD303" i="43"/>
  <c r="AC303" i="43"/>
  <c r="AE313" i="43"/>
  <c r="AD313" i="43"/>
  <c r="AC313" i="43"/>
  <c r="AE329" i="43"/>
  <c r="AD329" i="43"/>
  <c r="AC329" i="43"/>
  <c r="AD338" i="43"/>
  <c r="AC338" i="43"/>
  <c r="AE338" i="43"/>
  <c r="AC341" i="43"/>
  <c r="AE341" i="43"/>
  <c r="AD341" i="43"/>
  <c r="AE280" i="43"/>
  <c r="AC281" i="43"/>
  <c r="AE281" i="43"/>
  <c r="AD281" i="43"/>
  <c r="AD287" i="43"/>
  <c r="AC287" i="43"/>
  <c r="AE287" i="43"/>
  <c r="AC291" i="43"/>
  <c r="AE291" i="43"/>
  <c r="AD291" i="43"/>
  <c r="AE299" i="43"/>
  <c r="AD299" i="43"/>
  <c r="AC299" i="43"/>
  <c r="AD307" i="43"/>
  <c r="AC307" i="43"/>
  <c r="AE307" i="43"/>
  <c r="AC310" i="43"/>
  <c r="AE310" i="43"/>
  <c r="AD310" i="43"/>
  <c r="AD321" i="43"/>
  <c r="AC321" i="43"/>
  <c r="AE321" i="43"/>
  <c r="AC326" i="43"/>
  <c r="AE326" i="43"/>
  <c r="AD326" i="43"/>
  <c r="AE339" i="43"/>
  <c r="AD339" i="43"/>
  <c r="AC339" i="43"/>
  <c r="AC285" i="43"/>
  <c r="AD286" i="43"/>
  <c r="AC290" i="43"/>
  <c r="AC294" i="43"/>
  <c r="AC300" i="43"/>
  <c r="AD301" i="43"/>
  <c r="AC304" i="43"/>
  <c r="AD306" i="43"/>
  <c r="AC309" i="43"/>
  <c r="AC314" i="43"/>
  <c r="AD315" i="43"/>
  <c r="AC319" i="43"/>
  <c r="AD320" i="43"/>
  <c r="AC325" i="43"/>
  <c r="AC330" i="43"/>
  <c r="AD331" i="43"/>
  <c r="AC336" i="43"/>
  <c r="AC340" i="43"/>
  <c r="AC345" i="43"/>
  <c r="AD346" i="43"/>
  <c r="AC349" i="43"/>
  <c r="AE349" i="43"/>
  <c r="AD349" i="43"/>
  <c r="AE356" i="43"/>
  <c r="AD356" i="43"/>
  <c r="AC356" i="43"/>
  <c r="AE366" i="43"/>
  <c r="AD366" i="43"/>
  <c r="AC366" i="43"/>
  <c r="AE377" i="43"/>
  <c r="AD377" i="43"/>
  <c r="AC377" i="43"/>
  <c r="AE381" i="43"/>
  <c r="AD381" i="43"/>
  <c r="AC381" i="43"/>
  <c r="AD285" i="43"/>
  <c r="AE286" i="43"/>
  <c r="AD290" i="43"/>
  <c r="AD294" i="43"/>
  <c r="AD300" i="43"/>
  <c r="AD304" i="43"/>
  <c r="AE306" i="43"/>
  <c r="AD309" i="43"/>
  <c r="AD314" i="43"/>
  <c r="AD319" i="43"/>
  <c r="AD325" i="43"/>
  <c r="AD330" i="43"/>
  <c r="AD336" i="43"/>
  <c r="AD340" i="43"/>
  <c r="AD345" i="43"/>
  <c r="AC364" i="43"/>
  <c r="AE364" i="43"/>
  <c r="AD364" i="43"/>
  <c r="AC374" i="43"/>
  <c r="AE374" i="43"/>
  <c r="AD374" i="43"/>
  <c r="AC379" i="43"/>
  <c r="AE379" i="43"/>
  <c r="AD379" i="43"/>
  <c r="AE347" i="43"/>
  <c r="AD347" i="43"/>
  <c r="AC347" i="43"/>
  <c r="AC354" i="43"/>
  <c r="AE354" i="43"/>
  <c r="AD354" i="43"/>
  <c r="AE361" i="43"/>
  <c r="AD361" i="43"/>
  <c r="AC361" i="43"/>
  <c r="AE371" i="43"/>
  <c r="AD371" i="43"/>
  <c r="AC371" i="43"/>
  <c r="AE386" i="43"/>
  <c r="AD386" i="43"/>
  <c r="AC386" i="43"/>
  <c r="AE391" i="43"/>
  <c r="AD391" i="43"/>
  <c r="AC391" i="43"/>
  <c r="AE396" i="43"/>
  <c r="AD396" i="43"/>
  <c r="AC396" i="43"/>
  <c r="AE348" i="43"/>
  <c r="AD348" i="43"/>
  <c r="AC348" i="43"/>
  <c r="AE352" i="43"/>
  <c r="AD352" i="43"/>
  <c r="AC352" i="43"/>
  <c r="AD355" i="43"/>
  <c r="AC355" i="43"/>
  <c r="AE355" i="43"/>
  <c r="AC359" i="43"/>
  <c r="AE359" i="43"/>
  <c r="AD359" i="43"/>
  <c r="AC368" i="43"/>
  <c r="AE368" i="43"/>
  <c r="AD368" i="43"/>
  <c r="AC384" i="43"/>
  <c r="AE384" i="43"/>
  <c r="AD384" i="43"/>
  <c r="AC389" i="43"/>
  <c r="AE389" i="43"/>
  <c r="AD389" i="43"/>
  <c r="AC394" i="43"/>
  <c r="AE394" i="43"/>
  <c r="AD394" i="43"/>
  <c r="AE351" i="43"/>
  <c r="AC353" i="43"/>
  <c r="AC358" i="43"/>
  <c r="AE360" i="43"/>
  <c r="AC363" i="43"/>
  <c r="AE365" i="43"/>
  <c r="AC367" i="43"/>
  <c r="AE370" i="43"/>
  <c r="AC372" i="43"/>
  <c r="AE376" i="43"/>
  <c r="AE380" i="43"/>
  <c r="AC383" i="43"/>
  <c r="AE385" i="43"/>
  <c r="AE390" i="43"/>
  <c r="AE395" i="43"/>
  <c r="AC398" i="43"/>
  <c r="AE398" i="43"/>
  <c r="AE402" i="43"/>
  <c r="AD402" i="43"/>
  <c r="AC413" i="43"/>
  <c r="AE413" i="43"/>
  <c r="AE417" i="43"/>
  <c r="AD417" i="43"/>
  <c r="AE420" i="43"/>
  <c r="AD420" i="43"/>
  <c r="AC420" i="43"/>
  <c r="AD424" i="43"/>
  <c r="AC424" i="43"/>
  <c r="AC427" i="43"/>
  <c r="AE427" i="43"/>
  <c r="AC436" i="43"/>
  <c r="AE436" i="43"/>
  <c r="AD447" i="43"/>
  <c r="AC447" i="43"/>
  <c r="AC450" i="43"/>
  <c r="AE450" i="43"/>
  <c r="AC460" i="43"/>
  <c r="AE460" i="43"/>
  <c r="AD353" i="43"/>
  <c r="AD358" i="43"/>
  <c r="AD363" i="43"/>
  <c r="AD367" i="43"/>
  <c r="AD372" i="43"/>
  <c r="AD378" i="43"/>
  <c r="AD383" i="43"/>
  <c r="AD387" i="43"/>
  <c r="AD393" i="43"/>
  <c r="AE397" i="43"/>
  <c r="AD397" i="43"/>
  <c r="AD409" i="43"/>
  <c r="AC409" i="43"/>
  <c r="AE412" i="43"/>
  <c r="AD412" i="43"/>
  <c r="AC422" i="43"/>
  <c r="AE422" i="43"/>
  <c r="AE429" i="43"/>
  <c r="AD429" i="43"/>
  <c r="AC429" i="43"/>
  <c r="AD433" i="43"/>
  <c r="AC433" i="43"/>
  <c r="AE435" i="43"/>
  <c r="AD435" i="43"/>
  <c r="AE439" i="43"/>
  <c r="AD439" i="43"/>
  <c r="AC439" i="43"/>
  <c r="AD442" i="43"/>
  <c r="AC442" i="43"/>
  <c r="AC446" i="43"/>
  <c r="AE446" i="43"/>
  <c r="AE453" i="43"/>
  <c r="AD453" i="43"/>
  <c r="AC453" i="43"/>
  <c r="AD456" i="43"/>
  <c r="AC456" i="43"/>
  <c r="AE459" i="43"/>
  <c r="AD459" i="43"/>
  <c r="AC351" i="43"/>
  <c r="AC360" i="43"/>
  <c r="AC365" i="43"/>
  <c r="AC370" i="43"/>
  <c r="AC376" i="43"/>
  <c r="AC380" i="43"/>
  <c r="AC385" i="43"/>
  <c r="AC390" i="43"/>
  <c r="AC395" i="43"/>
  <c r="AD398" i="43"/>
  <c r="AC402" i="43"/>
  <c r="AD404" i="43"/>
  <c r="AC404" i="43"/>
  <c r="AC408" i="43"/>
  <c r="AE408" i="43"/>
  <c r="AD413" i="43"/>
  <c r="AC417" i="43"/>
  <c r="AD419" i="43"/>
  <c r="AC419" i="43"/>
  <c r="AE421" i="43"/>
  <c r="AD421" i="43"/>
  <c r="AE424" i="43"/>
  <c r="AE425" i="43"/>
  <c r="AD425" i="43"/>
  <c r="AC425" i="43"/>
  <c r="AD427" i="43"/>
  <c r="AC432" i="43"/>
  <c r="AE432" i="43"/>
  <c r="AD436" i="43"/>
  <c r="AC441" i="43"/>
  <c r="AE441" i="43"/>
  <c r="AE447" i="43"/>
  <c r="AE448" i="43"/>
  <c r="AD448" i="43"/>
  <c r="AC448" i="43"/>
  <c r="AD450" i="43"/>
  <c r="AC455" i="43"/>
  <c r="AE455" i="43"/>
  <c r="AD460" i="43"/>
  <c r="AD400" i="43"/>
  <c r="AC400" i="43"/>
  <c r="AC403" i="43"/>
  <c r="AE403" i="43"/>
  <c r="AE407" i="43"/>
  <c r="AD407" i="43"/>
  <c r="AE409" i="43"/>
  <c r="AE411" i="43"/>
  <c r="AD411" i="43"/>
  <c r="AC411" i="43"/>
  <c r="AD414" i="43"/>
  <c r="AC414" i="43"/>
  <c r="AC418" i="43"/>
  <c r="AE418" i="43"/>
  <c r="AD422" i="43"/>
  <c r="AD428" i="43"/>
  <c r="AC428" i="43"/>
  <c r="AE431" i="43"/>
  <c r="AD431" i="43"/>
  <c r="AE433" i="43"/>
  <c r="AE434" i="43"/>
  <c r="AD434" i="43"/>
  <c r="AC434" i="43"/>
  <c r="AC435" i="43"/>
  <c r="AD438" i="43"/>
  <c r="AC438" i="43"/>
  <c r="AE440" i="43"/>
  <c r="AD440" i="43"/>
  <c r="AE442" i="43"/>
  <c r="AE443" i="43"/>
  <c r="AD443" i="43"/>
  <c r="AC443" i="43"/>
  <c r="AD446" i="43"/>
  <c r="AD452" i="43"/>
  <c r="AC452" i="43"/>
  <c r="AE454" i="43"/>
  <c r="AD454" i="43"/>
  <c r="AE456" i="43"/>
  <c r="AE457" i="43"/>
  <c r="AD457" i="43"/>
  <c r="AC457" i="43"/>
  <c r="AC459" i="43"/>
  <c r="AD462" i="43"/>
  <c r="AC462" i="43"/>
  <c r="AC401" i="43"/>
  <c r="AC405" i="43"/>
  <c r="AC415" i="43"/>
  <c r="AD426" i="43"/>
  <c r="AD445" i="43"/>
  <c r="AD449" i="43"/>
  <c r="AC463" i="43"/>
  <c r="AD464" i="43"/>
  <c r="AD401" i="43"/>
  <c r="AD405" i="43"/>
  <c r="AD415" i="43"/>
  <c r="AD463" i="43"/>
  <c r="AI184" i="43" l="1"/>
  <c r="AI116" i="44"/>
  <c r="AI301" i="43"/>
  <c r="AI136" i="43"/>
  <c r="AI426" i="43"/>
  <c r="AI165" i="43"/>
  <c r="AI315" i="43"/>
  <c r="AI21" i="44"/>
  <c r="AI120" i="44"/>
  <c r="AI128" i="44"/>
  <c r="AI26" i="44"/>
  <c r="AI66" i="44"/>
  <c r="AI16" i="44"/>
  <c r="AI36" i="44"/>
  <c r="AI52" i="44"/>
  <c r="AI155" i="43"/>
  <c r="AI445" i="43"/>
  <c r="AI370" i="43"/>
  <c r="AI89" i="44"/>
  <c r="AI97" i="44"/>
  <c r="AI25" i="44"/>
  <c r="AI114" i="44"/>
  <c r="AI119" i="44"/>
  <c r="AI73" i="44"/>
  <c r="AI76" i="44"/>
  <c r="AI69" i="44"/>
  <c r="AI54" i="44"/>
  <c r="AI122" i="44"/>
  <c r="AI111" i="43"/>
  <c r="AI191" i="43"/>
  <c r="AI452" i="43"/>
  <c r="AI428" i="43"/>
  <c r="AI407" i="43"/>
  <c r="AI412" i="43"/>
  <c r="AI464" i="43"/>
  <c r="AI127" i="43"/>
  <c r="AI40" i="44"/>
  <c r="AI27" i="44"/>
  <c r="AI125" i="44"/>
  <c r="AI100" i="44"/>
  <c r="AI126" i="44"/>
  <c r="AI60" i="44"/>
  <c r="AI38" i="44"/>
  <c r="AI17" i="44"/>
  <c r="AI99" i="44"/>
  <c r="AI94" i="44"/>
  <c r="AI50" i="44"/>
  <c r="AI15" i="44"/>
  <c r="AI110" i="44"/>
  <c r="AI34" i="44"/>
  <c r="AI14" i="44"/>
  <c r="AI351" i="43"/>
  <c r="AI65" i="44"/>
  <c r="AI320" i="43"/>
  <c r="AI112" i="43"/>
  <c r="AI385" i="43"/>
  <c r="AI346" i="43"/>
  <c r="AI210" i="43"/>
  <c r="AI177" i="43"/>
  <c r="AI167" i="43"/>
  <c r="AI158" i="43"/>
  <c r="AI148" i="43"/>
  <c r="AI193" i="43"/>
  <c r="AI108" i="43"/>
  <c r="AI97" i="43"/>
  <c r="AI100" i="43"/>
  <c r="AI338" i="43"/>
  <c r="AI179" i="43"/>
  <c r="AI170" i="43"/>
  <c r="AI160" i="43"/>
  <c r="AI150" i="43"/>
  <c r="AI72" i="43"/>
  <c r="AI50" i="43"/>
  <c r="AI77" i="43"/>
  <c r="AI56" i="43"/>
  <c r="AI33" i="43"/>
  <c r="AI186" i="43"/>
  <c r="AI226" i="43"/>
  <c r="AI378" i="43"/>
  <c r="AI135" i="43"/>
  <c r="AI115" i="43"/>
  <c r="AI201" i="43"/>
  <c r="AI31" i="44"/>
  <c r="AI80" i="44"/>
  <c r="AI67" i="44"/>
  <c r="AI45" i="44"/>
  <c r="AI20" i="44"/>
  <c r="AI30" i="44"/>
  <c r="AI104" i="44"/>
  <c r="AI129" i="44"/>
  <c r="AI118" i="44"/>
  <c r="AI79" i="44"/>
  <c r="AI75" i="44"/>
  <c r="AI71" i="44"/>
  <c r="AI87" i="44"/>
  <c r="AI98" i="44"/>
  <c r="AI78" i="44"/>
  <c r="AI59" i="44"/>
  <c r="AI92" i="44"/>
  <c r="AI43" i="44"/>
  <c r="AI29" i="44"/>
  <c r="AI33" i="44"/>
  <c r="AI24" i="44"/>
  <c r="AI58" i="44"/>
  <c r="AI55" i="44"/>
  <c r="AI44" i="44"/>
  <c r="AI90" i="44"/>
  <c r="AI61" i="44"/>
  <c r="AI112" i="44"/>
  <c r="AI111" i="44"/>
  <c r="AI117" i="44"/>
  <c r="AI62" i="44"/>
  <c r="AI41" i="44"/>
  <c r="AI121" i="44"/>
  <c r="AI86" i="44"/>
  <c r="AI106" i="44"/>
  <c r="AI93" i="44"/>
  <c r="AI85" i="44"/>
  <c r="AI57" i="44"/>
  <c r="AI123" i="44"/>
  <c r="AI88" i="44"/>
  <c r="AI108" i="44"/>
  <c r="AI81" i="44"/>
  <c r="AI74" i="44"/>
  <c r="AI51" i="44"/>
  <c r="AI18" i="44"/>
  <c r="AI32" i="44"/>
  <c r="AI109" i="44"/>
  <c r="AI64" i="44"/>
  <c r="AI102" i="44"/>
  <c r="AI83" i="44"/>
  <c r="AI103" i="44"/>
  <c r="AI82" i="44"/>
  <c r="AI127" i="44"/>
  <c r="AI68" i="44"/>
  <c r="AI96" i="44"/>
  <c r="AI72" i="44"/>
  <c r="AI53" i="44"/>
  <c r="AI46" i="44"/>
  <c r="AI39" i="44"/>
  <c r="AI23" i="44"/>
  <c r="AI48" i="44"/>
  <c r="AI47" i="44"/>
  <c r="AI37" i="44"/>
  <c r="AI22" i="44"/>
  <c r="AI449" i="43"/>
  <c r="AI393" i="43"/>
  <c r="AI286" i="43"/>
  <c r="AI205" i="43"/>
  <c r="AI211" i="43"/>
  <c r="AI104" i="43"/>
  <c r="AI91" i="43"/>
  <c r="AI69" i="43"/>
  <c r="AI47" i="43"/>
  <c r="AI25" i="43"/>
  <c r="AI253" i="43"/>
  <c r="AI138" i="43"/>
  <c r="AI371" i="43"/>
  <c r="AI182" i="43"/>
  <c r="AI172" i="43"/>
  <c r="AI163" i="43"/>
  <c r="AI153" i="43"/>
  <c r="AI267" i="43"/>
  <c r="AI93" i="43"/>
  <c r="AI76" i="43"/>
  <c r="AI54" i="43"/>
  <c r="AI32" i="43"/>
  <c r="AI81" i="43"/>
  <c r="AI60" i="43"/>
  <c r="AI37" i="43"/>
  <c r="AI16" i="43"/>
  <c r="AI331" i="43"/>
  <c r="AI387" i="43"/>
  <c r="AI196" i="43"/>
  <c r="AI431" i="43"/>
  <c r="AI352" i="43"/>
  <c r="AI319" i="43"/>
  <c r="AI263" i="43"/>
  <c r="AI215" i="43"/>
  <c r="AI130" i="43"/>
  <c r="AI110" i="43"/>
  <c r="AI99" i="43"/>
  <c r="AI101" i="43"/>
  <c r="AI238" i="43"/>
  <c r="AI443" i="43"/>
  <c r="AI440" i="43"/>
  <c r="AI403" i="43"/>
  <c r="AI448" i="43"/>
  <c r="AI432" i="43"/>
  <c r="AI419" i="43"/>
  <c r="AI402" i="43"/>
  <c r="AI365" i="43"/>
  <c r="AI453" i="43"/>
  <c r="AI446" i="43"/>
  <c r="AI439" i="43"/>
  <c r="AI429" i="43"/>
  <c r="AI422" i="43"/>
  <c r="AI450" i="43"/>
  <c r="AI436" i="43"/>
  <c r="AI367" i="43"/>
  <c r="AI358" i="43"/>
  <c r="AI364" i="43"/>
  <c r="AI377" i="43"/>
  <c r="AI336" i="43"/>
  <c r="AI300" i="43"/>
  <c r="AI285" i="43"/>
  <c r="AI307" i="43"/>
  <c r="AI343" i="43"/>
  <c r="AI302" i="43"/>
  <c r="AI295" i="43"/>
  <c r="AI245" i="43"/>
  <c r="AI235" i="43"/>
  <c r="AI278" i="43"/>
  <c r="AI257" i="43"/>
  <c r="AI233" i="43"/>
  <c r="AI229" i="43"/>
  <c r="AI216" i="43"/>
  <c r="AI277" i="43"/>
  <c r="AI134" i="43"/>
  <c r="AI246" i="43"/>
  <c r="AI129" i="43"/>
  <c r="AI118" i="43"/>
  <c r="AI85" i="43"/>
  <c r="AI64" i="43"/>
  <c r="AI222" i="43"/>
  <c r="AI214" i="43"/>
  <c r="AI62" i="43"/>
  <c r="AI19" i="43"/>
  <c r="AI117" i="43"/>
  <c r="AI360" i="43"/>
  <c r="AI447" i="43"/>
  <c r="AI420" i="43"/>
  <c r="AI381" i="43"/>
  <c r="AI306" i="43"/>
  <c r="AI339" i="43"/>
  <c r="AI293" i="43"/>
  <c r="AI318" i="43"/>
  <c r="AI268" i="43"/>
  <c r="AI254" i="43"/>
  <c r="AI308" i="43"/>
  <c r="AI289" i="43"/>
  <c r="AI273" i="43"/>
  <c r="AI252" i="43"/>
  <c r="AI224" i="43"/>
  <c r="AI199" i="43"/>
  <c r="AI126" i="43"/>
  <c r="AI58" i="43"/>
  <c r="AI78" i="43"/>
  <c r="AI34" i="43"/>
  <c r="AI106" i="43"/>
  <c r="AI131" i="43"/>
  <c r="AI137" i="43"/>
  <c r="AI411" i="43"/>
  <c r="AI454" i="43"/>
  <c r="AI421" i="43"/>
  <c r="AI397" i="43"/>
  <c r="AI348" i="43"/>
  <c r="AI396" i="43"/>
  <c r="AI361" i="43"/>
  <c r="AI242" i="43"/>
  <c r="AI220" i="43"/>
  <c r="AI227" i="43"/>
  <c r="AI189" i="43"/>
  <c r="AI121" i="43"/>
  <c r="AI247" i="43"/>
  <c r="AI221" i="43"/>
  <c r="AI30" i="43"/>
  <c r="AI195" i="43"/>
  <c r="AI95" i="43"/>
  <c r="AI405" i="43"/>
  <c r="AI309" i="43"/>
  <c r="AI284" i="43"/>
  <c r="AI401" i="43"/>
  <c r="AI435" i="43"/>
  <c r="AI418" i="43"/>
  <c r="AI408" i="43"/>
  <c r="AI353" i="43"/>
  <c r="AI311" i="43"/>
  <c r="AI333" i="43"/>
  <c r="AI248" i="43"/>
  <c r="AI190" i="43"/>
  <c r="AI176" i="43"/>
  <c r="AI161" i="43"/>
  <c r="AI147" i="43"/>
  <c r="AI140" i="43"/>
  <c r="AI41" i="43"/>
  <c r="AI124" i="43"/>
  <c r="AI279" i="43"/>
  <c r="AI89" i="43"/>
  <c r="AI45" i="43"/>
  <c r="AI73" i="43"/>
  <c r="AI29" i="43"/>
  <c r="AI28" i="43"/>
  <c r="AI107" i="43"/>
  <c r="AI96" i="43"/>
  <c r="AI409" i="43"/>
  <c r="AI270" i="43"/>
  <c r="AI459" i="43"/>
  <c r="AI441" i="43"/>
  <c r="AI380" i="43"/>
  <c r="AI359" i="43"/>
  <c r="AI354" i="43"/>
  <c r="AI379" i="43"/>
  <c r="AI374" i="43"/>
  <c r="AI294" i="43"/>
  <c r="AI321" i="43"/>
  <c r="AI287" i="43"/>
  <c r="AI281" i="43"/>
  <c r="AI198" i="43"/>
  <c r="AI181" i="43"/>
  <c r="AI166" i="43"/>
  <c r="AI156" i="43"/>
  <c r="AI203" i="43"/>
  <c r="AI457" i="43"/>
  <c r="AI434" i="43"/>
  <c r="AI400" i="43"/>
  <c r="AI455" i="43"/>
  <c r="AI425" i="43"/>
  <c r="AI417" i="43"/>
  <c r="AI404" i="43"/>
  <c r="AI395" i="43"/>
  <c r="AI376" i="43"/>
  <c r="AI456" i="43"/>
  <c r="AI442" i="43"/>
  <c r="AI433" i="43"/>
  <c r="AI460" i="43"/>
  <c r="AI427" i="43"/>
  <c r="AI372" i="43"/>
  <c r="AI363" i="43"/>
  <c r="AI368" i="43"/>
  <c r="AI386" i="43"/>
  <c r="AI347" i="43"/>
  <c r="AI356" i="43"/>
  <c r="AI345" i="43"/>
  <c r="AI330" i="43"/>
  <c r="AI304" i="43"/>
  <c r="AI290" i="43"/>
  <c r="AI310" i="43"/>
  <c r="AI299" i="43"/>
  <c r="AI341" i="43"/>
  <c r="AI329" i="43"/>
  <c r="AI313" i="43"/>
  <c r="AI303" i="43"/>
  <c r="AI297" i="43"/>
  <c r="AI292" i="43"/>
  <c r="AI275" i="43"/>
  <c r="AI265" i="43"/>
  <c r="AI240" i="43"/>
  <c r="AI271" i="43"/>
  <c r="AI255" i="43"/>
  <c r="AI218" i="43"/>
  <c r="AI192" i="43"/>
  <c r="AI264" i="43"/>
  <c r="AI259" i="43"/>
  <c r="AI212" i="43"/>
  <c r="AI204" i="43"/>
  <c r="AI244" i="43"/>
  <c r="AI217" i="43"/>
  <c r="AI209" i="43"/>
  <c r="AI183" i="43"/>
  <c r="AI178" i="43"/>
  <c r="AI173" i="43"/>
  <c r="AI169" i="43"/>
  <c r="AI164" i="43"/>
  <c r="AI159" i="43"/>
  <c r="AI154" i="43"/>
  <c r="AI149" i="43"/>
  <c r="AI207" i="43"/>
  <c r="AI144" i="43"/>
  <c r="AI142" i="43"/>
  <c r="AI80" i="43"/>
  <c r="AI36" i="43"/>
  <c r="AI15" i="43"/>
  <c r="AI236" i="43"/>
  <c r="AI141" i="43"/>
  <c r="AI123" i="43"/>
  <c r="AI57" i="43"/>
  <c r="AI14" i="43"/>
  <c r="AI84" i="43"/>
  <c r="AI40" i="43"/>
  <c r="AI87" i="43"/>
  <c r="AI83" i="43"/>
  <c r="AI65" i="43"/>
  <c r="AI43" i="43"/>
  <c r="AI38" i="43"/>
  <c r="AI21" i="43"/>
  <c r="AI92" i="43"/>
  <c r="AI88" i="43"/>
  <c r="AI71" i="43"/>
  <c r="AI66" i="43"/>
  <c r="AI48" i="43"/>
  <c r="AI44" i="43"/>
  <c r="AI26" i="43"/>
  <c r="AI23" i="43"/>
  <c r="AI282" i="43"/>
  <c r="AI234" i="43"/>
  <c r="AI185" i="43"/>
  <c r="AI171" i="43"/>
  <c r="AI152" i="43"/>
  <c r="AI20" i="43"/>
  <c r="AI463" i="43"/>
  <c r="AI415" i="43"/>
  <c r="AI462" i="43"/>
  <c r="AI438" i="43"/>
  <c r="AI414" i="43"/>
  <c r="AI390" i="43"/>
  <c r="AI424" i="43"/>
  <c r="AI413" i="43"/>
  <c r="AI398" i="43"/>
  <c r="AI383" i="43"/>
  <c r="AI394" i="43"/>
  <c r="AI389" i="43"/>
  <c r="AI384" i="43"/>
  <c r="AI355" i="43"/>
  <c r="AI391" i="43"/>
  <c r="AI366" i="43"/>
  <c r="AI349" i="43"/>
  <c r="AI340" i="43"/>
  <c r="AI325" i="43"/>
  <c r="AI314" i="43"/>
  <c r="AI326" i="43"/>
  <c r="AI291" i="43"/>
  <c r="AI334" i="43"/>
  <c r="AI327" i="43"/>
  <c r="AI280" i="43"/>
  <c r="AI260" i="43"/>
  <c r="AI250" i="43"/>
  <c r="AI342" i="43"/>
  <c r="AI337" i="43"/>
  <c r="AI323" i="43"/>
  <c r="AI317" i="43"/>
  <c r="AI239" i="43"/>
  <c r="AI208" i="43"/>
  <c r="AI274" i="43"/>
  <c r="AI241" i="43"/>
  <c r="AI230" i="43"/>
  <c r="AI223" i="43"/>
  <c r="AI197" i="43"/>
  <c r="AI261" i="43"/>
  <c r="AI251" i="43"/>
  <c r="AI232" i="43"/>
  <c r="AI228" i="43"/>
  <c r="AI202" i="43"/>
  <c r="AI114" i="43"/>
  <c r="AI103" i="43"/>
  <c r="AI143" i="43"/>
  <c r="AI122" i="43"/>
  <c r="AI74" i="43"/>
  <c r="AI53" i="43"/>
  <c r="AI119" i="43"/>
  <c r="AI188" i="43"/>
  <c r="AI269" i="43"/>
  <c r="AI133" i="43"/>
  <c r="AI128" i="43"/>
  <c r="AI68" i="43"/>
  <c r="AI24" i="43"/>
  <c r="AI51" i="43"/>
  <c r="AI61" i="43"/>
  <c r="AI17" i="43"/>
  <c r="AL465" i="43" l="1"/>
  <c r="AK465" i="43"/>
  <c r="AJ465" i="43"/>
  <c r="AG465" i="43"/>
  <c r="AF465" i="43"/>
  <c r="AA465" i="43"/>
  <c r="Z465" i="43"/>
  <c r="Y465" i="43"/>
  <c r="AL461" i="43"/>
  <c r="AK461" i="43"/>
  <c r="AJ461" i="43"/>
  <c r="AG461" i="43"/>
  <c r="AF461" i="43"/>
  <c r="AA461" i="43"/>
  <c r="Z461" i="43"/>
  <c r="Y461" i="43"/>
  <c r="AL458" i="43"/>
  <c r="AK458" i="43"/>
  <c r="AJ458" i="43"/>
  <c r="AG458" i="43"/>
  <c r="AF458" i="43"/>
  <c r="AA458" i="43"/>
  <c r="Z458" i="43"/>
  <c r="Y458" i="43"/>
  <c r="AL451" i="43"/>
  <c r="AK451" i="43"/>
  <c r="AJ451" i="43"/>
  <c r="AG451" i="43"/>
  <c r="AF451" i="43"/>
  <c r="AA451" i="43"/>
  <c r="Z451" i="43"/>
  <c r="Y451" i="43"/>
  <c r="AL444" i="43"/>
  <c r="AK444" i="43"/>
  <c r="AJ444" i="43"/>
  <c r="AG444" i="43"/>
  <c r="AF444" i="43"/>
  <c r="AA444" i="43"/>
  <c r="Z444" i="43"/>
  <c r="Y444" i="43"/>
  <c r="AL437" i="43"/>
  <c r="AK437" i="43"/>
  <c r="AJ437" i="43"/>
  <c r="AG437" i="43"/>
  <c r="AF437" i="43"/>
  <c r="AA437" i="43"/>
  <c r="Z437" i="43"/>
  <c r="Y437" i="43"/>
  <c r="AL430" i="43"/>
  <c r="AK430" i="43"/>
  <c r="AJ430" i="43"/>
  <c r="AG430" i="43"/>
  <c r="AF430" i="43"/>
  <c r="AA430" i="43"/>
  <c r="Z430" i="43"/>
  <c r="Y430" i="43"/>
  <c r="AL423" i="43"/>
  <c r="AK423" i="43"/>
  <c r="AJ423" i="43"/>
  <c r="AG423" i="43"/>
  <c r="AF423" i="43"/>
  <c r="AA423" i="43"/>
  <c r="Z423" i="43"/>
  <c r="Y423" i="43"/>
  <c r="AL416" i="43"/>
  <c r="AK416" i="43"/>
  <c r="AJ416" i="43"/>
  <c r="AG416" i="43"/>
  <c r="AF416" i="43"/>
  <c r="AA416" i="43"/>
  <c r="Z416" i="43"/>
  <c r="Y416" i="43"/>
  <c r="AL410" i="43"/>
  <c r="AK410" i="43"/>
  <c r="AJ410" i="43"/>
  <c r="AG410" i="43"/>
  <c r="AF410" i="43"/>
  <c r="AA410" i="43"/>
  <c r="Z410" i="43"/>
  <c r="Y410" i="43"/>
  <c r="AL406" i="43"/>
  <c r="AK406" i="43"/>
  <c r="AJ406" i="43"/>
  <c r="AG406" i="43"/>
  <c r="AF406" i="43"/>
  <c r="AA406" i="43"/>
  <c r="Z406" i="43"/>
  <c r="Y406" i="43"/>
  <c r="AL399" i="43"/>
  <c r="AK399" i="43"/>
  <c r="AJ399" i="43"/>
  <c r="AG399" i="43"/>
  <c r="AF399" i="43"/>
  <c r="AA399" i="43"/>
  <c r="Z399" i="43"/>
  <c r="Y399" i="43"/>
  <c r="AL392" i="43"/>
  <c r="AK392" i="43"/>
  <c r="AJ392" i="43"/>
  <c r="AG392" i="43"/>
  <c r="AF392" i="43"/>
  <c r="AA392" i="43"/>
  <c r="Z392" i="43"/>
  <c r="Y392" i="43"/>
  <c r="AL388" i="43"/>
  <c r="AK388" i="43"/>
  <c r="AJ388" i="43"/>
  <c r="AG388" i="43"/>
  <c r="AF388" i="43"/>
  <c r="AA388" i="43"/>
  <c r="Z388" i="43"/>
  <c r="Y388" i="43"/>
  <c r="AL382" i="43"/>
  <c r="AK382" i="43"/>
  <c r="AJ382" i="43"/>
  <c r="AG382" i="43"/>
  <c r="AF382" i="43"/>
  <c r="AA382" i="43"/>
  <c r="Z382" i="43"/>
  <c r="Y382" i="43"/>
  <c r="AL375" i="43"/>
  <c r="AK375" i="43"/>
  <c r="AJ375" i="43"/>
  <c r="AG375" i="43"/>
  <c r="AF375" i="43"/>
  <c r="AA375" i="43"/>
  <c r="Z375" i="43"/>
  <c r="Y375" i="43"/>
  <c r="AL373" i="43"/>
  <c r="AK373" i="43"/>
  <c r="AJ373" i="43"/>
  <c r="AG373" i="43"/>
  <c r="AF373" i="43"/>
  <c r="AA373" i="43"/>
  <c r="Z373" i="43"/>
  <c r="Y373" i="43"/>
  <c r="AL369" i="43"/>
  <c r="AK369" i="43"/>
  <c r="AJ369" i="43"/>
  <c r="AG369" i="43"/>
  <c r="AF369" i="43"/>
  <c r="AA369" i="43"/>
  <c r="Z369" i="43"/>
  <c r="Y369" i="43"/>
  <c r="AL362" i="43"/>
  <c r="AK362" i="43"/>
  <c r="AJ362" i="43"/>
  <c r="AG362" i="43"/>
  <c r="AF362" i="43"/>
  <c r="AA362" i="43"/>
  <c r="Z362" i="43"/>
  <c r="Y362" i="43"/>
  <c r="AL357" i="43"/>
  <c r="AK357" i="43"/>
  <c r="AJ357" i="43"/>
  <c r="AG357" i="43"/>
  <c r="AF357" i="43"/>
  <c r="AA357" i="43"/>
  <c r="Z357" i="43"/>
  <c r="Y357" i="43"/>
  <c r="AL350" i="43"/>
  <c r="AK350" i="43"/>
  <c r="AJ350" i="43"/>
  <c r="AG350" i="43"/>
  <c r="AF350" i="43"/>
  <c r="AA350" i="43"/>
  <c r="Z350" i="43"/>
  <c r="Y350" i="43"/>
  <c r="AL344" i="43"/>
  <c r="AK344" i="43"/>
  <c r="AJ344" i="43"/>
  <c r="AG344" i="43"/>
  <c r="AF344" i="43"/>
  <c r="AA344" i="43"/>
  <c r="Z344" i="43"/>
  <c r="Y344" i="43"/>
  <c r="AL335" i="43"/>
  <c r="AK335" i="43"/>
  <c r="AJ335" i="43"/>
  <c r="AG335" i="43"/>
  <c r="AF335" i="43"/>
  <c r="AA335" i="43"/>
  <c r="Z335" i="43"/>
  <c r="Y335" i="43"/>
  <c r="AL332" i="43"/>
  <c r="AK332" i="43"/>
  <c r="AJ332" i="43"/>
  <c r="AG332" i="43"/>
  <c r="AF332" i="43"/>
  <c r="AA332" i="43"/>
  <c r="Z332" i="43"/>
  <c r="Y332" i="43"/>
  <c r="AL328" i="43"/>
  <c r="AK328" i="43"/>
  <c r="AJ328" i="43"/>
  <c r="AG328" i="43"/>
  <c r="AF328" i="43"/>
  <c r="AA328" i="43"/>
  <c r="Z328" i="43"/>
  <c r="Y328" i="43"/>
  <c r="AL324" i="43"/>
  <c r="AK324" i="43"/>
  <c r="AJ324" i="43"/>
  <c r="AG324" i="43"/>
  <c r="AF324" i="43"/>
  <c r="AA324" i="43"/>
  <c r="Z324" i="43"/>
  <c r="Y324" i="43"/>
  <c r="AL322" i="43"/>
  <c r="AK322" i="43"/>
  <c r="AJ322" i="43"/>
  <c r="AG322" i="43"/>
  <c r="AF322" i="43"/>
  <c r="AA322" i="43"/>
  <c r="Z322" i="43"/>
  <c r="Y322" i="43"/>
  <c r="AL316" i="43"/>
  <c r="AK316" i="43"/>
  <c r="AJ316" i="43"/>
  <c r="AG316" i="43"/>
  <c r="AF316" i="43"/>
  <c r="AA316" i="43"/>
  <c r="Z316" i="43"/>
  <c r="Y316" i="43"/>
  <c r="AL312" i="43"/>
  <c r="AK312" i="43"/>
  <c r="AJ312" i="43"/>
  <c r="AG312" i="43"/>
  <c r="AF312" i="43"/>
  <c r="AA312" i="43"/>
  <c r="Z312" i="43"/>
  <c r="Y312" i="43"/>
  <c r="AL305" i="43"/>
  <c r="AK305" i="43"/>
  <c r="AJ305" i="43"/>
  <c r="AG305" i="43"/>
  <c r="AF305" i="43"/>
  <c r="AA305" i="43"/>
  <c r="Z305" i="43"/>
  <c r="Y305" i="43"/>
  <c r="AL298" i="43"/>
  <c r="AK298" i="43"/>
  <c r="AJ298" i="43"/>
  <c r="AG298" i="43"/>
  <c r="AF298" i="43"/>
  <c r="AA298" i="43"/>
  <c r="Z298" i="43"/>
  <c r="Y298" i="43"/>
  <c r="AL296" i="43"/>
  <c r="AK296" i="43"/>
  <c r="AJ296" i="43"/>
  <c r="AG296" i="43"/>
  <c r="AF296" i="43"/>
  <c r="AA296" i="43"/>
  <c r="Z296" i="43"/>
  <c r="Y296" i="43"/>
  <c r="AL288" i="43"/>
  <c r="AK288" i="43"/>
  <c r="AJ288" i="43"/>
  <c r="AG288" i="43"/>
  <c r="AF288" i="43"/>
  <c r="AA288" i="43"/>
  <c r="Z288" i="43"/>
  <c r="Y288" i="43"/>
  <c r="AL283" i="43"/>
  <c r="AK283" i="43"/>
  <c r="AJ283" i="43"/>
  <c r="AG283" i="43"/>
  <c r="AF283" i="43"/>
  <c r="AA283" i="43"/>
  <c r="Z283" i="43"/>
  <c r="Y283" i="43"/>
  <c r="AL276" i="43"/>
  <c r="AK276" i="43"/>
  <c r="AJ276" i="43"/>
  <c r="AG276" i="43"/>
  <c r="AF276" i="43"/>
  <c r="AA276" i="43"/>
  <c r="Z276" i="43"/>
  <c r="Y276" i="43"/>
  <c r="AL272" i="43"/>
  <c r="AK272" i="43"/>
  <c r="AJ272" i="43"/>
  <c r="AG272" i="43"/>
  <c r="AF272" i="43"/>
  <c r="AA272" i="43"/>
  <c r="Z272" i="43"/>
  <c r="Y272" i="43"/>
  <c r="AL266" i="43"/>
  <c r="AK266" i="43"/>
  <c r="AJ266" i="43"/>
  <c r="AG266" i="43"/>
  <c r="AF266" i="43"/>
  <c r="AA266" i="43"/>
  <c r="Z266" i="43"/>
  <c r="Y266" i="43"/>
  <c r="AL262" i="43"/>
  <c r="AK262" i="43"/>
  <c r="AJ262" i="43"/>
  <c r="AG262" i="43"/>
  <c r="AF262" i="43"/>
  <c r="AA262" i="43"/>
  <c r="Z262" i="43"/>
  <c r="Y262" i="43"/>
  <c r="AL258" i="43"/>
  <c r="AK258" i="43"/>
  <c r="AJ258" i="43"/>
  <c r="AG258" i="43"/>
  <c r="AF258" i="43"/>
  <c r="AA258" i="43"/>
  <c r="Z258" i="43"/>
  <c r="Y258" i="43"/>
  <c r="AL256" i="43"/>
  <c r="AK256" i="43"/>
  <c r="AJ256" i="43"/>
  <c r="AG256" i="43"/>
  <c r="AF256" i="43"/>
  <c r="AA256" i="43"/>
  <c r="Z256" i="43"/>
  <c r="Y256" i="43"/>
  <c r="AL249" i="43"/>
  <c r="AK249" i="43"/>
  <c r="AJ249" i="43"/>
  <c r="AG249" i="43"/>
  <c r="AF249" i="43"/>
  <c r="AA249" i="43"/>
  <c r="Z249" i="43"/>
  <c r="Y249" i="43"/>
  <c r="AL243" i="43"/>
  <c r="AK243" i="43"/>
  <c r="AJ243" i="43"/>
  <c r="AG243" i="43"/>
  <c r="AF243" i="43"/>
  <c r="AA243" i="43"/>
  <c r="Z243" i="43"/>
  <c r="Y243" i="43"/>
  <c r="AL237" i="43"/>
  <c r="AK237" i="43"/>
  <c r="AJ237" i="43"/>
  <c r="AG237" i="43"/>
  <c r="AF237" i="43"/>
  <c r="AA237" i="43"/>
  <c r="Z237" i="43"/>
  <c r="Y237" i="43"/>
  <c r="AL231" i="43"/>
  <c r="AK231" i="43"/>
  <c r="AJ231" i="43"/>
  <c r="AG231" i="43"/>
  <c r="AF231" i="43"/>
  <c r="AA231" i="43"/>
  <c r="Z231" i="43"/>
  <c r="Y231" i="43"/>
  <c r="AL225" i="43"/>
  <c r="AK225" i="43"/>
  <c r="AJ225" i="43"/>
  <c r="AG225" i="43"/>
  <c r="AF225" i="43"/>
  <c r="AA225" i="43"/>
  <c r="Z225" i="43"/>
  <c r="Y225" i="43"/>
  <c r="AL219" i="43"/>
  <c r="AK219" i="43"/>
  <c r="AJ219" i="43"/>
  <c r="AG219" i="43"/>
  <c r="AF219" i="43"/>
  <c r="AA219" i="43"/>
  <c r="Z219" i="43"/>
  <c r="Y219" i="43"/>
  <c r="AL213" i="43"/>
  <c r="AK213" i="43"/>
  <c r="AJ213" i="43"/>
  <c r="AG213" i="43"/>
  <c r="AF213" i="43"/>
  <c r="AA213" i="43"/>
  <c r="Z213" i="43"/>
  <c r="Y213" i="43"/>
  <c r="AL206" i="43"/>
  <c r="AK206" i="43"/>
  <c r="AJ206" i="43"/>
  <c r="AG206" i="43"/>
  <c r="AF206" i="43"/>
  <c r="AA206" i="43"/>
  <c r="Z206" i="43"/>
  <c r="Y206" i="43"/>
  <c r="AL200" i="43"/>
  <c r="AK200" i="43"/>
  <c r="AJ200" i="43"/>
  <c r="AG200" i="43"/>
  <c r="AF200" i="43"/>
  <c r="AA200" i="43"/>
  <c r="Z200" i="43"/>
  <c r="Y200" i="43"/>
  <c r="AL194" i="43"/>
  <c r="AK194" i="43"/>
  <c r="AJ194" i="43"/>
  <c r="AG194" i="43"/>
  <c r="AF194" i="43"/>
  <c r="AA194" i="43"/>
  <c r="Z194" i="43"/>
  <c r="Y194" i="43"/>
  <c r="AL187" i="43"/>
  <c r="AK187" i="43"/>
  <c r="AJ187" i="43"/>
  <c r="AG187" i="43"/>
  <c r="AF187" i="43"/>
  <c r="AA187" i="43"/>
  <c r="Z187" i="43"/>
  <c r="Y187" i="43"/>
  <c r="AL180" i="43"/>
  <c r="AK180" i="43"/>
  <c r="AJ180" i="43"/>
  <c r="AG180" i="43"/>
  <c r="AF180" i="43"/>
  <c r="AA180" i="43"/>
  <c r="Z180" i="43"/>
  <c r="Y180" i="43"/>
  <c r="AL174" i="43"/>
  <c r="AK174" i="43"/>
  <c r="AJ174" i="43"/>
  <c r="AG174" i="43"/>
  <c r="AF174" i="43"/>
  <c r="AA174" i="43"/>
  <c r="Z174" i="43"/>
  <c r="Y174" i="43"/>
  <c r="AL168" i="43"/>
  <c r="AK168" i="43"/>
  <c r="AJ168" i="43"/>
  <c r="AG168" i="43"/>
  <c r="AF168" i="43"/>
  <c r="AA168" i="43"/>
  <c r="Z168" i="43"/>
  <c r="Y168" i="43"/>
  <c r="AL162" i="43"/>
  <c r="AK162" i="43"/>
  <c r="AJ162" i="43"/>
  <c r="AG162" i="43"/>
  <c r="AF162" i="43"/>
  <c r="AA162" i="43"/>
  <c r="Z162" i="43"/>
  <c r="Y162" i="43"/>
  <c r="AL157" i="43"/>
  <c r="AK157" i="43"/>
  <c r="AJ157" i="43"/>
  <c r="AG157" i="43"/>
  <c r="AF157" i="43"/>
  <c r="AA157" i="43"/>
  <c r="Z157" i="43"/>
  <c r="Y157" i="43"/>
  <c r="AL151" i="43"/>
  <c r="AK151" i="43"/>
  <c r="AJ151" i="43"/>
  <c r="AG151" i="43"/>
  <c r="AF151" i="43"/>
  <c r="AA151" i="43"/>
  <c r="Z151" i="43"/>
  <c r="Y151" i="43"/>
  <c r="AL145" i="43"/>
  <c r="AK145" i="43"/>
  <c r="AJ145" i="43"/>
  <c r="AG145" i="43"/>
  <c r="AF145" i="43"/>
  <c r="AA145" i="43"/>
  <c r="Z145" i="43"/>
  <c r="Y145" i="43"/>
  <c r="AL139" i="43"/>
  <c r="AK139" i="43"/>
  <c r="AJ139" i="43"/>
  <c r="AG139" i="43"/>
  <c r="AF139" i="43"/>
  <c r="AA139" i="43"/>
  <c r="Z139" i="43"/>
  <c r="Y139" i="43"/>
  <c r="AL132" i="43"/>
  <c r="AK132" i="43"/>
  <c r="AJ132" i="43"/>
  <c r="AG132" i="43"/>
  <c r="AF132" i="43"/>
  <c r="AA132" i="43"/>
  <c r="Z132" i="43"/>
  <c r="Y132" i="43"/>
  <c r="AL125" i="43"/>
  <c r="AK125" i="43"/>
  <c r="AJ125" i="43"/>
  <c r="AG125" i="43"/>
  <c r="AF125" i="43"/>
  <c r="AA125" i="43"/>
  <c r="Z125" i="43"/>
  <c r="Y125" i="43"/>
  <c r="AL120" i="43"/>
  <c r="AK120" i="43"/>
  <c r="AJ120" i="43"/>
  <c r="AG120" i="43"/>
  <c r="AF120" i="43"/>
  <c r="AA120" i="43"/>
  <c r="Z120" i="43"/>
  <c r="Y120" i="43"/>
  <c r="AL116" i="43"/>
  <c r="AK116" i="43"/>
  <c r="AJ116" i="43"/>
  <c r="AG116" i="43"/>
  <c r="AF116" i="43"/>
  <c r="AA116" i="43"/>
  <c r="Z116" i="43"/>
  <c r="Y116" i="43"/>
  <c r="AL113" i="43"/>
  <c r="AK113" i="43"/>
  <c r="AJ113" i="43"/>
  <c r="AG113" i="43"/>
  <c r="AF113" i="43"/>
  <c r="AA113" i="43"/>
  <c r="Z113" i="43"/>
  <c r="Y113" i="43"/>
  <c r="AL109" i="43"/>
  <c r="AK109" i="43"/>
  <c r="AJ109" i="43"/>
  <c r="AG109" i="43"/>
  <c r="AF109" i="43"/>
  <c r="AA109" i="43"/>
  <c r="Z109" i="43"/>
  <c r="Y109" i="43"/>
  <c r="AL105" i="43"/>
  <c r="AK105" i="43"/>
  <c r="AJ105" i="43"/>
  <c r="AG105" i="43"/>
  <c r="AF105" i="43"/>
  <c r="AA105" i="43"/>
  <c r="Z105" i="43"/>
  <c r="Y105" i="43"/>
  <c r="AL102" i="43"/>
  <c r="AK102" i="43"/>
  <c r="AJ102" i="43"/>
  <c r="AG102" i="43"/>
  <c r="AF102" i="43"/>
  <c r="AA102" i="43"/>
  <c r="Z102" i="43"/>
  <c r="Y102" i="43"/>
  <c r="AL98" i="43"/>
  <c r="AK98" i="43"/>
  <c r="AJ98" i="43"/>
  <c r="AG98" i="43"/>
  <c r="AF98" i="43"/>
  <c r="AA98" i="43"/>
  <c r="Z98" i="43"/>
  <c r="Y98" i="43"/>
  <c r="AL94" i="43"/>
  <c r="AK94" i="43"/>
  <c r="AJ94" i="43"/>
  <c r="AG94" i="43"/>
  <c r="AF94" i="43"/>
  <c r="AA94" i="43"/>
  <c r="Z94" i="43"/>
  <c r="Y94" i="43"/>
  <c r="AL90" i="43"/>
  <c r="AK90" i="43"/>
  <c r="AJ90" i="43"/>
  <c r="AG90" i="43"/>
  <c r="AF90" i="43"/>
  <c r="AA90" i="43"/>
  <c r="Z90" i="43"/>
  <c r="Y90" i="43"/>
  <c r="AL86" i="43"/>
  <c r="AK86" i="43"/>
  <c r="AJ86" i="43"/>
  <c r="AG86" i="43"/>
  <c r="AF86" i="43"/>
  <c r="AA86" i="43"/>
  <c r="Z86" i="43"/>
  <c r="Y86" i="43"/>
  <c r="AL82" i="43"/>
  <c r="AK82" i="43"/>
  <c r="AJ82" i="43"/>
  <c r="AG82" i="43"/>
  <c r="AF82" i="43"/>
  <c r="AA82" i="43"/>
  <c r="Z82" i="43"/>
  <c r="Y82" i="43"/>
  <c r="AL79" i="43"/>
  <c r="AK79" i="43"/>
  <c r="AJ79" i="43"/>
  <c r="AG79" i="43"/>
  <c r="AF79" i="43"/>
  <c r="AA79" i="43"/>
  <c r="Z79" i="43"/>
  <c r="Y79" i="43"/>
  <c r="AL75" i="43"/>
  <c r="AK75" i="43"/>
  <c r="AJ75" i="43"/>
  <c r="AG75" i="43"/>
  <c r="AF75" i="43"/>
  <c r="AA75" i="43"/>
  <c r="Z75" i="43"/>
  <c r="Y75" i="43"/>
  <c r="AL70" i="43"/>
  <c r="AK70" i="43"/>
  <c r="AJ70" i="43"/>
  <c r="AG70" i="43"/>
  <c r="AF70" i="43"/>
  <c r="AA70" i="43"/>
  <c r="Z70" i="43"/>
  <c r="Y70" i="43"/>
  <c r="AL67" i="43"/>
  <c r="AK67" i="43"/>
  <c r="AJ67" i="43"/>
  <c r="AG67" i="43"/>
  <c r="AF67" i="43"/>
  <c r="AA67" i="43"/>
  <c r="Z67" i="43"/>
  <c r="Y67" i="43"/>
  <c r="AL63" i="43"/>
  <c r="AK63" i="43"/>
  <c r="AJ63" i="43"/>
  <c r="AG63" i="43"/>
  <c r="AF63" i="43"/>
  <c r="AA63" i="43"/>
  <c r="Z63" i="43"/>
  <c r="Y63" i="43"/>
  <c r="AL59" i="43"/>
  <c r="AK59" i="43"/>
  <c r="AJ59" i="43"/>
  <c r="AG59" i="43"/>
  <c r="AF59" i="43"/>
  <c r="AA59" i="43"/>
  <c r="Z59" i="43"/>
  <c r="Y59" i="43"/>
  <c r="AL55" i="43"/>
  <c r="AK55" i="43"/>
  <c r="AJ55" i="43"/>
  <c r="AG55" i="43"/>
  <c r="AF55" i="43"/>
  <c r="AA55" i="43"/>
  <c r="Z55" i="43"/>
  <c r="Y55" i="43"/>
  <c r="AL52" i="43"/>
  <c r="AK52" i="43"/>
  <c r="AJ52" i="43"/>
  <c r="AG52" i="43"/>
  <c r="AF52" i="43"/>
  <c r="AA52" i="43"/>
  <c r="Z52" i="43"/>
  <c r="Y52" i="43"/>
  <c r="AL49" i="43"/>
  <c r="AK49" i="43"/>
  <c r="AJ49" i="43"/>
  <c r="AG49" i="43"/>
  <c r="AF49" i="43"/>
  <c r="AA49" i="43"/>
  <c r="Z49" i="43"/>
  <c r="Y49" i="43"/>
  <c r="AL46" i="43"/>
  <c r="AK46" i="43"/>
  <c r="AJ46" i="43"/>
  <c r="AG46" i="43"/>
  <c r="AF46" i="43"/>
  <c r="AA46" i="43"/>
  <c r="Z46" i="43"/>
  <c r="Y46" i="43"/>
  <c r="AL42" i="43"/>
  <c r="AK42" i="43"/>
  <c r="AJ42" i="43"/>
  <c r="AG42" i="43"/>
  <c r="AF42" i="43"/>
  <c r="AA42" i="43"/>
  <c r="Z42" i="43"/>
  <c r="Y42" i="43"/>
  <c r="AL39" i="43"/>
  <c r="AK39" i="43"/>
  <c r="AJ39" i="43"/>
  <c r="AG39" i="43"/>
  <c r="AF39" i="43"/>
  <c r="AA39" i="43"/>
  <c r="Z39" i="43"/>
  <c r="Y39" i="43"/>
  <c r="AL35" i="43"/>
  <c r="AK35" i="43"/>
  <c r="AJ35" i="43"/>
  <c r="AG35" i="43"/>
  <c r="AF35" i="43"/>
  <c r="AA35" i="43"/>
  <c r="Z35" i="43"/>
  <c r="Y35" i="43"/>
  <c r="AL31" i="43"/>
  <c r="AK31" i="43"/>
  <c r="AJ31" i="43"/>
  <c r="AG31" i="43"/>
  <c r="AF31" i="43"/>
  <c r="AA31" i="43"/>
  <c r="Z31" i="43"/>
  <c r="Y31" i="43"/>
  <c r="AL27" i="43"/>
  <c r="AK27" i="43"/>
  <c r="AJ27" i="43"/>
  <c r="AG27" i="43"/>
  <c r="AF27" i="43"/>
  <c r="AA27" i="43"/>
  <c r="Z27" i="43"/>
  <c r="Y27" i="43"/>
  <c r="AL22" i="43"/>
  <c r="AK22" i="43"/>
  <c r="AJ22" i="43"/>
  <c r="AG22" i="43"/>
  <c r="AF22" i="43"/>
  <c r="AA22" i="43"/>
  <c r="Z22" i="43"/>
  <c r="Y22" i="43"/>
  <c r="AL18" i="43"/>
  <c r="AK18" i="43"/>
  <c r="AJ18" i="43"/>
  <c r="AG18" i="43"/>
  <c r="AF18" i="43"/>
  <c r="AA18" i="43"/>
  <c r="Z18" i="43"/>
  <c r="Y18" i="43"/>
  <c r="AL13" i="43"/>
  <c r="AK13" i="43"/>
  <c r="AJ13" i="43"/>
  <c r="AG13" i="43"/>
  <c r="AF13" i="43"/>
  <c r="AA13" i="43"/>
  <c r="Z13" i="43"/>
  <c r="Y13" i="43"/>
  <c r="S465" i="43"/>
  <c r="S461" i="43"/>
  <c r="S458" i="43"/>
  <c r="S451" i="43"/>
  <c r="S444" i="43"/>
  <c r="S437" i="43"/>
  <c r="S430" i="43"/>
  <c r="S423" i="43"/>
  <c r="S416" i="43"/>
  <c r="S410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L130" i="44" l="1"/>
  <c r="AK130" i="44"/>
  <c r="AJ130" i="44"/>
  <c r="AL124" i="44"/>
  <c r="AK124" i="44"/>
  <c r="AJ124" i="44"/>
  <c r="AL115" i="44"/>
  <c r="AK115" i="44"/>
  <c r="AJ115" i="44"/>
  <c r="AL113" i="44"/>
  <c r="AK113" i="44"/>
  <c r="AJ113" i="44"/>
  <c r="AL107" i="44"/>
  <c r="AK107" i="44"/>
  <c r="AJ107" i="44"/>
  <c r="AL105" i="44"/>
  <c r="AK105" i="44"/>
  <c r="AJ105" i="44"/>
  <c r="AL101" i="44"/>
  <c r="AK101" i="44"/>
  <c r="AJ101" i="44"/>
  <c r="AL95" i="44"/>
  <c r="AK95" i="44"/>
  <c r="AJ95" i="44"/>
  <c r="AL91" i="44"/>
  <c r="AK91" i="44"/>
  <c r="AJ91" i="44"/>
  <c r="AL84" i="44"/>
  <c r="AK84" i="44"/>
  <c r="AJ84" i="44"/>
  <c r="AL77" i="44"/>
  <c r="AK77" i="44"/>
  <c r="AJ77" i="44"/>
  <c r="AL70" i="44"/>
  <c r="AK70" i="44"/>
  <c r="AJ70" i="44"/>
  <c r="AL63" i="44"/>
  <c r="AK63" i="44"/>
  <c r="AJ63" i="44"/>
  <c r="AL56" i="44"/>
  <c r="AK56" i="44"/>
  <c r="AJ56" i="44"/>
  <c r="AL49" i="44"/>
  <c r="AK49" i="44"/>
  <c r="AJ49" i="44"/>
  <c r="AL42" i="44"/>
  <c r="AK42" i="44"/>
  <c r="AJ42" i="44"/>
  <c r="AL35" i="44"/>
  <c r="AK35" i="44"/>
  <c r="AJ35" i="44"/>
  <c r="AL28" i="44"/>
  <c r="AK28" i="44"/>
  <c r="AJ28" i="44"/>
  <c r="AL19" i="44"/>
  <c r="AK19" i="44"/>
  <c r="AJ19" i="44"/>
  <c r="AL13" i="44"/>
  <c r="AK13" i="44"/>
  <c r="AJ13" i="44"/>
  <c r="AA130" i="44"/>
  <c r="AA124" i="44"/>
  <c r="AA115" i="44"/>
  <c r="AA113" i="44"/>
  <c r="AA107" i="44"/>
  <c r="AA105" i="44"/>
  <c r="AA101" i="44"/>
  <c r="AA95" i="44"/>
  <c r="AA91" i="44"/>
  <c r="AA84" i="44"/>
  <c r="AA77" i="44"/>
  <c r="AA70" i="44"/>
  <c r="AA63" i="44"/>
  <c r="AA56" i="44"/>
  <c r="AA49" i="44"/>
  <c r="AA42" i="44"/>
  <c r="AA35" i="44"/>
  <c r="AA28" i="44"/>
  <c r="AA19" i="44"/>
  <c r="AA13" i="44"/>
  <c r="Y130" i="44"/>
  <c r="Y124" i="44"/>
  <c r="Y115" i="44"/>
  <c r="Y113" i="44"/>
  <c r="Y107" i="44"/>
  <c r="Y105" i="44"/>
  <c r="Y101" i="44"/>
  <c r="Y95" i="44"/>
  <c r="Y91" i="44"/>
  <c r="Y84" i="44"/>
  <c r="Y77" i="44"/>
  <c r="Y70" i="44"/>
  <c r="Y63" i="44"/>
  <c r="Y56" i="44"/>
  <c r="Y49" i="44"/>
  <c r="Y42" i="44"/>
  <c r="Y35" i="44"/>
  <c r="Y28" i="44"/>
  <c r="Y19" i="44"/>
  <c r="Y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BB408" i="43"/>
  <c r="BC408" i="43"/>
  <c r="AZ408" i="43"/>
  <c r="AW408" i="43"/>
  <c r="BA408" i="43" l="1"/>
  <c r="U130" i="44"/>
  <c r="U124" i="44"/>
  <c r="U115" i="44"/>
  <c r="U113" i="44"/>
  <c r="U107" i="44"/>
  <c r="U105" i="44"/>
  <c r="U101" i="44"/>
  <c r="U95" i="44"/>
  <c r="U91" i="44"/>
  <c r="U84" i="44"/>
  <c r="U77" i="44"/>
  <c r="U70" i="44"/>
  <c r="U63" i="44"/>
  <c r="U56" i="44"/>
  <c r="U49" i="44"/>
  <c r="U42" i="44"/>
  <c r="U35" i="44"/>
  <c r="U28" i="44"/>
  <c r="U19" i="44"/>
  <c r="U13" i="44"/>
  <c r="U465" i="43"/>
  <c r="U461" i="43"/>
  <c r="U458" i="43"/>
  <c r="U451" i="43"/>
  <c r="U444" i="43"/>
  <c r="U437" i="43"/>
  <c r="U430" i="43"/>
  <c r="U423" i="43"/>
  <c r="U416" i="43"/>
  <c r="U41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Q130" i="44"/>
  <c r="AP130" i="44"/>
  <c r="AO130" i="44"/>
  <c r="AQ124" i="44"/>
  <c r="AP124" i="44"/>
  <c r="AO124" i="44"/>
  <c r="AQ115" i="44"/>
  <c r="AP115" i="44"/>
  <c r="AO115" i="44"/>
  <c r="AQ113" i="44"/>
  <c r="AP113" i="44"/>
  <c r="AO113" i="44"/>
  <c r="AQ107" i="44"/>
  <c r="AP107" i="44"/>
  <c r="AO107" i="44"/>
  <c r="AQ105" i="44"/>
  <c r="AP105" i="44"/>
  <c r="AO105" i="44"/>
  <c r="AQ101" i="44"/>
  <c r="AP101" i="44"/>
  <c r="AO101" i="44"/>
  <c r="AQ95" i="44"/>
  <c r="AP95" i="44"/>
  <c r="AO95" i="44"/>
  <c r="AQ91" i="44"/>
  <c r="AP91" i="44"/>
  <c r="AO91" i="44"/>
  <c r="AQ84" i="44"/>
  <c r="AP84" i="44"/>
  <c r="AO84" i="44"/>
  <c r="AQ77" i="44"/>
  <c r="AP77" i="44"/>
  <c r="AO77" i="44"/>
  <c r="AQ70" i="44"/>
  <c r="AP70" i="44"/>
  <c r="AO70" i="44"/>
  <c r="AQ63" i="44"/>
  <c r="AP63" i="44"/>
  <c r="AO63" i="44"/>
  <c r="AQ56" i="44"/>
  <c r="AP56" i="44"/>
  <c r="AO56" i="44"/>
  <c r="AQ49" i="44"/>
  <c r="AP49" i="44"/>
  <c r="AO49" i="44"/>
  <c r="AQ42" i="44"/>
  <c r="AP42" i="44"/>
  <c r="AO42" i="44"/>
  <c r="AQ35" i="44"/>
  <c r="AP35" i="44"/>
  <c r="AO35" i="44"/>
  <c r="AQ28" i="44"/>
  <c r="AP28" i="44"/>
  <c r="AO28" i="44"/>
  <c r="AQ19" i="44"/>
  <c r="AP19" i="44"/>
  <c r="AO19" i="44"/>
  <c r="AQ13" i="44"/>
  <c r="AP13" i="44"/>
  <c r="AO13" i="44"/>
  <c r="AO135" i="44"/>
  <c r="AP135" i="44"/>
  <c r="AQ135" i="44"/>
  <c r="AO136" i="44"/>
  <c r="AP136" i="44"/>
  <c r="AQ136" i="44"/>
  <c r="AO137" i="44"/>
  <c r="AP137" i="44"/>
  <c r="AQ137" i="44"/>
  <c r="AO138" i="44"/>
  <c r="AP138" i="44"/>
  <c r="AQ138" i="44"/>
  <c r="AO139" i="44"/>
  <c r="AP139" i="44"/>
  <c r="AQ139" i="44"/>
  <c r="AR139" i="44"/>
  <c r="AS139" i="44"/>
  <c r="AT139" i="44"/>
  <c r="AO140" i="44"/>
  <c r="AP140" i="44"/>
  <c r="AQ140" i="44"/>
  <c r="AR140" i="44"/>
  <c r="AS140" i="44"/>
  <c r="AT140" i="44"/>
  <c r="AO141" i="44"/>
  <c r="AP141" i="44"/>
  <c r="AQ141" i="44"/>
  <c r="AO142" i="44"/>
  <c r="AP142" i="44"/>
  <c r="AQ142" i="44"/>
  <c r="AO143" i="44"/>
  <c r="AP143" i="44"/>
  <c r="AQ143" i="44"/>
  <c r="AO144" i="44"/>
  <c r="AP144" i="44"/>
  <c r="AQ144" i="44"/>
  <c r="AR474" i="43"/>
  <c r="AK31" i="47" s="1"/>
  <c r="AS474" i="43"/>
  <c r="AR475" i="43"/>
  <c r="AK32" i="47" s="1"/>
  <c r="AS475" i="43"/>
  <c r="AS12" i="43"/>
  <c r="AS13" i="43" s="1"/>
  <c r="AR12" i="43"/>
  <c r="AR13" i="43" s="1"/>
  <c r="AO470" i="43"/>
  <c r="AO471" i="43"/>
  <c r="AO472" i="43"/>
  <c r="AO473" i="43"/>
  <c r="AO474" i="43"/>
  <c r="AO475" i="43"/>
  <c r="AO476" i="43"/>
  <c r="AO477" i="43"/>
  <c r="AO478" i="43"/>
  <c r="AO479" i="43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70" i="43"/>
  <c r="M27" i="47" s="1"/>
  <c r="U470" i="43"/>
  <c r="T471" i="43"/>
  <c r="M28" i="47" s="1"/>
  <c r="U471" i="43"/>
  <c r="T472" i="43"/>
  <c r="M29" i="47" s="1"/>
  <c r="U472" i="43"/>
  <c r="T473" i="43"/>
  <c r="M30" i="47" s="1"/>
  <c r="U473" i="43"/>
  <c r="T474" i="43"/>
  <c r="M31" i="47" s="1"/>
  <c r="U474" i="43"/>
  <c r="T475" i="43"/>
  <c r="M32" i="47" s="1"/>
  <c r="U475" i="43"/>
  <c r="T476" i="43"/>
  <c r="M33" i="47" s="1"/>
  <c r="U476" i="43"/>
  <c r="T477" i="43"/>
  <c r="M34" i="47" s="1"/>
  <c r="U477" i="43"/>
  <c r="T478" i="43"/>
  <c r="M35" i="47" s="1"/>
  <c r="U478" i="43"/>
  <c r="T479" i="43"/>
  <c r="M36" i="47" s="1"/>
  <c r="U479" i="43"/>
  <c r="AX408" i="43" l="1"/>
  <c r="AV408" i="43"/>
  <c r="AY408" i="43"/>
  <c r="U131" i="44"/>
  <c r="AO131" i="44"/>
  <c r="U466" i="43"/>
  <c r="T131" i="44"/>
  <c r="AS143" i="44"/>
  <c r="T466" i="43"/>
  <c r="M13" i="47" s="1"/>
  <c r="M23" i="47" s="1"/>
  <c r="AS478" i="43"/>
  <c r="AS471" i="43"/>
  <c r="AS470" i="43"/>
  <c r="AO466" i="43"/>
  <c r="AS479" i="43"/>
  <c r="AR479" i="43"/>
  <c r="AK36" i="47" s="1"/>
  <c r="AR478" i="43"/>
  <c r="AK35" i="47" s="1"/>
  <c r="AS473" i="43"/>
  <c r="AS472" i="43"/>
  <c r="AS477" i="43"/>
  <c r="AS476" i="43"/>
  <c r="AR473" i="43"/>
  <c r="AK30" i="47" s="1"/>
  <c r="AR472" i="43"/>
  <c r="AK29" i="47" s="1"/>
  <c r="AR477" i="43"/>
  <c r="AK34" i="47" s="1"/>
  <c r="AR471" i="43"/>
  <c r="AK28" i="47" s="1"/>
  <c r="AR476" i="43"/>
  <c r="AK33" i="47" s="1"/>
  <c r="AR470" i="43"/>
  <c r="AK27" i="47" s="1"/>
  <c r="AO469" i="43"/>
  <c r="AS138" i="44"/>
  <c r="AS144" i="44"/>
  <c r="AS141" i="44"/>
  <c r="AS142" i="44"/>
  <c r="AS136" i="44"/>
  <c r="AR142" i="44"/>
  <c r="AS137" i="44"/>
  <c r="AR136" i="44"/>
  <c r="AS135" i="44"/>
  <c r="AR143" i="44"/>
  <c r="AR141" i="44"/>
  <c r="AR137" i="44"/>
  <c r="AP134" i="44"/>
  <c r="AR135" i="44"/>
  <c r="AO134" i="44"/>
  <c r="AQ134" i="44"/>
  <c r="AR144" i="44"/>
  <c r="AR138" i="44"/>
  <c r="T134" i="44"/>
  <c r="U134" i="44"/>
  <c r="T469" i="43"/>
  <c r="U469" i="43"/>
  <c r="AU408" i="43" l="1"/>
  <c r="AT144" i="44"/>
  <c r="AT135" i="44"/>
  <c r="AT143" i="44"/>
  <c r="AS469" i="43"/>
  <c r="AS134" i="44"/>
  <c r="AR469" i="43"/>
  <c r="AT141" i="44"/>
  <c r="AT137" i="44"/>
  <c r="AT142" i="44"/>
  <c r="AR134" i="44"/>
  <c r="AT136" i="44"/>
  <c r="AT138" i="44"/>
  <c r="AH26" i="47"/>
  <c r="N26" i="47"/>
  <c r="M26" i="47"/>
  <c r="AT133" i="44" l="1"/>
  <c r="AT468" i="43"/>
  <c r="AT134" i="44"/>
  <c r="AB465" i="43" l="1"/>
  <c r="AH461" i="43"/>
  <c r="AB461" i="43"/>
  <c r="X461" i="43"/>
  <c r="AB458" i="43"/>
  <c r="AH451" i="43"/>
  <c r="AH444" i="43"/>
  <c r="X437" i="43"/>
  <c r="AH416" i="43"/>
  <c r="AB399" i="43"/>
  <c r="AH388" i="43"/>
  <c r="AH382" i="43"/>
  <c r="AH375" i="43"/>
  <c r="AB375" i="43"/>
  <c r="AB335" i="43"/>
  <c r="AH332" i="43"/>
  <c r="AH324" i="43"/>
  <c r="AB324" i="43"/>
  <c r="X324" i="43"/>
  <c r="AH322" i="43"/>
  <c r="AH298" i="43"/>
  <c r="AB298" i="43"/>
  <c r="X298" i="43"/>
  <c r="AB288" i="43"/>
  <c r="X276" i="43"/>
  <c r="AB272" i="43"/>
  <c r="AH262" i="43"/>
  <c r="AB262" i="43"/>
  <c r="X262" i="43"/>
  <c r="AH258" i="43"/>
  <c r="AB258" i="43"/>
  <c r="X258" i="43"/>
  <c r="AB180" i="43" l="1"/>
  <c r="AH187" i="43"/>
  <c r="AB213" i="43"/>
  <c r="AB243" i="43"/>
  <c r="AH406" i="43"/>
  <c r="AH151" i="43"/>
  <c r="AH145" i="43"/>
  <c r="AH157" i="43"/>
  <c r="AH392" i="43"/>
  <c r="AB373" i="43"/>
  <c r="AH410" i="43"/>
  <c r="X296" i="43"/>
  <c r="X312" i="43"/>
  <c r="X328" i="43"/>
  <c r="X430" i="43"/>
  <c r="AH180" i="43"/>
  <c r="AB200" i="43"/>
  <c r="AB206" i="43"/>
  <c r="AH213" i="43"/>
  <c r="AB237" i="43"/>
  <c r="AH243" i="43"/>
  <c r="AB249" i="43"/>
  <c r="AB256" i="43"/>
  <c r="X266" i="43"/>
  <c r="AH272" i="43"/>
  <c r="AB276" i="43"/>
  <c r="X283" i="43"/>
  <c r="AH288" i="43"/>
  <c r="AB296" i="43"/>
  <c r="X305" i="43"/>
  <c r="AB312" i="43"/>
  <c r="X316" i="43"/>
  <c r="AB328" i="43"/>
  <c r="AH335" i="43"/>
  <c r="X344" i="43"/>
  <c r="X350" i="43"/>
  <c r="X357" i="43"/>
  <c r="AB362" i="43"/>
  <c r="X369" i="43"/>
  <c r="X373" i="43"/>
  <c r="AH399" i="43"/>
  <c r="AB410" i="43"/>
  <c r="X423" i="43"/>
  <c r="AB430" i="43"/>
  <c r="AB437" i="43"/>
  <c r="AH458" i="43"/>
  <c r="AH465" i="43"/>
  <c r="AB194" i="43"/>
  <c r="AH200" i="43"/>
  <c r="AH206" i="43"/>
  <c r="AB219" i="43"/>
  <c r="AB225" i="43"/>
  <c r="AB231" i="43"/>
  <c r="AH237" i="43"/>
  <c r="AH249" i="43"/>
  <c r="AH256" i="43"/>
  <c r="AB266" i="43"/>
  <c r="AH276" i="43"/>
  <c r="AB283" i="43"/>
  <c r="AH296" i="43"/>
  <c r="AB305" i="43"/>
  <c r="AH312" i="43"/>
  <c r="AB316" i="43"/>
  <c r="X322" i="43"/>
  <c r="AH328" i="43"/>
  <c r="X332" i="43"/>
  <c r="AB344" i="43"/>
  <c r="AB350" i="43"/>
  <c r="AB357" i="43"/>
  <c r="AH362" i="43"/>
  <c r="AB369" i="43"/>
  <c r="X382" i="43"/>
  <c r="X388" i="43"/>
  <c r="X392" i="43"/>
  <c r="X406" i="43"/>
  <c r="X416" i="43"/>
  <c r="AB423" i="43"/>
  <c r="AH430" i="43"/>
  <c r="AH437" i="43"/>
  <c r="X444" i="43"/>
  <c r="X451" i="43"/>
  <c r="X362" i="43"/>
  <c r="X410" i="43"/>
  <c r="AB145" i="43"/>
  <c r="AB151" i="43"/>
  <c r="AB157" i="43"/>
  <c r="AB187" i="43"/>
  <c r="AH194" i="43"/>
  <c r="AH219" i="43"/>
  <c r="AH225" i="43"/>
  <c r="AH231" i="43"/>
  <c r="AH266" i="43"/>
  <c r="X272" i="43"/>
  <c r="AH283" i="43"/>
  <c r="X288" i="43"/>
  <c r="AH305" i="43"/>
  <c r="AH316" i="43"/>
  <c r="AB322" i="43"/>
  <c r="AB332" i="43"/>
  <c r="X335" i="43"/>
  <c r="AH344" i="43"/>
  <c r="AH350" i="43"/>
  <c r="AH357" i="43"/>
  <c r="AH369" i="43"/>
  <c r="AH373" i="43"/>
  <c r="AE375" i="43"/>
  <c r="X375" i="43"/>
  <c r="AB382" i="43"/>
  <c r="AB388" i="43"/>
  <c r="AB392" i="43"/>
  <c r="X399" i="43"/>
  <c r="AB406" i="43"/>
  <c r="AB416" i="43"/>
  <c r="AH423" i="43"/>
  <c r="AB444" i="43"/>
  <c r="AB451" i="43"/>
  <c r="X458" i="43"/>
  <c r="X465" i="43"/>
  <c r="R200" i="43"/>
  <c r="R249" i="43"/>
  <c r="R194" i="43"/>
  <c r="R219" i="43"/>
  <c r="R225" i="43"/>
  <c r="R231" i="43"/>
  <c r="R206" i="43"/>
  <c r="R237" i="43"/>
  <c r="R256" i="43"/>
  <c r="R145" i="43"/>
  <c r="R151" i="43"/>
  <c r="R157" i="43"/>
  <c r="R187" i="43"/>
  <c r="R180" i="43"/>
  <c r="R213" i="43"/>
  <c r="R243" i="43"/>
  <c r="AE298" i="43"/>
  <c r="AC298" i="43"/>
  <c r="AD258" i="43"/>
  <c r="AC258" i="43"/>
  <c r="AE258" i="43"/>
  <c r="AE324" i="43"/>
  <c r="AD324" i="43"/>
  <c r="AC324" i="43"/>
  <c r="AE332" i="43"/>
  <c r="AE335" i="43"/>
  <c r="AD335" i="43"/>
  <c r="AC335" i="43"/>
  <c r="AE328" i="43"/>
  <c r="AD298" i="43"/>
  <c r="AC375" i="43"/>
  <c r="AD375" i="43"/>
  <c r="AD461" i="43"/>
  <c r="AE410" i="43"/>
  <c r="AE266" i="43" l="1"/>
  <c r="AC392" i="43"/>
  <c r="AC328" i="43"/>
  <c r="AE465" i="43"/>
  <c r="AE276" i="43"/>
  <c r="AE444" i="43"/>
  <c r="AE458" i="43"/>
  <c r="AD423" i="43"/>
  <c r="AC388" i="43"/>
  <c r="AD373" i="43"/>
  <c r="AE399" i="43"/>
  <c r="AC312" i="43"/>
  <c r="AC288" i="43"/>
  <c r="AC262" i="43"/>
  <c r="AD369" i="43"/>
  <c r="AC444" i="43"/>
  <c r="AD399" i="43"/>
  <c r="AD332" i="43"/>
  <c r="AC219" i="43"/>
  <c r="X219" i="43"/>
  <c r="AD416" i="43"/>
  <c r="AC430" i="43"/>
  <c r="AE423" i="43"/>
  <c r="AD406" i="43"/>
  <c r="AD444" i="43"/>
  <c r="AD437" i="43"/>
  <c r="AC465" i="43"/>
  <c r="AE392" i="43"/>
  <c r="AE388" i="43"/>
  <c r="AD392" i="43"/>
  <c r="AC362" i="43"/>
  <c r="AD312" i="43"/>
  <c r="AD296" i="43"/>
  <c r="AE382" i="43"/>
  <c r="AD350" i="43"/>
  <c r="AC316" i="43"/>
  <c r="AD322" i="43"/>
  <c r="AC416" i="43"/>
  <c r="AD305" i="43"/>
  <c r="AC305" i="43"/>
  <c r="AE187" i="43"/>
  <c r="X187" i="43"/>
  <c r="AC151" i="43"/>
  <c r="X151" i="43"/>
  <c r="AD256" i="43"/>
  <c r="X256" i="43"/>
  <c r="AE206" i="43"/>
  <c r="X206" i="43"/>
  <c r="AE249" i="43"/>
  <c r="X249" i="43"/>
  <c r="AD262" i="43"/>
  <c r="AD410" i="43"/>
  <c r="AE430" i="43"/>
  <c r="AE312" i="43"/>
  <c r="AC406" i="43"/>
  <c r="AE369" i="43"/>
  <c r="AE362" i="43"/>
  <c r="AE350" i="43"/>
  <c r="AE213" i="43"/>
  <c r="X213" i="43"/>
  <c r="AC437" i="43"/>
  <c r="AC410" i="43"/>
  <c r="AD430" i="43"/>
  <c r="AE406" i="43"/>
  <c r="AE437" i="43"/>
  <c r="AD465" i="43"/>
  <c r="AC458" i="43"/>
  <c r="AE373" i="43"/>
  <c r="AE344" i="43"/>
  <c r="AD288" i="43"/>
  <c r="AC382" i="43"/>
  <c r="AC350" i="43"/>
  <c r="AD316" i="43"/>
  <c r="AD283" i="43"/>
  <c r="AD272" i="43"/>
  <c r="AC276" i="43"/>
  <c r="AC266" i="43"/>
  <c r="AE322" i="43"/>
  <c r="AE283" i="43"/>
  <c r="AE272" i="43"/>
  <c r="AC357" i="43"/>
  <c r="AC461" i="43"/>
  <c r="AC243" i="43"/>
  <c r="X243" i="43"/>
  <c r="AD180" i="43"/>
  <c r="X180" i="43"/>
  <c r="AC423" i="43"/>
  <c r="AE225" i="43"/>
  <c r="X225" i="43"/>
  <c r="AE194" i="43"/>
  <c r="X194" i="43"/>
  <c r="AE262" i="43"/>
  <c r="AD344" i="43"/>
  <c r="AC322" i="43"/>
  <c r="AE451" i="43"/>
  <c r="AE231" i="43"/>
  <c r="X231" i="43"/>
  <c r="AE305" i="43"/>
  <c r="AD451" i="43"/>
  <c r="AE461" i="43"/>
  <c r="AD458" i="43"/>
  <c r="AE357" i="43"/>
  <c r="AC373" i="43"/>
  <c r="AC369" i="43"/>
  <c r="AC399" i="43"/>
  <c r="AC344" i="43"/>
  <c r="AD382" i="43"/>
  <c r="AC296" i="43"/>
  <c r="AE316" i="43"/>
  <c r="AD276" i="43"/>
  <c r="AD266" i="43"/>
  <c r="AC283" i="43"/>
  <c r="AC272" i="43"/>
  <c r="AC451" i="43"/>
  <c r="AD157" i="43"/>
  <c r="X157" i="43"/>
  <c r="AE145" i="43"/>
  <c r="X145" i="43"/>
  <c r="AD237" i="43"/>
  <c r="X237" i="43"/>
  <c r="AC200" i="43"/>
  <c r="X200" i="43"/>
  <c r="AE288" i="43"/>
  <c r="AD362" i="43"/>
  <c r="AE416" i="43"/>
  <c r="AD388" i="43"/>
  <c r="AC332" i="43"/>
  <c r="AD357" i="43"/>
  <c r="AD328" i="43"/>
  <c r="AE296" i="43"/>
  <c r="AI375" i="43"/>
  <c r="AI115" i="44"/>
  <c r="AD151" i="43"/>
  <c r="AC249" i="43"/>
  <c r="AI298" i="43"/>
  <c r="AI258" i="43"/>
  <c r="AC225" i="43"/>
  <c r="AC194" i="43"/>
  <c r="AC180" i="43"/>
  <c r="AI324" i="43"/>
  <c r="AE243" i="43"/>
  <c r="AD225" i="43"/>
  <c r="AD194" i="43"/>
  <c r="AI107" i="44"/>
  <c r="AE237" i="43"/>
  <c r="AC157" i="43"/>
  <c r="AC145" i="43"/>
  <c r="AC237" i="43"/>
  <c r="AD145" i="43"/>
  <c r="AE200" i="43"/>
  <c r="AD200" i="43"/>
  <c r="AE157" i="43"/>
  <c r="AD249" i="43"/>
  <c r="AD206" i="43"/>
  <c r="AE219" i="43"/>
  <c r="AD231" i="43"/>
  <c r="AC231" i="43"/>
  <c r="AD213" i="43"/>
  <c r="AC213" i="43"/>
  <c r="AE151" i="43"/>
  <c r="AC187" i="43"/>
  <c r="AC256" i="43"/>
  <c r="AD187" i="43"/>
  <c r="AE256" i="43"/>
  <c r="AE180" i="43"/>
  <c r="AI444" i="43" l="1"/>
  <c r="AI416" i="43"/>
  <c r="AI262" i="43"/>
  <c r="AI437" i="43"/>
  <c r="AI465" i="43"/>
  <c r="AI451" i="43"/>
  <c r="AI219" i="43"/>
  <c r="AD219" i="43"/>
  <c r="AI373" i="43"/>
  <c r="AI344" i="43"/>
  <c r="AI206" i="43"/>
  <c r="AC206" i="43"/>
  <c r="AI312" i="43"/>
  <c r="AI388" i="43"/>
  <c r="AI406" i="43"/>
  <c r="AI316" i="43"/>
  <c r="AI399" i="43"/>
  <c r="AI322" i="43"/>
  <c r="AI461" i="43"/>
  <c r="AI332" i="43"/>
  <c r="AI362" i="43"/>
  <c r="AI430" i="43"/>
  <c r="AI288" i="43"/>
  <c r="AI357" i="43"/>
  <c r="AI243" i="43"/>
  <c r="AD243" i="43"/>
  <c r="AI266" i="43"/>
  <c r="AI350" i="43"/>
  <c r="AI392" i="43"/>
  <c r="AI272" i="43"/>
  <c r="AI458" i="43"/>
  <c r="AI283" i="43"/>
  <c r="AI305" i="43"/>
  <c r="AI296" i="43"/>
  <c r="AI276" i="43"/>
  <c r="AI423" i="43"/>
  <c r="AI328" i="43"/>
  <c r="AI410" i="43"/>
  <c r="AI335" i="43"/>
  <c r="AI382" i="43"/>
  <c r="AI369" i="43"/>
  <c r="AI151" i="43"/>
  <c r="AI249" i="43"/>
  <c r="AI95" i="44"/>
  <c r="AI28" i="44"/>
  <c r="AI101" i="44"/>
  <c r="AI49" i="44"/>
  <c r="AI157" i="43"/>
  <c r="AI237" i="43"/>
  <c r="AI187" i="43"/>
  <c r="AI145" i="43"/>
  <c r="AI231" i="43"/>
  <c r="AI200" i="43"/>
  <c r="AI194" i="43"/>
  <c r="AI225" i="43"/>
  <c r="AI256" i="43"/>
  <c r="AI213" i="43"/>
  <c r="AI180" i="43"/>
  <c r="AI113" i="44"/>
  <c r="AI63" i="44"/>
  <c r="AI35" i="44"/>
  <c r="AI42" i="44"/>
  <c r="AI84" i="44"/>
  <c r="AI70" i="44"/>
  <c r="AI124" i="44"/>
  <c r="AI105" i="44"/>
  <c r="AI130" i="44"/>
  <c r="AI56" i="44"/>
  <c r="AI77" i="44"/>
  <c r="AI91" i="44"/>
  <c r="S470" i="43" l="1"/>
  <c r="S471" i="43"/>
  <c r="S472" i="43"/>
  <c r="S473" i="43"/>
  <c r="S474" i="43"/>
  <c r="S475" i="43"/>
  <c r="S476" i="43"/>
  <c r="S477" i="43"/>
  <c r="S478" i="43"/>
  <c r="S479" i="43"/>
  <c r="S466" i="43" l="1"/>
  <c r="S469" i="43"/>
  <c r="W465" i="43" l="1"/>
  <c r="V465" i="43"/>
  <c r="W461" i="43"/>
  <c r="V461" i="43"/>
  <c r="W458" i="43"/>
  <c r="V458" i="43"/>
  <c r="W451" i="43"/>
  <c r="V451" i="43"/>
  <c r="W444" i="43"/>
  <c r="V444" i="43"/>
  <c r="W437" i="43"/>
  <c r="V437" i="43"/>
  <c r="W430" i="43"/>
  <c r="V430" i="43"/>
  <c r="W423" i="43"/>
  <c r="V423" i="43"/>
  <c r="W416" i="43"/>
  <c r="V416" i="43"/>
  <c r="W410" i="43"/>
  <c r="V410" i="43"/>
  <c r="W406" i="43"/>
  <c r="V406" i="43"/>
  <c r="W399" i="43"/>
  <c r="V399" i="43"/>
  <c r="W392" i="43"/>
  <c r="V392" i="43"/>
  <c r="W388" i="43"/>
  <c r="V388" i="43"/>
  <c r="W382" i="43"/>
  <c r="V382" i="43"/>
  <c r="W375" i="43"/>
  <c r="V375" i="43"/>
  <c r="W373" i="43"/>
  <c r="V373" i="43"/>
  <c r="W369" i="43"/>
  <c r="V369" i="43"/>
  <c r="W362" i="43"/>
  <c r="V362" i="43"/>
  <c r="W357" i="43"/>
  <c r="V357" i="43"/>
  <c r="W350" i="43"/>
  <c r="V350" i="43"/>
  <c r="W344" i="43"/>
  <c r="V344" i="43"/>
  <c r="W335" i="43"/>
  <c r="V335" i="43"/>
  <c r="W332" i="43"/>
  <c r="V332" i="43"/>
  <c r="W328" i="43"/>
  <c r="V328" i="43"/>
  <c r="W324" i="43"/>
  <c r="V324" i="43"/>
  <c r="W322" i="43"/>
  <c r="V322" i="43"/>
  <c r="W316" i="43"/>
  <c r="V316" i="43"/>
  <c r="W312" i="43"/>
  <c r="V312" i="43"/>
  <c r="W305" i="43"/>
  <c r="V305" i="43"/>
  <c r="W298" i="43"/>
  <c r="V298" i="43"/>
  <c r="W296" i="43"/>
  <c r="V296" i="43"/>
  <c r="W288" i="43"/>
  <c r="V288" i="43"/>
  <c r="W283" i="43"/>
  <c r="V283" i="43"/>
  <c r="W276" i="43"/>
  <c r="V276" i="43"/>
  <c r="W272" i="43"/>
  <c r="V272" i="43"/>
  <c r="W266" i="43"/>
  <c r="V266" i="43"/>
  <c r="W262" i="43"/>
  <c r="V262" i="43"/>
  <c r="W258" i="43"/>
  <c r="V258" i="43"/>
  <c r="W256" i="43"/>
  <c r="V256" i="43"/>
  <c r="W249" i="43"/>
  <c r="V249" i="43"/>
  <c r="W243" i="43"/>
  <c r="V243" i="43"/>
  <c r="W237" i="43"/>
  <c r="V237" i="43"/>
  <c r="W231" i="43"/>
  <c r="V231" i="43"/>
  <c r="W225" i="43"/>
  <c r="V225" i="43"/>
  <c r="W219" i="43"/>
  <c r="V219" i="43"/>
  <c r="W213" i="43"/>
  <c r="V213" i="43"/>
  <c r="W206" i="43"/>
  <c r="V206" i="43"/>
  <c r="W200" i="43"/>
  <c r="V200" i="43"/>
  <c r="W194" i="43"/>
  <c r="V194" i="43"/>
  <c r="W187" i="43"/>
  <c r="V187" i="43"/>
  <c r="W180" i="43"/>
  <c r="V180" i="43"/>
  <c r="W174" i="43"/>
  <c r="V174" i="43"/>
  <c r="W168" i="43"/>
  <c r="V168" i="43"/>
  <c r="W162" i="43"/>
  <c r="V162" i="43"/>
  <c r="W157" i="43"/>
  <c r="V157" i="43"/>
  <c r="W151" i="43"/>
  <c r="V151" i="43"/>
  <c r="W145" i="43"/>
  <c r="V145" i="43"/>
  <c r="W139" i="43"/>
  <c r="V139" i="43"/>
  <c r="W132" i="43"/>
  <c r="V132" i="43"/>
  <c r="W125" i="43"/>
  <c r="V125" i="43"/>
  <c r="W120" i="43"/>
  <c r="V120" i="43"/>
  <c r="W116" i="43"/>
  <c r="V116" i="43"/>
  <c r="W113" i="43"/>
  <c r="V113" i="43"/>
  <c r="W109" i="43"/>
  <c r="V109" i="43"/>
  <c r="W105" i="43"/>
  <c r="V105" i="43"/>
  <c r="W102" i="43"/>
  <c r="V102" i="43"/>
  <c r="W98" i="43"/>
  <c r="V98" i="43"/>
  <c r="W94" i="43"/>
  <c r="V94" i="43"/>
  <c r="W90" i="43"/>
  <c r="V90" i="43"/>
  <c r="W86" i="43"/>
  <c r="V86" i="43"/>
  <c r="W82" i="43"/>
  <c r="V82" i="43"/>
  <c r="W79" i="43"/>
  <c r="V79" i="43"/>
  <c r="W75" i="43"/>
  <c r="V75" i="43"/>
  <c r="W70" i="43"/>
  <c r="V70" i="43"/>
  <c r="W67" i="43"/>
  <c r="V67" i="43"/>
  <c r="W63" i="43"/>
  <c r="V63" i="43"/>
  <c r="W59" i="43"/>
  <c r="V59" i="43"/>
  <c r="W55" i="43"/>
  <c r="V55" i="43"/>
  <c r="W52" i="43"/>
  <c r="V52" i="43"/>
  <c r="W49" i="43"/>
  <c r="V49" i="43"/>
  <c r="W46" i="43"/>
  <c r="V46" i="43"/>
  <c r="W42" i="43"/>
  <c r="V42" i="43"/>
  <c r="W39" i="43"/>
  <c r="V39" i="43"/>
  <c r="W35" i="43"/>
  <c r="V35" i="43"/>
  <c r="W31" i="43"/>
  <c r="V31" i="43"/>
  <c r="W27" i="43"/>
  <c r="V27" i="43"/>
  <c r="W22" i="43"/>
  <c r="V22" i="43"/>
  <c r="W18" i="43"/>
  <c r="V18" i="43"/>
  <c r="W13" i="43"/>
  <c r="V13" i="43"/>
  <c r="AN130" i="44"/>
  <c r="AM130" i="44"/>
  <c r="AG130" i="44"/>
  <c r="AF130" i="44"/>
  <c r="Z130" i="44"/>
  <c r="W130" i="44"/>
  <c r="V130" i="44"/>
  <c r="AN124" i="44"/>
  <c r="AM124" i="44"/>
  <c r="AG124" i="44"/>
  <c r="AF124" i="44"/>
  <c r="Z124" i="44"/>
  <c r="W124" i="44"/>
  <c r="V124" i="44"/>
  <c r="AN115" i="44"/>
  <c r="AM115" i="44"/>
  <c r="AG115" i="44"/>
  <c r="AF115" i="44"/>
  <c r="Z115" i="44"/>
  <c r="W115" i="44"/>
  <c r="V115" i="44"/>
  <c r="AN113" i="44"/>
  <c r="AM113" i="44"/>
  <c r="AG113" i="44"/>
  <c r="AF113" i="44"/>
  <c r="Z113" i="44"/>
  <c r="W113" i="44"/>
  <c r="V113" i="44"/>
  <c r="AN107" i="44"/>
  <c r="AM107" i="44"/>
  <c r="AG107" i="44"/>
  <c r="AF107" i="44"/>
  <c r="Z107" i="44"/>
  <c r="W107" i="44"/>
  <c r="V107" i="44"/>
  <c r="AN105" i="44"/>
  <c r="AM105" i="44"/>
  <c r="AG105" i="44"/>
  <c r="AF105" i="44"/>
  <c r="Z105" i="44"/>
  <c r="W105" i="44"/>
  <c r="V105" i="44"/>
  <c r="AN101" i="44"/>
  <c r="AM101" i="44"/>
  <c r="AG101" i="44"/>
  <c r="AF101" i="44"/>
  <c r="Z101" i="44"/>
  <c r="W101" i="44"/>
  <c r="V101" i="44"/>
  <c r="AN95" i="44"/>
  <c r="AM95" i="44"/>
  <c r="AG95" i="44"/>
  <c r="AF95" i="44"/>
  <c r="Z95" i="44"/>
  <c r="W95" i="44"/>
  <c r="V95" i="44"/>
  <c r="AN91" i="44"/>
  <c r="AM91" i="44"/>
  <c r="AG91" i="44"/>
  <c r="AF91" i="44"/>
  <c r="Z91" i="44"/>
  <c r="W91" i="44"/>
  <c r="V91" i="44"/>
  <c r="AN84" i="44"/>
  <c r="AM84" i="44"/>
  <c r="AG84" i="44"/>
  <c r="AF84" i="44"/>
  <c r="Z84" i="44"/>
  <c r="W84" i="44"/>
  <c r="V84" i="44"/>
  <c r="AN77" i="44"/>
  <c r="AM77" i="44"/>
  <c r="AG77" i="44"/>
  <c r="AF77" i="44"/>
  <c r="Z77" i="44"/>
  <c r="W77" i="44"/>
  <c r="V77" i="44"/>
  <c r="AN70" i="44"/>
  <c r="AM70" i="44"/>
  <c r="AG70" i="44"/>
  <c r="AF70" i="44"/>
  <c r="Z70" i="44"/>
  <c r="W70" i="44"/>
  <c r="V70" i="44"/>
  <c r="AN63" i="44"/>
  <c r="AM63" i="44"/>
  <c r="AG63" i="44"/>
  <c r="AF63" i="44"/>
  <c r="Z63" i="44"/>
  <c r="W63" i="44"/>
  <c r="V63" i="44"/>
  <c r="AN56" i="44"/>
  <c r="AM56" i="44"/>
  <c r="AG56" i="44"/>
  <c r="AF56" i="44"/>
  <c r="Z56" i="44"/>
  <c r="W56" i="44"/>
  <c r="V56" i="44"/>
  <c r="AN49" i="44"/>
  <c r="AM49" i="44"/>
  <c r="AG49" i="44"/>
  <c r="AF49" i="44"/>
  <c r="Z49" i="44"/>
  <c r="W49" i="44"/>
  <c r="V49" i="44"/>
  <c r="AN42" i="44"/>
  <c r="AM42" i="44"/>
  <c r="AG42" i="44"/>
  <c r="AF42" i="44"/>
  <c r="Z42" i="44"/>
  <c r="W42" i="44"/>
  <c r="V42" i="44"/>
  <c r="AN35" i="44"/>
  <c r="AM35" i="44"/>
  <c r="AG35" i="44"/>
  <c r="AF35" i="44"/>
  <c r="Z35" i="44"/>
  <c r="W35" i="44"/>
  <c r="V35" i="44"/>
  <c r="AN28" i="44"/>
  <c r="AM28" i="44"/>
  <c r="AG28" i="44"/>
  <c r="AF28" i="44"/>
  <c r="Z28" i="44"/>
  <c r="W28" i="44"/>
  <c r="V28" i="44"/>
  <c r="AN19" i="44"/>
  <c r="AM19" i="44"/>
  <c r="AG19" i="44"/>
  <c r="AF19" i="44"/>
  <c r="Z19" i="44"/>
  <c r="W19" i="44"/>
  <c r="V19" i="44"/>
  <c r="AM13" i="44"/>
  <c r="AG13" i="44"/>
  <c r="AF13" i="44"/>
  <c r="Z13" i="44"/>
  <c r="W13" i="44"/>
  <c r="V13" i="44"/>
  <c r="R258" i="43"/>
  <c r="AH174" i="43"/>
  <c r="AB174" i="43"/>
  <c r="R174" i="43"/>
  <c r="AB162" i="43"/>
  <c r="AH139" i="43"/>
  <c r="AB139" i="43"/>
  <c r="AH132" i="43"/>
  <c r="AH125" i="43"/>
  <c r="AB116" i="43"/>
  <c r="AH113" i="43"/>
  <c r="AB105" i="43"/>
  <c r="AH102" i="43"/>
  <c r="AB90" i="43"/>
  <c r="AH86" i="43"/>
  <c r="AB79" i="43"/>
  <c r="AB75" i="43"/>
  <c r="AB63" i="43"/>
  <c r="AH59" i="43"/>
  <c r="AH52" i="43"/>
  <c r="AH49" i="43"/>
  <c r="AB49" i="43"/>
  <c r="AH46" i="43"/>
  <c r="AB39" i="43"/>
  <c r="AH35" i="43"/>
  <c r="AH12" i="43"/>
  <c r="AH13" i="43" s="1"/>
  <c r="AB12" i="43"/>
  <c r="AB13" i="43" s="1"/>
  <c r="R12" i="43"/>
  <c r="R13" i="43" s="1"/>
  <c r="AH115" i="44"/>
  <c r="AB115" i="44"/>
  <c r="X115" i="44"/>
  <c r="AH107" i="44"/>
  <c r="AB107" i="44"/>
  <c r="AH12" i="44"/>
  <c r="AH13" i="44" s="1"/>
  <c r="AB12" i="44"/>
  <c r="AB13" i="44" s="1"/>
  <c r="R12" i="44"/>
  <c r="X12" i="44" s="1"/>
  <c r="X13" i="44" s="1"/>
  <c r="AB52" i="43" l="1"/>
  <c r="AH70" i="43"/>
  <c r="AH42" i="43"/>
  <c r="AH55" i="43"/>
  <c r="AH82" i="43"/>
  <c r="AH31" i="43"/>
  <c r="AB46" i="43"/>
  <c r="AH98" i="43"/>
  <c r="AB18" i="43"/>
  <c r="AB22" i="43"/>
  <c r="AH39" i="43"/>
  <c r="AB42" i="43"/>
  <c r="AB55" i="43"/>
  <c r="AH63" i="43"/>
  <c r="AB67" i="43"/>
  <c r="AH75" i="43"/>
  <c r="AH79" i="43"/>
  <c r="AB82" i="43"/>
  <c r="AH90" i="43"/>
  <c r="AB94" i="43"/>
  <c r="AH105" i="43"/>
  <c r="AH116" i="43"/>
  <c r="AH162" i="43"/>
  <c r="AH18" i="43"/>
  <c r="AH22" i="43"/>
  <c r="AB27" i="43"/>
  <c r="AB31" i="43"/>
  <c r="AH67" i="43"/>
  <c r="AB70" i="43"/>
  <c r="AH94" i="43"/>
  <c r="AB98" i="43"/>
  <c r="AB109" i="43"/>
  <c r="AB120" i="43"/>
  <c r="AB168" i="43"/>
  <c r="AH27" i="43"/>
  <c r="AB35" i="43"/>
  <c r="AB59" i="43"/>
  <c r="AB86" i="43"/>
  <c r="AB102" i="43"/>
  <c r="AH109" i="43"/>
  <c r="AB113" i="43"/>
  <c r="AH120" i="43"/>
  <c r="AB125" i="43"/>
  <c r="AB132" i="43"/>
  <c r="AH168" i="43"/>
  <c r="R35" i="43"/>
  <c r="R46" i="43"/>
  <c r="R52" i="43"/>
  <c r="R59" i="43"/>
  <c r="R86" i="43"/>
  <c r="R102" i="43"/>
  <c r="R113" i="43"/>
  <c r="R125" i="43"/>
  <c r="R132" i="43"/>
  <c r="R31" i="43"/>
  <c r="R70" i="43"/>
  <c r="R98" i="43"/>
  <c r="R109" i="43"/>
  <c r="R120" i="43"/>
  <c r="R49" i="43"/>
  <c r="R75" i="43"/>
  <c r="R116" i="43"/>
  <c r="R162" i="43"/>
  <c r="R39" i="43"/>
  <c r="R63" i="43"/>
  <c r="R79" i="43"/>
  <c r="R90" i="43"/>
  <c r="R105" i="43"/>
  <c r="R18" i="43"/>
  <c r="R22" i="43"/>
  <c r="R42" i="43"/>
  <c r="R55" i="43"/>
  <c r="R67" i="43"/>
  <c r="R82" i="43"/>
  <c r="R94" i="43"/>
  <c r="X139" i="43"/>
  <c r="R139" i="43"/>
  <c r="R27" i="43"/>
  <c r="R168" i="43"/>
  <c r="AS466" i="43"/>
  <c r="AR466" i="43"/>
  <c r="AK13" i="47" s="1"/>
  <c r="AK23" i="47" s="1"/>
  <c r="AQ131" i="44"/>
  <c r="AP131" i="44"/>
  <c r="AH91" i="44"/>
  <c r="AB105" i="44"/>
  <c r="AH42" i="44"/>
  <c r="AB42" i="44"/>
  <c r="AH95" i="44"/>
  <c r="AH56" i="44"/>
  <c r="AH63" i="44"/>
  <c r="AH70" i="44"/>
  <c r="AH101" i="44"/>
  <c r="AH113" i="44"/>
  <c r="AH130" i="44"/>
  <c r="AH19" i="44"/>
  <c r="AH35" i="44"/>
  <c r="AH28" i="44"/>
  <c r="AH49" i="44"/>
  <c r="AH77" i="44"/>
  <c r="AB113" i="44"/>
  <c r="AB77" i="44"/>
  <c r="AB84" i="44"/>
  <c r="R105" i="44"/>
  <c r="AB28" i="44"/>
  <c r="X28" i="44"/>
  <c r="AB49" i="44"/>
  <c r="AB70" i="44"/>
  <c r="AB35" i="44"/>
  <c r="AB56" i="44"/>
  <c r="X56" i="44"/>
  <c r="AB95" i="44"/>
  <c r="X95" i="44"/>
  <c r="X31" i="43"/>
  <c r="X52" i="43"/>
  <c r="X174" i="43"/>
  <c r="R296" i="43"/>
  <c r="R373" i="43"/>
  <c r="X18" i="43"/>
  <c r="X27" i="43"/>
  <c r="X35" i="43"/>
  <c r="X79" i="43"/>
  <c r="R262" i="43"/>
  <c r="R266" i="43"/>
  <c r="R369" i="43"/>
  <c r="X82" i="43"/>
  <c r="X102" i="43"/>
  <c r="X105" i="43"/>
  <c r="X22" i="43"/>
  <c r="X39" i="43"/>
  <c r="X42" i="43"/>
  <c r="X59" i="43"/>
  <c r="X67" i="43"/>
  <c r="X116" i="43"/>
  <c r="X132" i="43"/>
  <c r="R344" i="43"/>
  <c r="R430" i="43"/>
  <c r="X12" i="43"/>
  <c r="X13" i="43" s="1"/>
  <c r="X98" i="43"/>
  <c r="X70" i="43"/>
  <c r="X86" i="43"/>
  <c r="X109" i="43"/>
  <c r="X113" i="43"/>
  <c r="X168" i="43"/>
  <c r="R335" i="43"/>
  <c r="R276" i="43"/>
  <c r="R283" i="43"/>
  <c r="R328" i="43"/>
  <c r="R350" i="43"/>
  <c r="R357" i="43"/>
  <c r="R375" i="43"/>
  <c r="R392" i="43"/>
  <c r="R410" i="43"/>
  <c r="R451" i="43"/>
  <c r="R272" i="43"/>
  <c r="R298" i="43"/>
  <c r="R312" i="43"/>
  <c r="R362" i="43"/>
  <c r="R382" i="43"/>
  <c r="R388" i="43"/>
  <c r="R399" i="43"/>
  <c r="R406" i="43"/>
  <c r="R437" i="43"/>
  <c r="R465" i="43"/>
  <c r="R288" i="43"/>
  <c r="R305" i="43"/>
  <c r="R316" i="43"/>
  <c r="R322" i="43"/>
  <c r="R324" i="43"/>
  <c r="R332" i="43"/>
  <c r="R416" i="43"/>
  <c r="R423" i="43"/>
  <c r="R444" i="43"/>
  <c r="R458" i="43"/>
  <c r="R461" i="43"/>
  <c r="R130" i="44"/>
  <c r="AB63" i="44"/>
  <c r="X77" i="44"/>
  <c r="AH84" i="44"/>
  <c r="R91" i="44"/>
  <c r="AH105" i="44"/>
  <c r="AH124" i="44"/>
  <c r="AB124" i="44"/>
  <c r="R124" i="44"/>
  <c r="AB130" i="44"/>
  <c r="AB19" i="44"/>
  <c r="AB91" i="44"/>
  <c r="AB101" i="44"/>
  <c r="X63" i="44"/>
  <c r="R63" i="44"/>
  <c r="X35" i="44"/>
  <c r="R35" i="44"/>
  <c r="R13" i="44"/>
  <c r="R28" i="44"/>
  <c r="R42" i="44"/>
  <c r="X42" i="44"/>
  <c r="R56" i="44"/>
  <c r="R70" i="44"/>
  <c r="X70" i="44"/>
  <c r="R84" i="44"/>
  <c r="X84" i="44"/>
  <c r="R95" i="44"/>
  <c r="X105" i="44"/>
  <c r="R113" i="44"/>
  <c r="X113" i="44"/>
  <c r="AC107" i="44"/>
  <c r="R19" i="44"/>
  <c r="X19" i="44"/>
  <c r="R49" i="44"/>
  <c r="X49" i="44"/>
  <c r="R77" i="44"/>
  <c r="R101" i="44"/>
  <c r="X101" i="44"/>
  <c r="R107" i="44"/>
  <c r="X107" i="44"/>
  <c r="R115" i="44"/>
  <c r="AT12" i="43"/>
  <c r="AT13" i="43" s="1"/>
  <c r="AD12" i="44"/>
  <c r="AD13" i="44" s="1"/>
  <c r="AC12" i="44"/>
  <c r="AC13" i="44" s="1"/>
  <c r="AE12" i="44"/>
  <c r="AE13" i="44" s="1"/>
  <c r="AE115" i="44"/>
  <c r="AD115" i="44"/>
  <c r="AE107" i="44"/>
  <c r="AT467" i="43" l="1"/>
  <c r="AE139" i="43"/>
  <c r="AC125" i="43"/>
  <c r="X125" i="43"/>
  <c r="AD49" i="43"/>
  <c r="X49" i="43"/>
  <c r="AD63" i="43"/>
  <c r="X63" i="43"/>
  <c r="AC120" i="43"/>
  <c r="X120" i="43"/>
  <c r="AD162" i="43"/>
  <c r="X162" i="43"/>
  <c r="AC94" i="43"/>
  <c r="X94" i="43"/>
  <c r="AC90" i="43"/>
  <c r="X90" i="43"/>
  <c r="AC46" i="43"/>
  <c r="X46" i="43"/>
  <c r="AD55" i="43"/>
  <c r="X55" i="43"/>
  <c r="AC75" i="43"/>
  <c r="X75" i="43"/>
  <c r="AD116" i="43"/>
  <c r="AE162" i="43"/>
  <c r="AE49" i="43"/>
  <c r="AI19" i="44"/>
  <c r="AC139" i="43"/>
  <c r="AD139" i="43"/>
  <c r="AC49" i="43"/>
  <c r="AR131" i="44"/>
  <c r="AS131" i="44"/>
  <c r="AE102" i="43"/>
  <c r="AC102" i="43"/>
  <c r="AE35" i="43"/>
  <c r="AD22" i="43"/>
  <c r="AE39" i="43"/>
  <c r="AD91" i="44"/>
  <c r="AD35" i="44"/>
  <c r="AE35" i="44"/>
  <c r="AC18" i="43"/>
  <c r="AD67" i="43"/>
  <c r="AD174" i="43"/>
  <c r="AC22" i="43"/>
  <c r="AE174" i="43"/>
  <c r="AC39" i="43"/>
  <c r="AE67" i="43"/>
  <c r="AC113" i="43"/>
  <c r="AD113" i="43"/>
  <c r="AD31" i="43"/>
  <c r="AC116" i="43"/>
  <c r="AE116" i="43"/>
  <c r="AE113" i="43"/>
  <c r="AC31" i="43"/>
  <c r="AD39" i="43"/>
  <c r="AD52" i="43"/>
  <c r="AD125" i="43"/>
  <c r="AE31" i="43"/>
  <c r="AC67" i="43"/>
  <c r="AE22" i="43"/>
  <c r="AD79" i="43"/>
  <c r="AD120" i="43"/>
  <c r="AC124" i="44"/>
  <c r="AE77" i="44"/>
  <c r="AE19" i="44"/>
  <c r="AD124" i="44"/>
  <c r="AE95" i="44"/>
  <c r="AE101" i="44"/>
  <c r="AD63" i="44"/>
  <c r="AC91" i="44"/>
  <c r="AE70" i="44"/>
  <c r="AE42" i="44"/>
  <c r="AD70" i="44"/>
  <c r="AD42" i="44"/>
  <c r="AC113" i="44"/>
  <c r="AE56" i="44"/>
  <c r="AE98" i="43"/>
  <c r="AC98" i="43"/>
  <c r="AC55" i="43"/>
  <c r="AE79" i="43"/>
  <c r="AC82" i="43"/>
  <c r="AC79" i="43"/>
  <c r="AD98" i="43"/>
  <c r="AC132" i="43"/>
  <c r="AC12" i="43"/>
  <c r="AC13" i="43" s="1"/>
  <c r="AE70" i="43"/>
  <c r="AC35" i="43"/>
  <c r="AE132" i="43"/>
  <c r="AC70" i="43"/>
  <c r="AD102" i="43"/>
  <c r="AC52" i="43"/>
  <c r="AE52" i="43"/>
  <c r="AC59" i="43"/>
  <c r="AD132" i="43"/>
  <c r="AD12" i="43"/>
  <c r="AD13" i="43" s="1"/>
  <c r="AD59" i="43"/>
  <c r="AD109" i="43"/>
  <c r="AE12" i="43"/>
  <c r="AE13" i="43" s="1"/>
  <c r="AE59" i="43"/>
  <c r="AD70" i="43"/>
  <c r="AD35" i="43"/>
  <c r="AE63" i="43"/>
  <c r="AC63" i="43"/>
  <c r="AE105" i="43"/>
  <c r="AD105" i="43"/>
  <c r="AE27" i="43"/>
  <c r="AD27" i="43"/>
  <c r="AC109" i="43"/>
  <c r="AC86" i="43"/>
  <c r="AE109" i="43"/>
  <c r="AE168" i="43"/>
  <c r="AD42" i="43"/>
  <c r="AD86" i="43"/>
  <c r="AE90" i="43"/>
  <c r="AD90" i="43"/>
  <c r="AE46" i="43"/>
  <c r="AD46" i="43"/>
  <c r="AE120" i="43"/>
  <c r="AE94" i="43"/>
  <c r="AD94" i="43"/>
  <c r="AC168" i="43"/>
  <c r="AD18" i="43"/>
  <c r="AD168" i="43"/>
  <c r="AE42" i="43"/>
  <c r="AD82" i="43"/>
  <c r="AE86" i="43"/>
  <c r="AE125" i="43"/>
  <c r="AC105" i="43"/>
  <c r="AC27" i="43"/>
  <c r="AE18" i="43"/>
  <c r="AC42" i="43"/>
  <c r="AE82" i="43"/>
  <c r="AE55" i="43"/>
  <c r="AE75" i="43"/>
  <c r="AD75" i="43"/>
  <c r="AD95" i="44"/>
  <c r="AC84" i="44"/>
  <c r="AC115" i="44"/>
  <c r="AD113" i="44"/>
  <c r="AD49" i="44"/>
  <c r="AD19" i="44"/>
  <c r="AE63" i="44"/>
  <c r="AD77" i="44"/>
  <c r="AC49" i="44"/>
  <c r="AC130" i="44"/>
  <c r="AC95" i="44"/>
  <c r="AD130" i="44"/>
  <c r="AD107" i="44"/>
  <c r="AC101" i="44"/>
  <c r="AC105" i="44"/>
  <c r="AD56" i="44"/>
  <c r="AE49" i="44"/>
  <c r="AD84" i="44"/>
  <c r="AC56" i="44"/>
  <c r="AC19" i="44"/>
  <c r="AC28" i="44"/>
  <c r="AC77" i="44"/>
  <c r="X124" i="44"/>
  <c r="AE91" i="44"/>
  <c r="X91" i="44"/>
  <c r="AE130" i="44"/>
  <c r="X130" i="44"/>
  <c r="AE105" i="44"/>
  <c r="AD28" i="44"/>
  <c r="AD101" i="44"/>
  <c r="AE124" i="44"/>
  <c r="AD105" i="44"/>
  <c r="AC70" i="44"/>
  <c r="AE84" i="44"/>
  <c r="AC42" i="44"/>
  <c r="AE113" i="44"/>
  <c r="AC63" i="44"/>
  <c r="AE28" i="44"/>
  <c r="AC35" i="44"/>
  <c r="AI12" i="44"/>
  <c r="AI13" i="44" s="1"/>
  <c r="AI174" i="43" l="1"/>
  <c r="AC174" i="43"/>
  <c r="AI162" i="43"/>
  <c r="AC162" i="43"/>
  <c r="AI86" i="43"/>
  <c r="AI35" i="43"/>
  <c r="AI55" i="43"/>
  <c r="AI22" i="43"/>
  <c r="AI49" i="43"/>
  <c r="AI105" i="43"/>
  <c r="AI109" i="43"/>
  <c r="AI63" i="43"/>
  <c r="AI116" i="43"/>
  <c r="AI94" i="43"/>
  <c r="AI42" i="43"/>
  <c r="AI27" i="43"/>
  <c r="AI168" i="43"/>
  <c r="AI82" i="43"/>
  <c r="AI98" i="43"/>
  <c r="AI31" i="43"/>
  <c r="AI39" i="43"/>
  <c r="AI46" i="43"/>
  <c r="AI120" i="43"/>
  <c r="AI125" i="43"/>
  <c r="AI90" i="43"/>
  <c r="AI70" i="43"/>
  <c r="AI59" i="43"/>
  <c r="AI52" i="43"/>
  <c r="AI132" i="43"/>
  <c r="AI79" i="43"/>
  <c r="AI67" i="43"/>
  <c r="AI113" i="43"/>
  <c r="AI18" i="43"/>
  <c r="AI102" i="43"/>
  <c r="AI139" i="43"/>
  <c r="AI75" i="43"/>
  <c r="AT131" i="44"/>
  <c r="AI12" i="43"/>
  <c r="AI13" i="43" s="1"/>
  <c r="AM135" i="44" l="1"/>
  <c r="AN135" i="44"/>
  <c r="AM136" i="44"/>
  <c r="AN136" i="44"/>
  <c r="AM137" i="44"/>
  <c r="AN137" i="44"/>
  <c r="AM138" i="44"/>
  <c r="AN138" i="44"/>
  <c r="AM139" i="44"/>
  <c r="AN139" i="44"/>
  <c r="AM140" i="44"/>
  <c r="AN140" i="44"/>
  <c r="AM141" i="44"/>
  <c r="AN141" i="44"/>
  <c r="AM142" i="44"/>
  <c r="AN142" i="44"/>
  <c r="AM143" i="44"/>
  <c r="AN143" i="44"/>
  <c r="AM144" i="44"/>
  <c r="AN144" i="44"/>
  <c r="AM470" i="43"/>
  <c r="AF27" i="47" s="1"/>
  <c r="AN470" i="43"/>
  <c r="AM471" i="43"/>
  <c r="AF28" i="47" s="1"/>
  <c r="AN471" i="43"/>
  <c r="AM472" i="43"/>
  <c r="AF29" i="47" s="1"/>
  <c r="AN472" i="43"/>
  <c r="AM473" i="43"/>
  <c r="AF30" i="47" s="1"/>
  <c r="AN473" i="43"/>
  <c r="AM474" i="43"/>
  <c r="AF31" i="47" s="1"/>
  <c r="AN474" i="43"/>
  <c r="AM475" i="43"/>
  <c r="AF32" i="47" s="1"/>
  <c r="AN475" i="43"/>
  <c r="AM476" i="43"/>
  <c r="AF33" i="47" s="1"/>
  <c r="AN476" i="43"/>
  <c r="AM477" i="43"/>
  <c r="AF34" i="47" s="1"/>
  <c r="AN477" i="43"/>
  <c r="AM478" i="43"/>
  <c r="AF35" i="47" s="1"/>
  <c r="AN478" i="43"/>
  <c r="AM479" i="43"/>
  <c r="AF36" i="47" s="1"/>
  <c r="AN479" i="43"/>
  <c r="AM466" i="43" l="1"/>
  <c r="AF13" i="47" s="1"/>
  <c r="AF23" i="47" s="1"/>
  <c r="AN469" i="43"/>
  <c r="AN466" i="43"/>
  <c r="AM469" i="43"/>
  <c r="AM131" i="44"/>
  <c r="AN134" i="44"/>
  <c r="AS133" i="44" s="1"/>
  <c r="AN131" i="44"/>
  <c r="AM134" i="44"/>
  <c r="K135" i="44"/>
  <c r="K136" i="44"/>
  <c r="K137" i="44"/>
  <c r="K138" i="44"/>
  <c r="K139" i="44"/>
  <c r="K140" i="44"/>
  <c r="K141" i="44"/>
  <c r="K142" i="44"/>
  <c r="K143" i="44"/>
  <c r="K144" i="44"/>
  <c r="K131" i="44"/>
  <c r="AS132" i="44" l="1"/>
  <c r="AG26" i="47"/>
  <c r="AF26" i="47"/>
  <c r="K134" i="44"/>
  <c r="K470" i="43"/>
  <c r="K471" i="43"/>
  <c r="K472" i="43"/>
  <c r="K473" i="43"/>
  <c r="K474" i="43"/>
  <c r="K475" i="43"/>
  <c r="K476" i="43"/>
  <c r="K477" i="43"/>
  <c r="K478" i="43"/>
  <c r="K479" i="43"/>
  <c r="K466" i="43"/>
  <c r="Y135" i="44"/>
  <c r="Y136" i="44"/>
  <c r="Y137" i="44"/>
  <c r="Y138" i="44"/>
  <c r="Y139" i="44"/>
  <c r="Y140" i="44"/>
  <c r="Y141" i="44"/>
  <c r="Y142" i="44"/>
  <c r="Y143" i="44"/>
  <c r="Y144" i="44"/>
  <c r="K469" i="43" l="1"/>
  <c r="D26" i="47"/>
  <c r="Y466" i="43"/>
  <c r="Y131" i="44"/>
  <c r="Y134" i="44"/>
  <c r="R132" i="44" l="1"/>
  <c r="R467" i="43"/>
  <c r="R466" i="43"/>
  <c r="Y467" i="43" l="1"/>
  <c r="S131" i="44"/>
  <c r="BC92" i="43" l="1"/>
  <c r="BB92" i="43"/>
  <c r="AZ92" i="43"/>
  <c r="AW92" i="43"/>
  <c r="AV92" i="43"/>
  <c r="AY92" i="43" l="1"/>
  <c r="AX92" i="43"/>
  <c r="BA92" i="43"/>
  <c r="AU92" i="43" l="1"/>
  <c r="J466" i="43" l="1"/>
  <c r="BB208" i="43" l="1"/>
  <c r="BC208" i="43"/>
  <c r="BB202" i="43"/>
  <c r="BC202" i="43"/>
  <c r="BB196" i="43"/>
  <c r="BC196" i="43"/>
  <c r="BC29" i="43" l="1"/>
  <c r="BB29" i="43"/>
  <c r="AZ29" i="43"/>
  <c r="AW29" i="43"/>
  <c r="AV29" i="43"/>
  <c r="AY29" i="43" l="1"/>
  <c r="AX29" i="43"/>
  <c r="BA29" i="43"/>
  <c r="J135" i="44"/>
  <c r="N135" i="44"/>
  <c r="P135" i="44"/>
  <c r="Q135" i="44"/>
  <c r="S135" i="44"/>
  <c r="V135" i="44"/>
  <c r="W135" i="44"/>
  <c r="Z135" i="44"/>
  <c r="AA135" i="44"/>
  <c r="AF135" i="44"/>
  <c r="AG135" i="44"/>
  <c r="AJ135" i="44"/>
  <c r="AK135" i="44"/>
  <c r="AL135" i="44"/>
  <c r="J136" i="44"/>
  <c r="N136" i="44"/>
  <c r="P136" i="44"/>
  <c r="Q136" i="44"/>
  <c r="S136" i="44"/>
  <c r="V136" i="44"/>
  <c r="W136" i="44"/>
  <c r="Z136" i="44"/>
  <c r="AA136" i="44"/>
  <c r="AF136" i="44"/>
  <c r="AG136" i="44"/>
  <c r="AJ136" i="44"/>
  <c r="AK136" i="44"/>
  <c r="AL136" i="44"/>
  <c r="J137" i="44"/>
  <c r="N137" i="44"/>
  <c r="P137" i="44"/>
  <c r="Q137" i="44"/>
  <c r="S137" i="44"/>
  <c r="V137" i="44"/>
  <c r="W137" i="44"/>
  <c r="Z137" i="44"/>
  <c r="AA137" i="44"/>
  <c r="AF137" i="44"/>
  <c r="AG137" i="44"/>
  <c r="AJ137" i="44"/>
  <c r="AK137" i="44"/>
  <c r="AL137" i="44"/>
  <c r="J138" i="44"/>
  <c r="N138" i="44"/>
  <c r="P138" i="44"/>
  <c r="Q138" i="44"/>
  <c r="S138" i="44"/>
  <c r="V138" i="44"/>
  <c r="W138" i="44"/>
  <c r="Z138" i="44"/>
  <c r="AA138" i="44"/>
  <c r="AF138" i="44"/>
  <c r="AG138" i="44"/>
  <c r="AJ138" i="44"/>
  <c r="AK138" i="44"/>
  <c r="AL138" i="44"/>
  <c r="I139" i="44"/>
  <c r="J139" i="44"/>
  <c r="L139" i="44"/>
  <c r="M139" i="44"/>
  <c r="N139" i="44"/>
  <c r="O139" i="44"/>
  <c r="P139" i="44"/>
  <c r="Q139" i="44"/>
  <c r="R139" i="44"/>
  <c r="S139" i="44"/>
  <c r="V139" i="44"/>
  <c r="W139" i="44"/>
  <c r="X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U139" i="44"/>
  <c r="AV139" i="44"/>
  <c r="AW139" i="44"/>
  <c r="AX139" i="44"/>
  <c r="AY139" i="44"/>
  <c r="AZ139" i="44"/>
  <c r="BA139" i="44"/>
  <c r="BB139" i="44"/>
  <c r="BC139" i="44"/>
  <c r="I140" i="44"/>
  <c r="J140" i="44"/>
  <c r="L140" i="44"/>
  <c r="M140" i="44"/>
  <c r="N140" i="44"/>
  <c r="O140" i="44"/>
  <c r="P140" i="44"/>
  <c r="Q140" i="44"/>
  <c r="R140" i="44"/>
  <c r="S140" i="44"/>
  <c r="V140" i="44"/>
  <c r="W140" i="44"/>
  <c r="X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U140" i="44"/>
  <c r="AV140" i="44"/>
  <c r="AW140" i="44"/>
  <c r="AX140" i="44"/>
  <c r="AY140" i="44"/>
  <c r="AZ140" i="44"/>
  <c r="BA140" i="44"/>
  <c r="BB140" i="44"/>
  <c r="BC140" i="44"/>
  <c r="J141" i="44"/>
  <c r="N141" i="44"/>
  <c r="P141" i="44"/>
  <c r="Q141" i="44"/>
  <c r="S141" i="44"/>
  <c r="V141" i="44"/>
  <c r="W141" i="44"/>
  <c r="Z141" i="44"/>
  <c r="AA141" i="44"/>
  <c r="AF141" i="44"/>
  <c r="AG141" i="44"/>
  <c r="AJ141" i="44"/>
  <c r="AK141" i="44"/>
  <c r="AL141" i="44"/>
  <c r="J142" i="44"/>
  <c r="N142" i="44"/>
  <c r="P142" i="44"/>
  <c r="Q142" i="44"/>
  <c r="S142" i="44"/>
  <c r="V142" i="44"/>
  <c r="W142" i="44"/>
  <c r="Z142" i="44"/>
  <c r="AA142" i="44"/>
  <c r="AF142" i="44"/>
  <c r="AG142" i="44"/>
  <c r="AJ142" i="44"/>
  <c r="AK142" i="44"/>
  <c r="AL142" i="44"/>
  <c r="J143" i="44"/>
  <c r="N143" i="44"/>
  <c r="P143" i="44"/>
  <c r="Q143" i="44"/>
  <c r="S143" i="44"/>
  <c r="V143" i="44"/>
  <c r="W143" i="44"/>
  <c r="Z143" i="44"/>
  <c r="AA143" i="44"/>
  <c r="AF143" i="44"/>
  <c r="AG143" i="44"/>
  <c r="AJ143" i="44"/>
  <c r="AK143" i="44"/>
  <c r="AL143" i="44"/>
  <c r="J144" i="44"/>
  <c r="N144" i="44"/>
  <c r="P144" i="44"/>
  <c r="Q144" i="44"/>
  <c r="S144" i="44"/>
  <c r="V144" i="44"/>
  <c r="W144" i="44"/>
  <c r="Z144" i="44"/>
  <c r="AA144" i="44"/>
  <c r="AF144" i="44"/>
  <c r="AG144" i="44"/>
  <c r="AJ144" i="44"/>
  <c r="AK144" i="44"/>
  <c r="AL144" i="44"/>
  <c r="J470" i="43"/>
  <c r="N470" i="43"/>
  <c r="P470" i="43"/>
  <c r="Q470" i="43"/>
  <c r="V470" i="43"/>
  <c r="W470" i="43"/>
  <c r="Y470" i="43"/>
  <c r="Z470" i="43"/>
  <c r="AA470" i="43"/>
  <c r="AF470" i="43"/>
  <c r="AG470" i="43"/>
  <c r="AJ470" i="43"/>
  <c r="AK470" i="43"/>
  <c r="AL470" i="43"/>
  <c r="AP470" i="43"/>
  <c r="AQ470" i="43"/>
  <c r="J471" i="43"/>
  <c r="N471" i="43"/>
  <c r="P471" i="43"/>
  <c r="Q471" i="43"/>
  <c r="V471" i="43"/>
  <c r="W471" i="43"/>
  <c r="Y471" i="43"/>
  <c r="Z471" i="43"/>
  <c r="AA471" i="43"/>
  <c r="AF471" i="43"/>
  <c r="AG471" i="43"/>
  <c r="AJ471" i="43"/>
  <c r="AK471" i="43"/>
  <c r="AL471" i="43"/>
  <c r="AP471" i="43"/>
  <c r="AQ471" i="43"/>
  <c r="J472" i="43"/>
  <c r="N472" i="43"/>
  <c r="P472" i="43"/>
  <c r="Q472" i="43"/>
  <c r="V472" i="43"/>
  <c r="W472" i="43"/>
  <c r="Y472" i="43"/>
  <c r="Z472" i="43"/>
  <c r="AA472" i="43"/>
  <c r="AF472" i="43"/>
  <c r="AG472" i="43"/>
  <c r="AJ472" i="43"/>
  <c r="AK472" i="43"/>
  <c r="AL472" i="43"/>
  <c r="AP472" i="43"/>
  <c r="AQ472" i="43"/>
  <c r="J473" i="43"/>
  <c r="N473" i="43"/>
  <c r="P473" i="43"/>
  <c r="Q473" i="43"/>
  <c r="V473" i="43"/>
  <c r="W473" i="43"/>
  <c r="Y473" i="43"/>
  <c r="Z473" i="43"/>
  <c r="AA473" i="43"/>
  <c r="AF473" i="43"/>
  <c r="AG473" i="43"/>
  <c r="AJ473" i="43"/>
  <c r="AK473" i="43"/>
  <c r="AL473" i="43"/>
  <c r="AP473" i="43"/>
  <c r="AQ473" i="43"/>
  <c r="I474" i="43"/>
  <c r="J474" i="43"/>
  <c r="L474" i="43"/>
  <c r="M474" i="43"/>
  <c r="N474" i="43"/>
  <c r="O474" i="43"/>
  <c r="P474" i="43"/>
  <c r="Q474" i="43"/>
  <c r="R474" i="43"/>
  <c r="V474" i="43"/>
  <c r="W474" i="43"/>
  <c r="X474" i="43"/>
  <c r="Q31" i="47" s="1"/>
  <c r="Y474" i="43"/>
  <c r="Z474" i="43"/>
  <c r="AA474" i="43"/>
  <c r="AB474" i="43"/>
  <c r="AC474" i="43"/>
  <c r="V31" i="47" s="1"/>
  <c r="AD474" i="43"/>
  <c r="W31" i="47" s="1"/>
  <c r="AE474" i="43"/>
  <c r="X31" i="47" s="1"/>
  <c r="AF474" i="43"/>
  <c r="AG474" i="43"/>
  <c r="AH474" i="43"/>
  <c r="AI474" i="43"/>
  <c r="AB31" i="47" s="1"/>
  <c r="AJ474" i="43"/>
  <c r="AK474" i="43"/>
  <c r="AL474" i="43"/>
  <c r="AP474" i="43"/>
  <c r="AQ474" i="43"/>
  <c r="AT474" i="43"/>
  <c r="AM31" i="47" s="1"/>
  <c r="AU474" i="43"/>
  <c r="AN31" i="47" s="1"/>
  <c r="AV474" i="43"/>
  <c r="AO31" i="47" s="1"/>
  <c r="AW474" i="43"/>
  <c r="AX474" i="43"/>
  <c r="AQ31" i="47" s="1"/>
  <c r="AY474" i="43"/>
  <c r="AR31" i="47" s="1"/>
  <c r="AZ474" i="43"/>
  <c r="BA474" i="43"/>
  <c r="AT31" i="47" s="1"/>
  <c r="BB474" i="43"/>
  <c r="AU31" i="47" s="1"/>
  <c r="BC474" i="43"/>
  <c r="I475" i="43"/>
  <c r="J475" i="43"/>
  <c r="L475" i="43"/>
  <c r="M475" i="43"/>
  <c r="N475" i="43"/>
  <c r="O475" i="43"/>
  <c r="P475" i="43"/>
  <c r="Q475" i="43"/>
  <c r="R475" i="43"/>
  <c r="V475" i="43"/>
  <c r="W475" i="43"/>
  <c r="X475" i="43"/>
  <c r="Q32" i="47" s="1"/>
  <c r="Y475" i="43"/>
  <c r="Z475" i="43"/>
  <c r="AA475" i="43"/>
  <c r="AB475" i="43"/>
  <c r="AC475" i="43"/>
  <c r="V32" i="47" s="1"/>
  <c r="AD475" i="43"/>
  <c r="W32" i="47" s="1"/>
  <c r="AE475" i="43"/>
  <c r="X32" i="47" s="1"/>
  <c r="AF475" i="43"/>
  <c r="AG475" i="43"/>
  <c r="AH475" i="43"/>
  <c r="AI475" i="43"/>
  <c r="AB32" i="47" s="1"/>
  <c r="AJ475" i="43"/>
  <c r="AK475" i="43"/>
  <c r="AL475" i="43"/>
  <c r="AP475" i="43"/>
  <c r="AQ475" i="43"/>
  <c r="AT475" i="43"/>
  <c r="AM32" i="47" s="1"/>
  <c r="AU475" i="43"/>
  <c r="AN32" i="47" s="1"/>
  <c r="AV475" i="43"/>
  <c r="AO32" i="47" s="1"/>
  <c r="AW475" i="43"/>
  <c r="AX475" i="43"/>
  <c r="AQ32" i="47" s="1"/>
  <c r="AY475" i="43"/>
  <c r="AR32" i="47" s="1"/>
  <c r="AZ475" i="43"/>
  <c r="BA475" i="43"/>
  <c r="AT32" i="47" s="1"/>
  <c r="BB475" i="43"/>
  <c r="AU32" i="47" s="1"/>
  <c r="BC475" i="43"/>
  <c r="J476" i="43"/>
  <c r="N476" i="43"/>
  <c r="P476" i="43"/>
  <c r="Q476" i="43"/>
  <c r="V476" i="43"/>
  <c r="W476" i="43"/>
  <c r="Y476" i="43"/>
  <c r="Z476" i="43"/>
  <c r="AA476" i="43"/>
  <c r="AF476" i="43"/>
  <c r="AG476" i="43"/>
  <c r="AJ476" i="43"/>
  <c r="AK476" i="43"/>
  <c r="AL476" i="43"/>
  <c r="AP476" i="43"/>
  <c r="AQ476" i="43"/>
  <c r="J477" i="43"/>
  <c r="N477" i="43"/>
  <c r="P477" i="43"/>
  <c r="Q477" i="43"/>
  <c r="V477" i="43"/>
  <c r="W477" i="43"/>
  <c r="Y477" i="43"/>
  <c r="Z477" i="43"/>
  <c r="AA477" i="43"/>
  <c r="AF477" i="43"/>
  <c r="AG477" i="43"/>
  <c r="AJ477" i="43"/>
  <c r="AK477" i="43"/>
  <c r="AL477" i="43"/>
  <c r="AP477" i="43"/>
  <c r="AQ477" i="43"/>
  <c r="J478" i="43"/>
  <c r="N478" i="43"/>
  <c r="P478" i="43"/>
  <c r="Q478" i="43"/>
  <c r="V478" i="43"/>
  <c r="W478" i="43"/>
  <c r="Y478" i="43"/>
  <c r="Z478" i="43"/>
  <c r="AA478" i="43"/>
  <c r="AF478" i="43"/>
  <c r="AG478" i="43"/>
  <c r="AJ478" i="43"/>
  <c r="AK478" i="43"/>
  <c r="AL478" i="43"/>
  <c r="AP478" i="43"/>
  <c r="AQ478" i="43"/>
  <c r="J479" i="43"/>
  <c r="N479" i="43"/>
  <c r="P479" i="43"/>
  <c r="Q479" i="43"/>
  <c r="V479" i="43"/>
  <c r="W479" i="43"/>
  <c r="Y479" i="43"/>
  <c r="Z479" i="43"/>
  <c r="AA479" i="43"/>
  <c r="AF479" i="43"/>
  <c r="AG479" i="43"/>
  <c r="AJ479" i="43"/>
  <c r="AK479" i="43"/>
  <c r="AL479" i="43"/>
  <c r="AP479" i="43"/>
  <c r="AQ479" i="43"/>
  <c r="BC129" i="44"/>
  <c r="BB129" i="44"/>
  <c r="AZ129" i="44"/>
  <c r="AW129" i="44"/>
  <c r="AV129" i="44"/>
  <c r="BC128" i="44"/>
  <c r="BB128" i="44"/>
  <c r="AZ128" i="44"/>
  <c r="AW128" i="44"/>
  <c r="AV128" i="44"/>
  <c r="BC127" i="44"/>
  <c r="BB127" i="44"/>
  <c r="AZ127" i="44"/>
  <c r="AW127" i="44"/>
  <c r="AV127" i="44"/>
  <c r="BC126" i="44"/>
  <c r="BB126" i="44"/>
  <c r="AZ126" i="44"/>
  <c r="AW126" i="44"/>
  <c r="AV126" i="44"/>
  <c r="BC125" i="44"/>
  <c r="BB125" i="44"/>
  <c r="AZ125" i="44"/>
  <c r="AW125" i="44"/>
  <c r="BC123" i="44"/>
  <c r="BB123" i="44"/>
  <c r="AZ123" i="44"/>
  <c r="AW123" i="44"/>
  <c r="AV123" i="44"/>
  <c r="BC122" i="44"/>
  <c r="BB122" i="44"/>
  <c r="AZ122" i="44"/>
  <c r="AW122" i="44"/>
  <c r="AV122" i="44"/>
  <c r="BC121" i="44"/>
  <c r="BB121" i="44"/>
  <c r="AZ121" i="44"/>
  <c r="AW121" i="44"/>
  <c r="AV121" i="44"/>
  <c r="BC120" i="44"/>
  <c r="BB120" i="44"/>
  <c r="AZ120" i="44"/>
  <c r="AW120" i="44"/>
  <c r="AV120" i="44"/>
  <c r="BC119" i="44"/>
  <c r="BB119" i="44"/>
  <c r="AZ119" i="44"/>
  <c r="AW119" i="44"/>
  <c r="AV119" i="44"/>
  <c r="BC118" i="44"/>
  <c r="BB118" i="44"/>
  <c r="AZ118" i="44"/>
  <c r="AW118" i="44"/>
  <c r="AV118" i="44"/>
  <c r="BC117" i="44"/>
  <c r="BB117" i="44"/>
  <c r="AZ117" i="44"/>
  <c r="AW117" i="44"/>
  <c r="AV117" i="44"/>
  <c r="BC116" i="44"/>
  <c r="BB116" i="44"/>
  <c r="AZ116" i="44"/>
  <c r="AW116" i="44"/>
  <c r="BC114" i="44"/>
  <c r="BC115" i="44" s="1"/>
  <c r="BB114" i="44"/>
  <c r="BB115" i="44" s="1"/>
  <c r="AZ114" i="44"/>
  <c r="AZ115" i="44" s="1"/>
  <c r="BC112" i="44"/>
  <c r="BB112" i="44"/>
  <c r="AZ112" i="44"/>
  <c r="AW112" i="44"/>
  <c r="AV112" i="44"/>
  <c r="BC111" i="44"/>
  <c r="BB111" i="44"/>
  <c r="AZ111" i="44"/>
  <c r="AW111" i="44"/>
  <c r="AV111" i="44"/>
  <c r="BC110" i="44"/>
  <c r="BB110" i="44"/>
  <c r="AZ110" i="44"/>
  <c r="AW110" i="44"/>
  <c r="AV110" i="44"/>
  <c r="BC109" i="44"/>
  <c r="BB109" i="44"/>
  <c r="AZ109" i="44"/>
  <c r="AW109" i="44"/>
  <c r="AV109" i="44"/>
  <c r="BC108" i="44"/>
  <c r="BB108" i="44"/>
  <c r="AZ108" i="44"/>
  <c r="AW108" i="44"/>
  <c r="AV108" i="44"/>
  <c r="BC106" i="44"/>
  <c r="BC107" i="44" s="1"/>
  <c r="BB106" i="44"/>
  <c r="BB107" i="44" s="1"/>
  <c r="AZ106" i="44"/>
  <c r="AZ107" i="44" s="1"/>
  <c r="BC104" i="44"/>
  <c r="BB104" i="44"/>
  <c r="AZ104" i="44"/>
  <c r="AW104" i="44"/>
  <c r="AV104" i="44"/>
  <c r="BC103" i="44"/>
  <c r="BB103" i="44"/>
  <c r="AZ103" i="44"/>
  <c r="AW103" i="44"/>
  <c r="AV103" i="44"/>
  <c r="BC102" i="44"/>
  <c r="BB102" i="44"/>
  <c r="AZ102" i="44"/>
  <c r="AW102" i="44"/>
  <c r="BC100" i="44"/>
  <c r="BB100" i="44"/>
  <c r="AZ100" i="44"/>
  <c r="AW100" i="44"/>
  <c r="AV100" i="44"/>
  <c r="BC99" i="44"/>
  <c r="BB99" i="44"/>
  <c r="AZ99" i="44"/>
  <c r="AW99" i="44"/>
  <c r="AV99" i="44"/>
  <c r="BC98" i="44"/>
  <c r="BB98" i="44"/>
  <c r="AZ98" i="44"/>
  <c r="AW98" i="44"/>
  <c r="AV98" i="44"/>
  <c r="BC97" i="44"/>
  <c r="BB97" i="44"/>
  <c r="AZ97" i="44"/>
  <c r="AW97" i="44"/>
  <c r="AV97" i="44"/>
  <c r="BC96" i="44"/>
  <c r="BB96" i="44"/>
  <c r="AZ96" i="44"/>
  <c r="AW96" i="44"/>
  <c r="BC94" i="44"/>
  <c r="BB94" i="44"/>
  <c r="AZ94" i="44"/>
  <c r="AW94" i="44"/>
  <c r="AV94" i="44"/>
  <c r="BC93" i="44"/>
  <c r="BB93" i="44"/>
  <c r="AZ93" i="44"/>
  <c r="AW93" i="44"/>
  <c r="AV93" i="44"/>
  <c r="BC92" i="44"/>
  <c r="BB92" i="44"/>
  <c r="AZ92" i="44"/>
  <c r="AW92" i="44"/>
  <c r="AV92" i="44"/>
  <c r="BC90" i="44"/>
  <c r="BB90" i="44"/>
  <c r="AZ90" i="44"/>
  <c r="AW90" i="44"/>
  <c r="AV90" i="44"/>
  <c r="BC89" i="44"/>
  <c r="BB89" i="44"/>
  <c r="AZ89" i="44"/>
  <c r="AW89" i="44"/>
  <c r="AV89" i="44"/>
  <c r="BC88" i="44"/>
  <c r="BB88" i="44"/>
  <c r="AZ88" i="44"/>
  <c r="AW88" i="44"/>
  <c r="AV88" i="44"/>
  <c r="BC87" i="44"/>
  <c r="BB87" i="44"/>
  <c r="AZ87" i="44"/>
  <c r="AW87" i="44"/>
  <c r="AV87" i="44"/>
  <c r="BC86" i="44"/>
  <c r="BB86" i="44"/>
  <c r="AZ86" i="44"/>
  <c r="AW86" i="44"/>
  <c r="AV86" i="44"/>
  <c r="BC85" i="44"/>
  <c r="BB85" i="44"/>
  <c r="AZ85" i="44"/>
  <c r="AW85" i="44"/>
  <c r="BC83" i="44"/>
  <c r="BB83" i="44"/>
  <c r="AZ83" i="44"/>
  <c r="AW83" i="44"/>
  <c r="AV83" i="44"/>
  <c r="BC82" i="44"/>
  <c r="BB82" i="44"/>
  <c r="AZ82" i="44"/>
  <c r="AW82" i="44"/>
  <c r="AV82" i="44"/>
  <c r="BC81" i="44"/>
  <c r="BB81" i="44"/>
  <c r="AZ81" i="44"/>
  <c r="AW81" i="44"/>
  <c r="AV81" i="44"/>
  <c r="BC80" i="44"/>
  <c r="BB80" i="44"/>
  <c r="AZ80" i="44"/>
  <c r="AW80" i="44"/>
  <c r="AV80" i="44"/>
  <c r="BC79" i="44"/>
  <c r="BB79" i="44"/>
  <c r="AZ79" i="44"/>
  <c r="AW79" i="44"/>
  <c r="AV79" i="44"/>
  <c r="BC78" i="44"/>
  <c r="BB78" i="44"/>
  <c r="AZ78" i="44"/>
  <c r="AW78" i="44"/>
  <c r="BC76" i="44"/>
  <c r="BB76" i="44"/>
  <c r="AZ76" i="44"/>
  <c r="AW76" i="44"/>
  <c r="AV76" i="44"/>
  <c r="BC75" i="44"/>
  <c r="BB75" i="44"/>
  <c r="AZ75" i="44"/>
  <c r="AW75" i="44"/>
  <c r="AV75" i="44"/>
  <c r="BC74" i="44"/>
  <c r="BB74" i="44"/>
  <c r="AZ74" i="44"/>
  <c r="AW74" i="44"/>
  <c r="AV74" i="44"/>
  <c r="BC73" i="44"/>
  <c r="BB73" i="44"/>
  <c r="AZ73" i="44"/>
  <c r="AW73" i="44"/>
  <c r="AV73" i="44"/>
  <c r="BC72" i="44"/>
  <c r="BB72" i="44"/>
  <c r="AZ72" i="44"/>
  <c r="AW72" i="44"/>
  <c r="AV72" i="44"/>
  <c r="BC71" i="44"/>
  <c r="BB71" i="44"/>
  <c r="AZ71" i="44"/>
  <c r="AW71" i="44"/>
  <c r="BC69" i="44"/>
  <c r="BB69" i="44"/>
  <c r="AZ69" i="44"/>
  <c r="AW69" i="44"/>
  <c r="AV69" i="44"/>
  <c r="BC68" i="44"/>
  <c r="BB68" i="44"/>
  <c r="AZ68" i="44"/>
  <c r="AW68" i="44"/>
  <c r="AV68" i="44"/>
  <c r="BC67" i="44"/>
  <c r="BB67" i="44"/>
  <c r="AZ67" i="44"/>
  <c r="AW67" i="44"/>
  <c r="AV67" i="44"/>
  <c r="BC66" i="44"/>
  <c r="BB66" i="44"/>
  <c r="AZ66" i="44"/>
  <c r="AW66" i="44"/>
  <c r="AV66" i="44"/>
  <c r="BC65" i="44"/>
  <c r="BB65" i="44"/>
  <c r="AZ65" i="44"/>
  <c r="AW65" i="44"/>
  <c r="AV65" i="44"/>
  <c r="BC64" i="44"/>
  <c r="BB64" i="44"/>
  <c r="AZ64" i="44"/>
  <c r="AW64" i="44"/>
  <c r="BC62" i="44"/>
  <c r="BB62" i="44"/>
  <c r="AZ62" i="44"/>
  <c r="AW62" i="44"/>
  <c r="AV62" i="44"/>
  <c r="BC61" i="44"/>
  <c r="BB61" i="44"/>
  <c r="AZ61" i="44"/>
  <c r="AW61" i="44"/>
  <c r="AV61" i="44"/>
  <c r="BC60" i="44"/>
  <c r="BB60" i="44"/>
  <c r="AZ60" i="44"/>
  <c r="AW60" i="44"/>
  <c r="AV60" i="44"/>
  <c r="BC59" i="44"/>
  <c r="BB59" i="44"/>
  <c r="AZ59" i="44"/>
  <c r="AW59" i="44"/>
  <c r="AV59" i="44"/>
  <c r="BC58" i="44"/>
  <c r="BB58" i="44"/>
  <c r="AZ58" i="44"/>
  <c r="AW58" i="44"/>
  <c r="AV58" i="44"/>
  <c r="BC57" i="44"/>
  <c r="BB57" i="44"/>
  <c r="AZ57" i="44"/>
  <c r="AW57" i="44"/>
  <c r="BC55" i="44"/>
  <c r="BB55" i="44"/>
  <c r="AZ55" i="44"/>
  <c r="AW55" i="44"/>
  <c r="AV55" i="44"/>
  <c r="BC54" i="44"/>
  <c r="BB54" i="44"/>
  <c r="AZ54" i="44"/>
  <c r="AW54" i="44"/>
  <c r="AV54" i="44"/>
  <c r="BC53" i="44"/>
  <c r="BB53" i="44"/>
  <c r="AZ53" i="44"/>
  <c r="AW53" i="44"/>
  <c r="AV53" i="44"/>
  <c r="BC52" i="44"/>
  <c r="BB52" i="44"/>
  <c r="AZ52" i="44"/>
  <c r="AW52" i="44"/>
  <c r="AV52" i="44"/>
  <c r="BC51" i="44"/>
  <c r="BB51" i="44"/>
  <c r="AZ51" i="44"/>
  <c r="AW51" i="44"/>
  <c r="AV51" i="44"/>
  <c r="BC50" i="44"/>
  <c r="BB50" i="44"/>
  <c r="AZ50" i="44"/>
  <c r="AW50" i="44"/>
  <c r="AV50" i="44"/>
  <c r="BC48" i="44"/>
  <c r="BB48" i="44"/>
  <c r="AZ48" i="44"/>
  <c r="AW48" i="44"/>
  <c r="AV48" i="44"/>
  <c r="BC47" i="44"/>
  <c r="BB47" i="44"/>
  <c r="AZ47" i="44"/>
  <c r="AW47" i="44"/>
  <c r="AV47" i="44"/>
  <c r="BC46" i="44"/>
  <c r="BB46" i="44"/>
  <c r="AZ46" i="44"/>
  <c r="AW46" i="44"/>
  <c r="AV46" i="44"/>
  <c r="BC45" i="44"/>
  <c r="BB45" i="44"/>
  <c r="AZ45" i="44"/>
  <c r="AW45" i="44"/>
  <c r="AV45" i="44"/>
  <c r="BC44" i="44"/>
  <c r="BB44" i="44"/>
  <c r="AZ44" i="44"/>
  <c r="AW44" i="44"/>
  <c r="AV44" i="44"/>
  <c r="BC43" i="44"/>
  <c r="BB43" i="44"/>
  <c r="AZ43" i="44"/>
  <c r="AW43" i="44"/>
  <c r="BC41" i="44"/>
  <c r="BB41" i="44"/>
  <c r="AZ41" i="44"/>
  <c r="AW41" i="44"/>
  <c r="AV41" i="44"/>
  <c r="BC40" i="44"/>
  <c r="BB40" i="44"/>
  <c r="AZ40" i="44"/>
  <c r="AW40" i="44"/>
  <c r="AV40" i="44"/>
  <c r="BC39" i="44"/>
  <c r="BB39" i="44"/>
  <c r="AZ39" i="44"/>
  <c r="AW39" i="44"/>
  <c r="AV39" i="44"/>
  <c r="BC38" i="44"/>
  <c r="BB38" i="44"/>
  <c r="AZ38" i="44"/>
  <c r="AW38" i="44"/>
  <c r="AV38" i="44"/>
  <c r="BC37" i="44"/>
  <c r="BB37" i="44"/>
  <c r="AZ37" i="44"/>
  <c r="AW37" i="44"/>
  <c r="AV37" i="44"/>
  <c r="BC36" i="44"/>
  <c r="BB36" i="44"/>
  <c r="AZ36" i="44"/>
  <c r="AW36" i="44"/>
  <c r="AV36" i="44"/>
  <c r="BC34" i="44"/>
  <c r="BB34" i="44"/>
  <c r="AZ34" i="44"/>
  <c r="AW34" i="44"/>
  <c r="AV34" i="44"/>
  <c r="BC33" i="44"/>
  <c r="BB33" i="44"/>
  <c r="AZ33" i="44"/>
  <c r="AW33" i="44"/>
  <c r="AV33" i="44"/>
  <c r="BC32" i="44"/>
  <c r="BB32" i="44"/>
  <c r="AZ32" i="44"/>
  <c r="AW32" i="44"/>
  <c r="AV32" i="44"/>
  <c r="BC31" i="44"/>
  <c r="BB31" i="44"/>
  <c r="AZ31" i="44"/>
  <c r="AW31" i="44"/>
  <c r="AV31" i="44"/>
  <c r="BC30" i="44"/>
  <c r="BB30" i="44"/>
  <c r="AZ30" i="44"/>
  <c r="AW30" i="44"/>
  <c r="BC29" i="44"/>
  <c r="BB29" i="44"/>
  <c r="AZ29" i="44"/>
  <c r="AW29" i="44"/>
  <c r="AV29" i="44"/>
  <c r="BC27" i="44"/>
  <c r="BB27" i="44"/>
  <c r="AZ27" i="44"/>
  <c r="AW27" i="44"/>
  <c r="AV27" i="44"/>
  <c r="BC26" i="44"/>
  <c r="BB26" i="44"/>
  <c r="AZ26" i="44"/>
  <c r="AW26" i="44"/>
  <c r="BC25" i="44"/>
  <c r="BB25" i="44"/>
  <c r="AZ25" i="44"/>
  <c r="AW25" i="44"/>
  <c r="AV25" i="44"/>
  <c r="BC24" i="44"/>
  <c r="BB24" i="44"/>
  <c r="AZ24" i="44"/>
  <c r="AW24" i="44"/>
  <c r="AV24" i="44"/>
  <c r="BC23" i="44"/>
  <c r="BB23" i="44"/>
  <c r="AZ23" i="44"/>
  <c r="AW23" i="44"/>
  <c r="AV23" i="44"/>
  <c r="BC22" i="44"/>
  <c r="BB22" i="44"/>
  <c r="AZ22" i="44"/>
  <c r="AW22" i="44"/>
  <c r="AV22" i="44"/>
  <c r="BC21" i="44"/>
  <c r="BB21" i="44"/>
  <c r="AZ21" i="44"/>
  <c r="AW21" i="44"/>
  <c r="AV21" i="44"/>
  <c r="BC20" i="44"/>
  <c r="BB20" i="44"/>
  <c r="AZ20" i="44"/>
  <c r="AW20" i="44"/>
  <c r="BC18" i="44"/>
  <c r="BB18" i="44"/>
  <c r="AZ18" i="44"/>
  <c r="AW18" i="44"/>
  <c r="AV18" i="44"/>
  <c r="BC17" i="44"/>
  <c r="BB17" i="44"/>
  <c r="AZ17" i="44"/>
  <c r="AW17" i="44"/>
  <c r="BC16" i="44"/>
  <c r="BB16" i="44"/>
  <c r="AZ16" i="44"/>
  <c r="AW16" i="44"/>
  <c r="AV16" i="44"/>
  <c r="BC15" i="44"/>
  <c r="BB15" i="44"/>
  <c r="AZ15" i="44"/>
  <c r="AW15" i="44"/>
  <c r="AV15" i="44"/>
  <c r="BC14" i="44"/>
  <c r="BB14" i="44"/>
  <c r="AZ14" i="44"/>
  <c r="AW14" i="44"/>
  <c r="BC464" i="43"/>
  <c r="BB464" i="43"/>
  <c r="AZ464" i="43"/>
  <c r="AW464" i="43"/>
  <c r="AV464" i="43"/>
  <c r="BC463" i="43"/>
  <c r="BB463" i="43"/>
  <c r="AZ463" i="43"/>
  <c r="AW463" i="43"/>
  <c r="AV463" i="43"/>
  <c r="BC462" i="43"/>
  <c r="BB462" i="43"/>
  <c r="AZ462" i="43"/>
  <c r="AW462" i="43"/>
  <c r="BC460" i="43"/>
  <c r="BB460" i="43"/>
  <c r="AZ460" i="43"/>
  <c r="AW460" i="43"/>
  <c r="AV460" i="43"/>
  <c r="BC459" i="43"/>
  <c r="BB459" i="43"/>
  <c r="AZ459" i="43"/>
  <c r="AW459" i="43"/>
  <c r="AV459" i="43"/>
  <c r="BC457" i="43"/>
  <c r="BB457" i="43"/>
  <c r="AZ457" i="43"/>
  <c r="AW457" i="43"/>
  <c r="AV457" i="43"/>
  <c r="BC456" i="43"/>
  <c r="BB456" i="43"/>
  <c r="AZ456" i="43"/>
  <c r="AW456" i="43"/>
  <c r="AV456" i="43"/>
  <c r="BC455" i="43"/>
  <c r="BB455" i="43"/>
  <c r="AZ455" i="43"/>
  <c r="AW455" i="43"/>
  <c r="AV455" i="43"/>
  <c r="BC454" i="43"/>
  <c r="BB454" i="43"/>
  <c r="AZ454" i="43"/>
  <c r="AW454" i="43"/>
  <c r="AV454" i="43"/>
  <c r="BC453" i="43"/>
  <c r="BB453" i="43"/>
  <c r="AZ453" i="43"/>
  <c r="AW453" i="43"/>
  <c r="AV453" i="43"/>
  <c r="BC452" i="43"/>
  <c r="BB452" i="43"/>
  <c r="AZ452" i="43"/>
  <c r="AW452" i="43"/>
  <c r="BC450" i="43"/>
  <c r="BB450" i="43"/>
  <c r="AZ450" i="43"/>
  <c r="AW450" i="43"/>
  <c r="AV450" i="43"/>
  <c r="BC449" i="43"/>
  <c r="BB449" i="43"/>
  <c r="AZ449" i="43"/>
  <c r="AW449" i="43"/>
  <c r="AV449" i="43"/>
  <c r="BC448" i="43"/>
  <c r="BB448" i="43"/>
  <c r="AZ448" i="43"/>
  <c r="AW448" i="43"/>
  <c r="AV448" i="43"/>
  <c r="BC447" i="43"/>
  <c r="BB447" i="43"/>
  <c r="AZ447" i="43"/>
  <c r="AW447" i="43"/>
  <c r="AV447" i="43"/>
  <c r="BC446" i="43"/>
  <c r="BB446" i="43"/>
  <c r="AZ446" i="43"/>
  <c r="AW446" i="43"/>
  <c r="AV446" i="43"/>
  <c r="BC445" i="43"/>
  <c r="BB445" i="43"/>
  <c r="AZ445" i="43"/>
  <c r="AW445" i="43"/>
  <c r="BC443" i="43"/>
  <c r="BB443" i="43"/>
  <c r="AZ443" i="43"/>
  <c r="AW443" i="43"/>
  <c r="AV443" i="43"/>
  <c r="BC442" i="43"/>
  <c r="BB442" i="43"/>
  <c r="AZ442" i="43"/>
  <c r="AW442" i="43"/>
  <c r="AV442" i="43"/>
  <c r="BC441" i="43"/>
  <c r="BB441" i="43"/>
  <c r="AZ441" i="43"/>
  <c r="AW441" i="43"/>
  <c r="AV441" i="43"/>
  <c r="BC440" i="43"/>
  <c r="BB440" i="43"/>
  <c r="AZ440" i="43"/>
  <c r="AW440" i="43"/>
  <c r="AV440" i="43"/>
  <c r="BC439" i="43"/>
  <c r="BB439" i="43"/>
  <c r="AZ439" i="43"/>
  <c r="AW439" i="43"/>
  <c r="AV439" i="43"/>
  <c r="BC438" i="43"/>
  <c r="BB438" i="43"/>
  <c r="AZ438" i="43"/>
  <c r="AW438" i="43"/>
  <c r="BC436" i="43"/>
  <c r="BB436" i="43"/>
  <c r="AZ436" i="43"/>
  <c r="AW436" i="43"/>
  <c r="AV436" i="43"/>
  <c r="BC435" i="43"/>
  <c r="BB435" i="43"/>
  <c r="AZ435" i="43"/>
  <c r="AW435" i="43"/>
  <c r="AV435" i="43"/>
  <c r="BC434" i="43"/>
  <c r="BB434" i="43"/>
  <c r="AZ434" i="43"/>
  <c r="AW434" i="43"/>
  <c r="AV434" i="43"/>
  <c r="BC433" i="43"/>
  <c r="BB433" i="43"/>
  <c r="AZ433" i="43"/>
  <c r="AW433" i="43"/>
  <c r="AV433" i="43"/>
  <c r="BC432" i="43"/>
  <c r="BB432" i="43"/>
  <c r="AZ432" i="43"/>
  <c r="AW432" i="43"/>
  <c r="AV432" i="43"/>
  <c r="BC431" i="43"/>
  <c r="BB431" i="43"/>
  <c r="AZ431" i="43"/>
  <c r="AW431" i="43"/>
  <c r="BC429" i="43"/>
  <c r="BB429" i="43"/>
  <c r="AZ429" i="43"/>
  <c r="AW429" i="43"/>
  <c r="AV429" i="43"/>
  <c r="BC428" i="43"/>
  <c r="BB428" i="43"/>
  <c r="AZ428" i="43"/>
  <c r="AW428" i="43"/>
  <c r="AV428" i="43"/>
  <c r="BC427" i="43"/>
  <c r="BB427" i="43"/>
  <c r="AZ427" i="43"/>
  <c r="AW427" i="43"/>
  <c r="AV427" i="43"/>
  <c r="BC426" i="43"/>
  <c r="BB426" i="43"/>
  <c r="AZ426" i="43"/>
  <c r="AW426" i="43"/>
  <c r="AV426" i="43"/>
  <c r="BC425" i="43"/>
  <c r="BB425" i="43"/>
  <c r="AZ425" i="43"/>
  <c r="AW425" i="43"/>
  <c r="AV425" i="43"/>
  <c r="BC424" i="43"/>
  <c r="BB424" i="43"/>
  <c r="AZ424" i="43"/>
  <c r="AW424" i="43"/>
  <c r="BC422" i="43"/>
  <c r="BB422" i="43"/>
  <c r="AZ422" i="43"/>
  <c r="AW422" i="43"/>
  <c r="AV422" i="43"/>
  <c r="BC421" i="43"/>
  <c r="BB421" i="43"/>
  <c r="AZ421" i="43"/>
  <c r="AW421" i="43"/>
  <c r="AV421" i="43"/>
  <c r="BC420" i="43"/>
  <c r="BB420" i="43"/>
  <c r="AZ420" i="43"/>
  <c r="AW420" i="43"/>
  <c r="AV420" i="43"/>
  <c r="BC419" i="43"/>
  <c r="BB419" i="43"/>
  <c r="AZ419" i="43"/>
  <c r="AW419" i="43"/>
  <c r="AV419" i="43"/>
  <c r="BC418" i="43"/>
  <c r="BB418" i="43"/>
  <c r="AZ418" i="43"/>
  <c r="AW418" i="43"/>
  <c r="AV418" i="43"/>
  <c r="BC417" i="43"/>
  <c r="BB417" i="43"/>
  <c r="AZ417" i="43"/>
  <c r="AW417" i="43"/>
  <c r="BC415" i="43"/>
  <c r="BB415" i="43"/>
  <c r="AZ415" i="43"/>
  <c r="AW415" i="43"/>
  <c r="AV415" i="43"/>
  <c r="BC414" i="43"/>
  <c r="BB414" i="43"/>
  <c r="AZ414" i="43"/>
  <c r="AW414" i="43"/>
  <c r="AV414" i="43"/>
  <c r="BC413" i="43"/>
  <c r="BB413" i="43"/>
  <c r="AZ413" i="43"/>
  <c r="AW413" i="43"/>
  <c r="AV413" i="43"/>
  <c r="BC412" i="43"/>
  <c r="BB412" i="43"/>
  <c r="AZ412" i="43"/>
  <c r="AW412" i="43"/>
  <c r="AV412" i="43"/>
  <c r="BC411" i="43"/>
  <c r="BB411" i="43"/>
  <c r="AZ411" i="43"/>
  <c r="AW411" i="43"/>
  <c r="BC409" i="43"/>
  <c r="BB409" i="43"/>
  <c r="AZ409" i="43"/>
  <c r="AW409" i="43"/>
  <c r="AV409" i="43"/>
  <c r="BC407" i="43"/>
  <c r="BB407" i="43"/>
  <c r="AZ407" i="43"/>
  <c r="AW407" i="43"/>
  <c r="BC405" i="43"/>
  <c r="BB405" i="43"/>
  <c r="AZ405" i="43"/>
  <c r="AW405" i="43"/>
  <c r="AV405" i="43"/>
  <c r="BC404" i="43"/>
  <c r="BB404" i="43"/>
  <c r="AZ404" i="43"/>
  <c r="AW404" i="43"/>
  <c r="AV404" i="43"/>
  <c r="BC403" i="43"/>
  <c r="BB403" i="43"/>
  <c r="AZ403" i="43"/>
  <c r="AW403" i="43"/>
  <c r="AV403" i="43"/>
  <c r="BC402" i="43"/>
  <c r="BB402" i="43"/>
  <c r="AZ402" i="43"/>
  <c r="AW402" i="43"/>
  <c r="AV402" i="43"/>
  <c r="BC401" i="43"/>
  <c r="BB401" i="43"/>
  <c r="AZ401" i="43"/>
  <c r="AW401" i="43"/>
  <c r="AV401" i="43"/>
  <c r="BC400" i="43"/>
  <c r="BB400" i="43"/>
  <c r="AZ400" i="43"/>
  <c r="AW400" i="43"/>
  <c r="BC398" i="43"/>
  <c r="BB398" i="43"/>
  <c r="AZ398" i="43"/>
  <c r="AW398" i="43"/>
  <c r="AV398" i="43"/>
  <c r="BC397" i="43"/>
  <c r="BB397" i="43"/>
  <c r="AZ397" i="43"/>
  <c r="AW397" i="43"/>
  <c r="AV397" i="43"/>
  <c r="BC396" i="43"/>
  <c r="BB396" i="43"/>
  <c r="AZ396" i="43"/>
  <c r="AW396" i="43"/>
  <c r="AV396" i="43"/>
  <c r="BC395" i="43"/>
  <c r="BB395" i="43"/>
  <c r="AZ395" i="43"/>
  <c r="AW395" i="43"/>
  <c r="AV395" i="43"/>
  <c r="BC394" i="43"/>
  <c r="BB394" i="43"/>
  <c r="AZ394" i="43"/>
  <c r="AW394" i="43"/>
  <c r="AV394" i="43"/>
  <c r="BC393" i="43"/>
  <c r="BB393" i="43"/>
  <c r="AZ393" i="43"/>
  <c r="AW393" i="43"/>
  <c r="BC391" i="43"/>
  <c r="BB391" i="43"/>
  <c r="AZ391" i="43"/>
  <c r="AW391" i="43"/>
  <c r="AV391" i="43"/>
  <c r="BC390" i="43"/>
  <c r="BB390" i="43"/>
  <c r="AZ390" i="43"/>
  <c r="AW390" i="43"/>
  <c r="AV390" i="43"/>
  <c r="BC389" i="43"/>
  <c r="BB389" i="43"/>
  <c r="AZ389" i="43"/>
  <c r="AW389" i="43"/>
  <c r="BC387" i="43"/>
  <c r="BB387" i="43"/>
  <c r="AZ387" i="43"/>
  <c r="AW387" i="43"/>
  <c r="AV387" i="43"/>
  <c r="BC386" i="43"/>
  <c r="BB386" i="43"/>
  <c r="AZ386" i="43"/>
  <c r="AW386" i="43"/>
  <c r="AV386" i="43"/>
  <c r="BC385" i="43"/>
  <c r="BB385" i="43"/>
  <c r="AZ385" i="43"/>
  <c r="AW385" i="43"/>
  <c r="AV385" i="43"/>
  <c r="BC384" i="43"/>
  <c r="BB384" i="43"/>
  <c r="AZ384" i="43"/>
  <c r="AW384" i="43"/>
  <c r="AV384" i="43"/>
  <c r="BC383" i="43"/>
  <c r="BB383" i="43"/>
  <c r="AZ383" i="43"/>
  <c r="AW383" i="43"/>
  <c r="BC381" i="43"/>
  <c r="BB381" i="43"/>
  <c r="AZ381" i="43"/>
  <c r="AW381" i="43"/>
  <c r="AV381" i="43"/>
  <c r="BC380" i="43"/>
  <c r="BB380" i="43"/>
  <c r="AZ380" i="43"/>
  <c r="AW380" i="43"/>
  <c r="AV380" i="43"/>
  <c r="BC379" i="43"/>
  <c r="BB379" i="43"/>
  <c r="AZ379" i="43"/>
  <c r="AW379" i="43"/>
  <c r="AV379" i="43"/>
  <c r="BC378" i="43"/>
  <c r="BB378" i="43"/>
  <c r="AZ378" i="43"/>
  <c r="AW378" i="43"/>
  <c r="AV378" i="43"/>
  <c r="BC377" i="43"/>
  <c r="BB377" i="43"/>
  <c r="AZ377" i="43"/>
  <c r="AW377" i="43"/>
  <c r="AV377" i="43"/>
  <c r="BC376" i="43"/>
  <c r="BB376" i="43"/>
  <c r="AZ376" i="43"/>
  <c r="AW376" i="43"/>
  <c r="BC374" i="43"/>
  <c r="BC375" i="43" s="1"/>
  <c r="BB374" i="43"/>
  <c r="BB375" i="43" s="1"/>
  <c r="AZ374" i="43"/>
  <c r="AZ375" i="43" s="1"/>
  <c r="AW374" i="43"/>
  <c r="BC372" i="43"/>
  <c r="BB372" i="43"/>
  <c r="AZ372" i="43"/>
  <c r="AW372" i="43"/>
  <c r="AV372" i="43"/>
  <c r="BC371" i="43"/>
  <c r="BB371" i="43"/>
  <c r="AZ371" i="43"/>
  <c r="AW371" i="43"/>
  <c r="AV371" i="43"/>
  <c r="BC370" i="43"/>
  <c r="BB370" i="43"/>
  <c r="AZ370" i="43"/>
  <c r="AW370" i="43"/>
  <c r="BC368" i="43"/>
  <c r="BB368" i="43"/>
  <c r="AZ368" i="43"/>
  <c r="AW368" i="43"/>
  <c r="AV368" i="43"/>
  <c r="BC367" i="43"/>
  <c r="BB367" i="43"/>
  <c r="AZ367" i="43"/>
  <c r="AW367" i="43"/>
  <c r="AV367" i="43"/>
  <c r="BC366" i="43"/>
  <c r="BB366" i="43"/>
  <c r="AZ366" i="43"/>
  <c r="AW366" i="43"/>
  <c r="AV366" i="43"/>
  <c r="BC365" i="43"/>
  <c r="BB365" i="43"/>
  <c r="AZ365" i="43"/>
  <c r="AW365" i="43"/>
  <c r="AV365" i="43"/>
  <c r="BC364" i="43"/>
  <c r="BB364" i="43"/>
  <c r="AZ364" i="43"/>
  <c r="AW364" i="43"/>
  <c r="AV364" i="43"/>
  <c r="BC363" i="43"/>
  <c r="BB363" i="43"/>
  <c r="AZ363" i="43"/>
  <c r="AW363" i="43"/>
  <c r="BC361" i="43"/>
  <c r="BB361" i="43"/>
  <c r="AZ361" i="43"/>
  <c r="AW361" i="43"/>
  <c r="AV361" i="43"/>
  <c r="BC360" i="43"/>
  <c r="BB360" i="43"/>
  <c r="AZ360" i="43"/>
  <c r="AW360" i="43"/>
  <c r="AV360" i="43"/>
  <c r="BC359" i="43"/>
  <c r="BB359" i="43"/>
  <c r="AZ359" i="43"/>
  <c r="AW359" i="43"/>
  <c r="AV359" i="43"/>
  <c r="BC358" i="43"/>
  <c r="BB358" i="43"/>
  <c r="AZ358" i="43"/>
  <c r="AW358" i="43"/>
  <c r="BC356" i="43"/>
  <c r="BB356" i="43"/>
  <c r="AZ356" i="43"/>
  <c r="AW356" i="43"/>
  <c r="AV356" i="43"/>
  <c r="BC355" i="43"/>
  <c r="BB355" i="43"/>
  <c r="AZ355" i="43"/>
  <c r="AW355" i="43"/>
  <c r="AV355" i="43"/>
  <c r="BC354" i="43"/>
  <c r="BB354" i="43"/>
  <c r="AZ354" i="43"/>
  <c r="AW354" i="43"/>
  <c r="AV354" i="43"/>
  <c r="BC353" i="43"/>
  <c r="BB353" i="43"/>
  <c r="AZ353" i="43"/>
  <c r="AW353" i="43"/>
  <c r="AV353" i="43"/>
  <c r="BC352" i="43"/>
  <c r="BB352" i="43"/>
  <c r="AZ352" i="43"/>
  <c r="AW352" i="43"/>
  <c r="AV352" i="43"/>
  <c r="BC351" i="43"/>
  <c r="BB351" i="43"/>
  <c r="AZ351" i="43"/>
  <c r="AW351" i="43"/>
  <c r="BC349" i="43"/>
  <c r="BB349" i="43"/>
  <c r="AZ349" i="43"/>
  <c r="AW349" i="43"/>
  <c r="AV349" i="43"/>
  <c r="BC348" i="43"/>
  <c r="BB348" i="43"/>
  <c r="AZ348" i="43"/>
  <c r="AW348" i="43"/>
  <c r="AV348" i="43"/>
  <c r="BC347" i="43"/>
  <c r="BB347" i="43"/>
  <c r="AZ347" i="43"/>
  <c r="AW347" i="43"/>
  <c r="AV347" i="43"/>
  <c r="BC346" i="43"/>
  <c r="BB346" i="43"/>
  <c r="AZ346" i="43"/>
  <c r="AW346" i="43"/>
  <c r="AV346" i="43"/>
  <c r="BC345" i="43"/>
  <c r="BB345" i="43"/>
  <c r="AZ345" i="43"/>
  <c r="AW345" i="43"/>
  <c r="BC343" i="43"/>
  <c r="BB343" i="43"/>
  <c r="AZ343" i="43"/>
  <c r="AW343" i="43"/>
  <c r="AV343" i="43"/>
  <c r="BC342" i="43"/>
  <c r="BB342" i="43"/>
  <c r="AZ342" i="43"/>
  <c r="AW342" i="43"/>
  <c r="AV342" i="43"/>
  <c r="BC341" i="43"/>
  <c r="BB341" i="43"/>
  <c r="AZ341" i="43"/>
  <c r="AW341" i="43"/>
  <c r="AV341" i="43"/>
  <c r="BC340" i="43"/>
  <c r="BB340" i="43"/>
  <c r="AZ340" i="43"/>
  <c r="AW340" i="43"/>
  <c r="AV340" i="43"/>
  <c r="BC339" i="43"/>
  <c r="BB339" i="43"/>
  <c r="AZ339" i="43"/>
  <c r="AW339" i="43"/>
  <c r="AV339" i="43"/>
  <c r="BC338" i="43"/>
  <c r="BB338" i="43"/>
  <c r="AZ338" i="43"/>
  <c r="AW338" i="43"/>
  <c r="AV338" i="43"/>
  <c r="BC337" i="43"/>
  <c r="BB337" i="43"/>
  <c r="AZ337" i="43"/>
  <c r="AW337" i="43"/>
  <c r="AV337" i="43"/>
  <c r="BC336" i="43"/>
  <c r="BB336" i="43"/>
  <c r="AZ336" i="43"/>
  <c r="AW336" i="43"/>
  <c r="BC334" i="43"/>
  <c r="BB334" i="43"/>
  <c r="AZ334" i="43"/>
  <c r="AW334" i="43"/>
  <c r="AV334" i="43"/>
  <c r="BC333" i="43"/>
  <c r="BB333" i="43"/>
  <c r="AZ333" i="43"/>
  <c r="AW333" i="43"/>
  <c r="BC331" i="43"/>
  <c r="BB331" i="43"/>
  <c r="AZ331" i="43"/>
  <c r="AW331" i="43"/>
  <c r="AV331" i="43"/>
  <c r="BC330" i="43"/>
  <c r="BB330" i="43"/>
  <c r="AZ330" i="43"/>
  <c r="AW330" i="43"/>
  <c r="AV330" i="43"/>
  <c r="BC329" i="43"/>
  <c r="BB329" i="43"/>
  <c r="AZ329" i="43"/>
  <c r="AW329" i="43"/>
  <c r="BC327" i="43"/>
  <c r="BB327" i="43"/>
  <c r="AZ327" i="43"/>
  <c r="AW327" i="43"/>
  <c r="BC326" i="43"/>
  <c r="BB326" i="43"/>
  <c r="AZ326" i="43"/>
  <c r="AW326" i="43"/>
  <c r="AV326" i="43"/>
  <c r="BC325" i="43"/>
  <c r="BB325" i="43"/>
  <c r="AZ325" i="43"/>
  <c r="AW325" i="43"/>
  <c r="AV325" i="43"/>
  <c r="BC323" i="43"/>
  <c r="BC324" i="43" s="1"/>
  <c r="BB323" i="43"/>
  <c r="BB324" i="43" s="1"/>
  <c r="AZ323" i="43"/>
  <c r="AZ324" i="43" s="1"/>
  <c r="BC321" i="43"/>
  <c r="BB321" i="43"/>
  <c r="AZ321" i="43"/>
  <c r="AW321" i="43"/>
  <c r="AV321" i="43"/>
  <c r="BC320" i="43"/>
  <c r="BB320" i="43"/>
  <c r="AZ320" i="43"/>
  <c r="AW320" i="43"/>
  <c r="AV320" i="43"/>
  <c r="BC319" i="43"/>
  <c r="BB319" i="43"/>
  <c r="AZ319" i="43"/>
  <c r="AW319" i="43"/>
  <c r="AV319" i="43"/>
  <c r="BC318" i="43"/>
  <c r="BB318" i="43"/>
  <c r="AZ318" i="43"/>
  <c r="AW318" i="43"/>
  <c r="AV318" i="43"/>
  <c r="BC317" i="43"/>
  <c r="BB317" i="43"/>
  <c r="AZ317" i="43"/>
  <c r="AW317" i="43"/>
  <c r="BC315" i="43"/>
  <c r="BB315" i="43"/>
  <c r="AZ315" i="43"/>
  <c r="AW315" i="43"/>
  <c r="AV315" i="43"/>
  <c r="BC314" i="43"/>
  <c r="BB314" i="43"/>
  <c r="AZ314" i="43"/>
  <c r="AW314" i="43"/>
  <c r="BC313" i="43"/>
  <c r="BB313" i="43"/>
  <c r="AZ313" i="43"/>
  <c r="AW313" i="43"/>
  <c r="AV313" i="43"/>
  <c r="BC311" i="43"/>
  <c r="BB311" i="43"/>
  <c r="AZ311" i="43"/>
  <c r="AW311" i="43"/>
  <c r="AV311" i="43"/>
  <c r="BC310" i="43"/>
  <c r="BB310" i="43"/>
  <c r="AZ310" i="43"/>
  <c r="AW310" i="43"/>
  <c r="AV310" i="43"/>
  <c r="BC309" i="43"/>
  <c r="BB309" i="43"/>
  <c r="AZ309" i="43"/>
  <c r="AW309" i="43"/>
  <c r="AV309" i="43"/>
  <c r="BC308" i="43"/>
  <c r="BB308" i="43"/>
  <c r="AZ308" i="43"/>
  <c r="AW308" i="43"/>
  <c r="AV308" i="43"/>
  <c r="BC307" i="43"/>
  <c r="BB307" i="43"/>
  <c r="AZ307" i="43"/>
  <c r="AW307" i="43"/>
  <c r="AV307" i="43"/>
  <c r="BC306" i="43"/>
  <c r="BB306" i="43"/>
  <c r="AZ306" i="43"/>
  <c r="AW306" i="43"/>
  <c r="BC304" i="43"/>
  <c r="BB304" i="43"/>
  <c r="AZ304" i="43"/>
  <c r="AW304" i="43"/>
  <c r="AV304" i="43"/>
  <c r="BC303" i="43"/>
  <c r="BB303" i="43"/>
  <c r="AZ303" i="43"/>
  <c r="AW303" i="43"/>
  <c r="AV303" i="43"/>
  <c r="BC302" i="43"/>
  <c r="BB302" i="43"/>
  <c r="AZ302" i="43"/>
  <c r="AW302" i="43"/>
  <c r="AV302" i="43"/>
  <c r="BC301" i="43"/>
  <c r="BB301" i="43"/>
  <c r="AZ301" i="43"/>
  <c r="AW301" i="43"/>
  <c r="AV301" i="43"/>
  <c r="BC300" i="43"/>
  <c r="BB300" i="43"/>
  <c r="AZ300" i="43"/>
  <c r="AW300" i="43"/>
  <c r="AV300" i="43"/>
  <c r="BC299" i="43"/>
  <c r="BB299" i="43"/>
  <c r="AZ299" i="43"/>
  <c r="AW299" i="43"/>
  <c r="BC297" i="43"/>
  <c r="BC298" i="43" s="1"/>
  <c r="BB297" i="43"/>
  <c r="BB298" i="43" s="1"/>
  <c r="AZ297" i="43"/>
  <c r="AZ298" i="43" s="1"/>
  <c r="BC295" i="43"/>
  <c r="BB295" i="43"/>
  <c r="AZ295" i="43"/>
  <c r="AW295" i="43"/>
  <c r="AV295" i="43"/>
  <c r="BC294" i="43"/>
  <c r="BB294" i="43"/>
  <c r="AZ294" i="43"/>
  <c r="AW294" i="43"/>
  <c r="AV294" i="43"/>
  <c r="BC293" i="43"/>
  <c r="BB293" i="43"/>
  <c r="AZ293" i="43"/>
  <c r="AW293" i="43"/>
  <c r="AV293" i="43"/>
  <c r="BC292" i="43"/>
  <c r="BB292" i="43"/>
  <c r="AZ292" i="43"/>
  <c r="AW292" i="43"/>
  <c r="AV292" i="43"/>
  <c r="BC291" i="43"/>
  <c r="BB291" i="43"/>
  <c r="AZ291" i="43"/>
  <c r="AW291" i="43"/>
  <c r="AV291" i="43"/>
  <c r="BC290" i="43"/>
  <c r="BB290" i="43"/>
  <c r="AZ290" i="43"/>
  <c r="AW290" i="43"/>
  <c r="AV290" i="43"/>
  <c r="BC289" i="43"/>
  <c r="BB289" i="43"/>
  <c r="AZ289" i="43"/>
  <c r="AW289" i="43"/>
  <c r="BC287" i="43"/>
  <c r="BB287" i="43"/>
  <c r="AZ287" i="43"/>
  <c r="AW287" i="43"/>
  <c r="AV287" i="43"/>
  <c r="BC286" i="43"/>
  <c r="BB286" i="43"/>
  <c r="AZ286" i="43"/>
  <c r="AW286" i="43"/>
  <c r="AV286" i="43"/>
  <c r="BC285" i="43"/>
  <c r="BB285" i="43"/>
  <c r="AZ285" i="43"/>
  <c r="AW285" i="43"/>
  <c r="AV285" i="43"/>
  <c r="BC284" i="43"/>
  <c r="BB284" i="43"/>
  <c r="AZ284" i="43"/>
  <c r="AW284" i="43"/>
  <c r="AV284" i="43"/>
  <c r="BC282" i="43"/>
  <c r="BB282" i="43"/>
  <c r="AZ282" i="43"/>
  <c r="AW282" i="43"/>
  <c r="AV282" i="43"/>
  <c r="BC281" i="43"/>
  <c r="BB281" i="43"/>
  <c r="AZ281" i="43"/>
  <c r="AW281" i="43"/>
  <c r="AV281" i="43"/>
  <c r="BC280" i="43"/>
  <c r="BB280" i="43"/>
  <c r="AZ280" i="43"/>
  <c r="AW280" i="43"/>
  <c r="AV280" i="43"/>
  <c r="BC279" i="43"/>
  <c r="BB279" i="43"/>
  <c r="AZ279" i="43"/>
  <c r="AW279" i="43"/>
  <c r="AV279" i="43"/>
  <c r="BC278" i="43"/>
  <c r="BB278" i="43"/>
  <c r="AZ278" i="43"/>
  <c r="AW278" i="43"/>
  <c r="AV278" i="43"/>
  <c r="BC277" i="43"/>
  <c r="BB277" i="43"/>
  <c r="AZ277" i="43"/>
  <c r="AW277" i="43"/>
  <c r="BC275" i="43"/>
  <c r="BB275" i="43"/>
  <c r="AZ275" i="43"/>
  <c r="AW275" i="43"/>
  <c r="AV275" i="43"/>
  <c r="BC274" i="43"/>
  <c r="BB274" i="43"/>
  <c r="AZ274" i="43"/>
  <c r="AW274" i="43"/>
  <c r="AV274" i="43"/>
  <c r="BC273" i="43"/>
  <c r="BB273" i="43"/>
  <c r="AZ273" i="43"/>
  <c r="AW273" i="43"/>
  <c r="AV273" i="43"/>
  <c r="BC271" i="43"/>
  <c r="BB271" i="43"/>
  <c r="AZ271" i="43"/>
  <c r="AW271" i="43"/>
  <c r="AV271" i="43"/>
  <c r="BC270" i="43"/>
  <c r="BB270" i="43"/>
  <c r="AZ270" i="43"/>
  <c r="AW270" i="43"/>
  <c r="AV270" i="43"/>
  <c r="BC269" i="43"/>
  <c r="BB269" i="43"/>
  <c r="AZ269" i="43"/>
  <c r="AW269" i="43"/>
  <c r="AV269" i="43"/>
  <c r="BC268" i="43"/>
  <c r="BB268" i="43"/>
  <c r="AZ268" i="43"/>
  <c r="AW268" i="43"/>
  <c r="AV268" i="43"/>
  <c r="BC267" i="43"/>
  <c r="BB267" i="43"/>
  <c r="AZ267" i="43"/>
  <c r="AW267" i="43"/>
  <c r="BC265" i="43"/>
  <c r="BB265" i="43"/>
  <c r="AZ265" i="43"/>
  <c r="AW265" i="43"/>
  <c r="AV265" i="43"/>
  <c r="BC264" i="43"/>
  <c r="BB264" i="43"/>
  <c r="AZ264" i="43"/>
  <c r="AW264" i="43"/>
  <c r="AV264" i="43"/>
  <c r="BC263" i="43"/>
  <c r="BB263" i="43"/>
  <c r="AZ263" i="43"/>
  <c r="AW263" i="43"/>
  <c r="BC261" i="43"/>
  <c r="BB261" i="43"/>
  <c r="AZ261" i="43"/>
  <c r="AW261" i="43"/>
  <c r="AV261" i="43"/>
  <c r="BC260" i="43"/>
  <c r="BB260" i="43"/>
  <c r="AZ260" i="43"/>
  <c r="AW260" i="43"/>
  <c r="AV260" i="43"/>
  <c r="BC259" i="43"/>
  <c r="BB259" i="43"/>
  <c r="AZ259" i="43"/>
  <c r="AW259" i="43"/>
  <c r="BC257" i="43"/>
  <c r="BC258" i="43" s="1"/>
  <c r="BB257" i="43"/>
  <c r="BB258" i="43" s="1"/>
  <c r="AZ257" i="43"/>
  <c r="AZ258" i="43" s="1"/>
  <c r="BC255" i="43"/>
  <c r="BB255" i="43"/>
  <c r="AZ255" i="43"/>
  <c r="AW255" i="43"/>
  <c r="AV255" i="43"/>
  <c r="BC254" i="43"/>
  <c r="BB254" i="43"/>
  <c r="AZ254" i="43"/>
  <c r="AW254" i="43"/>
  <c r="AV254" i="43"/>
  <c r="BC253" i="43"/>
  <c r="BB253" i="43"/>
  <c r="AZ253" i="43"/>
  <c r="AW253" i="43"/>
  <c r="AV253" i="43"/>
  <c r="BC252" i="43"/>
  <c r="BB252" i="43"/>
  <c r="AZ252" i="43"/>
  <c r="AW252" i="43"/>
  <c r="AV252" i="43"/>
  <c r="BC251" i="43"/>
  <c r="BB251" i="43"/>
  <c r="AZ251" i="43"/>
  <c r="AW251" i="43"/>
  <c r="AV251" i="43"/>
  <c r="BC250" i="43"/>
  <c r="BB250" i="43"/>
  <c r="AZ250" i="43"/>
  <c r="AW250" i="43"/>
  <c r="BC248" i="43"/>
  <c r="BB248" i="43"/>
  <c r="AZ248" i="43"/>
  <c r="AW248" i="43"/>
  <c r="AV248" i="43"/>
  <c r="BC247" i="43"/>
  <c r="BB247" i="43"/>
  <c r="AZ247" i="43"/>
  <c r="AW247" i="43"/>
  <c r="AV247" i="43"/>
  <c r="BC246" i="43"/>
  <c r="BB246" i="43"/>
  <c r="AZ246" i="43"/>
  <c r="AW246" i="43"/>
  <c r="AV246" i="43"/>
  <c r="BC245" i="43"/>
  <c r="BB245" i="43"/>
  <c r="AZ245" i="43"/>
  <c r="AW245" i="43"/>
  <c r="AV245" i="43"/>
  <c r="BC244" i="43"/>
  <c r="BB244" i="43"/>
  <c r="AZ244" i="43"/>
  <c r="AW244" i="43"/>
  <c r="BC242" i="43"/>
  <c r="BB242" i="43"/>
  <c r="AZ242" i="43"/>
  <c r="AW242" i="43"/>
  <c r="AV242" i="43"/>
  <c r="BC241" i="43"/>
  <c r="BB241" i="43"/>
  <c r="AZ241" i="43"/>
  <c r="AW241" i="43"/>
  <c r="AV241" i="43"/>
  <c r="BC240" i="43"/>
  <c r="BB240" i="43"/>
  <c r="AZ240" i="43"/>
  <c r="AW240" i="43"/>
  <c r="AV240" i="43"/>
  <c r="BC239" i="43"/>
  <c r="BB239" i="43"/>
  <c r="AZ239" i="43"/>
  <c r="AW239" i="43"/>
  <c r="AV239" i="43"/>
  <c r="BC238" i="43"/>
  <c r="BB238" i="43"/>
  <c r="AZ238" i="43"/>
  <c r="AW238" i="43"/>
  <c r="BC236" i="43"/>
  <c r="BB236" i="43"/>
  <c r="AZ236" i="43"/>
  <c r="AW236" i="43"/>
  <c r="AV236" i="43"/>
  <c r="BC235" i="43"/>
  <c r="BB235" i="43"/>
  <c r="AZ235" i="43"/>
  <c r="AW235" i="43"/>
  <c r="AV235" i="43"/>
  <c r="BC234" i="43"/>
  <c r="BB234" i="43"/>
  <c r="AZ234" i="43"/>
  <c r="AW234" i="43"/>
  <c r="AV234" i="43"/>
  <c r="BC233" i="43"/>
  <c r="BB233" i="43"/>
  <c r="AZ233" i="43"/>
  <c r="AW233" i="43"/>
  <c r="AV233" i="43"/>
  <c r="BC232" i="43"/>
  <c r="BB232" i="43"/>
  <c r="AZ232" i="43"/>
  <c r="AW232" i="43"/>
  <c r="BC230" i="43"/>
  <c r="BB230" i="43"/>
  <c r="AZ230" i="43"/>
  <c r="AW230" i="43"/>
  <c r="AV230" i="43"/>
  <c r="BC229" i="43"/>
  <c r="BB229" i="43"/>
  <c r="AZ229" i="43"/>
  <c r="AW229" i="43"/>
  <c r="AV229" i="43"/>
  <c r="BC228" i="43"/>
  <c r="BB228" i="43"/>
  <c r="AZ228" i="43"/>
  <c r="AW228" i="43"/>
  <c r="AV228" i="43"/>
  <c r="BC227" i="43"/>
  <c r="BB227" i="43"/>
  <c r="AZ227" i="43"/>
  <c r="AW227" i="43"/>
  <c r="AV227" i="43"/>
  <c r="BC226" i="43"/>
  <c r="BB226" i="43"/>
  <c r="AZ226" i="43"/>
  <c r="AW226" i="43"/>
  <c r="BC224" i="43"/>
  <c r="BB224" i="43"/>
  <c r="AZ224" i="43"/>
  <c r="AW224" i="43"/>
  <c r="AV224" i="43"/>
  <c r="BC223" i="43"/>
  <c r="BB223" i="43"/>
  <c r="AZ223" i="43"/>
  <c r="AW223" i="43"/>
  <c r="AV223" i="43"/>
  <c r="BC222" i="43"/>
  <c r="BB222" i="43"/>
  <c r="AZ222" i="43"/>
  <c r="AW222" i="43"/>
  <c r="AV222" i="43"/>
  <c r="BC221" i="43"/>
  <c r="BB221" i="43"/>
  <c r="AZ221" i="43"/>
  <c r="AW221" i="43"/>
  <c r="AV221" i="43"/>
  <c r="BC220" i="43"/>
  <c r="BB220" i="43"/>
  <c r="AZ220" i="43"/>
  <c r="AW220" i="43"/>
  <c r="BC218" i="43"/>
  <c r="BB218" i="43"/>
  <c r="AZ218" i="43"/>
  <c r="AW218" i="43"/>
  <c r="AV218" i="43"/>
  <c r="BC217" i="43"/>
  <c r="BB217" i="43"/>
  <c r="AZ217" i="43"/>
  <c r="AW217" i="43"/>
  <c r="AV217" i="43"/>
  <c r="BC216" i="43"/>
  <c r="BB216" i="43"/>
  <c r="AZ216" i="43"/>
  <c r="AW216" i="43"/>
  <c r="AV216" i="43"/>
  <c r="BC215" i="43"/>
  <c r="BB215" i="43"/>
  <c r="AZ215" i="43"/>
  <c r="AW215" i="43"/>
  <c r="AV215" i="43"/>
  <c r="BC214" i="43"/>
  <c r="BB214" i="43"/>
  <c r="AZ214" i="43"/>
  <c r="AW214" i="43"/>
  <c r="BC212" i="43"/>
  <c r="BB212" i="43"/>
  <c r="AZ212" i="43"/>
  <c r="AW212" i="43"/>
  <c r="AV212" i="43"/>
  <c r="BC211" i="43"/>
  <c r="BB211" i="43"/>
  <c r="AZ211" i="43"/>
  <c r="AW211" i="43"/>
  <c r="AV211" i="43"/>
  <c r="BC210" i="43"/>
  <c r="BB210" i="43"/>
  <c r="AZ210" i="43"/>
  <c r="AW210" i="43"/>
  <c r="AV210" i="43"/>
  <c r="BC209" i="43"/>
  <c r="BB209" i="43"/>
  <c r="AZ209" i="43"/>
  <c r="AW209" i="43"/>
  <c r="AV209" i="43"/>
  <c r="AZ208" i="43"/>
  <c r="AW208" i="43"/>
  <c r="AV208" i="43"/>
  <c r="BC207" i="43"/>
  <c r="BB207" i="43"/>
  <c r="AZ207" i="43"/>
  <c r="AW207" i="43"/>
  <c r="BC205" i="43"/>
  <c r="BB205" i="43"/>
  <c r="AZ205" i="43"/>
  <c r="AW205" i="43"/>
  <c r="AV205" i="43"/>
  <c r="BC204" i="43"/>
  <c r="BB204" i="43"/>
  <c r="AZ204" i="43"/>
  <c r="AW204" i="43"/>
  <c r="AV204" i="43"/>
  <c r="BC203" i="43"/>
  <c r="BB203" i="43"/>
  <c r="AZ203" i="43"/>
  <c r="AW203" i="43"/>
  <c r="AV203" i="43"/>
  <c r="AZ202" i="43"/>
  <c r="AW202" i="43"/>
  <c r="AV202" i="43"/>
  <c r="BC201" i="43"/>
  <c r="BB201" i="43"/>
  <c r="AZ201" i="43"/>
  <c r="AW201" i="43"/>
  <c r="BC199" i="43"/>
  <c r="BB199" i="43"/>
  <c r="AZ199" i="43"/>
  <c r="AW199" i="43"/>
  <c r="AV199" i="43"/>
  <c r="BC198" i="43"/>
  <c r="BB198" i="43"/>
  <c r="AZ198" i="43"/>
  <c r="AW198" i="43"/>
  <c r="AV198" i="43"/>
  <c r="BC197" i="43"/>
  <c r="BB197" i="43"/>
  <c r="AZ197" i="43"/>
  <c r="AW197" i="43"/>
  <c r="AV197" i="43"/>
  <c r="AZ196" i="43"/>
  <c r="AW196" i="43"/>
  <c r="AV196" i="43"/>
  <c r="BC195" i="43"/>
  <c r="BB195" i="43"/>
  <c r="AZ195" i="43"/>
  <c r="AW195" i="43"/>
  <c r="BC193" i="43"/>
  <c r="BB193" i="43"/>
  <c r="AZ193" i="43"/>
  <c r="AW193" i="43"/>
  <c r="AV193" i="43"/>
  <c r="BC192" i="43"/>
  <c r="BB192" i="43"/>
  <c r="AZ192" i="43"/>
  <c r="AW192" i="43"/>
  <c r="AV192" i="43"/>
  <c r="BC191" i="43"/>
  <c r="BB191" i="43"/>
  <c r="AZ191" i="43"/>
  <c r="AW191" i="43"/>
  <c r="AV191" i="43"/>
  <c r="BC190" i="43"/>
  <c r="BB190" i="43"/>
  <c r="AZ190" i="43"/>
  <c r="AW190" i="43"/>
  <c r="AV190" i="43"/>
  <c r="BC189" i="43"/>
  <c r="BB189" i="43"/>
  <c r="AZ189" i="43"/>
  <c r="AW189" i="43"/>
  <c r="AV189" i="43"/>
  <c r="BC188" i="43"/>
  <c r="BB188" i="43"/>
  <c r="AZ188" i="43"/>
  <c r="AW188" i="43"/>
  <c r="AV188" i="43"/>
  <c r="BC186" i="43"/>
  <c r="BB186" i="43"/>
  <c r="AZ186" i="43"/>
  <c r="AW186" i="43"/>
  <c r="AV186" i="43"/>
  <c r="BC185" i="43"/>
  <c r="BB185" i="43"/>
  <c r="AZ185" i="43"/>
  <c r="AW185" i="43"/>
  <c r="AV185" i="43"/>
  <c r="BC184" i="43"/>
  <c r="BB184" i="43"/>
  <c r="AZ184" i="43"/>
  <c r="AW184" i="43"/>
  <c r="AV184" i="43"/>
  <c r="BC183" i="43"/>
  <c r="BB183" i="43"/>
  <c r="AZ183" i="43"/>
  <c r="AW183" i="43"/>
  <c r="AV183" i="43"/>
  <c r="BC182" i="43"/>
  <c r="BB182" i="43"/>
  <c r="AZ182" i="43"/>
  <c r="AW182" i="43"/>
  <c r="AV182" i="43"/>
  <c r="BC181" i="43"/>
  <c r="BB181" i="43"/>
  <c r="AZ181" i="43"/>
  <c r="AW181" i="43"/>
  <c r="BC179" i="43"/>
  <c r="BB179" i="43"/>
  <c r="AZ179" i="43"/>
  <c r="AW179" i="43"/>
  <c r="AV179" i="43"/>
  <c r="BC178" i="43"/>
  <c r="BB178" i="43"/>
  <c r="AZ178" i="43"/>
  <c r="AW178" i="43"/>
  <c r="AV178" i="43"/>
  <c r="BC177" i="43"/>
  <c r="BB177" i="43"/>
  <c r="AZ177" i="43"/>
  <c r="AW177" i="43"/>
  <c r="AV177" i="43"/>
  <c r="BC176" i="43"/>
  <c r="BB176" i="43"/>
  <c r="AZ176" i="43"/>
  <c r="AW176" i="43"/>
  <c r="AV176" i="43"/>
  <c r="BC175" i="43"/>
  <c r="BB175" i="43"/>
  <c r="AZ175" i="43"/>
  <c r="AW175" i="43"/>
  <c r="BC173" i="43"/>
  <c r="BB173" i="43"/>
  <c r="AZ173" i="43"/>
  <c r="AW173" i="43"/>
  <c r="AV173" i="43"/>
  <c r="BC172" i="43"/>
  <c r="BB172" i="43"/>
  <c r="AZ172" i="43"/>
  <c r="AW172" i="43"/>
  <c r="AV172" i="43"/>
  <c r="BC171" i="43"/>
  <c r="BB171" i="43"/>
  <c r="AZ171" i="43"/>
  <c r="AW171" i="43"/>
  <c r="AV171" i="43"/>
  <c r="BC170" i="43"/>
  <c r="BB170" i="43"/>
  <c r="AZ170" i="43"/>
  <c r="AW170" i="43"/>
  <c r="AV170" i="43"/>
  <c r="BC169" i="43"/>
  <c r="BB169" i="43"/>
  <c r="AZ169" i="43"/>
  <c r="AW169" i="43"/>
  <c r="BC167" i="43"/>
  <c r="BB167" i="43"/>
  <c r="AZ167" i="43"/>
  <c r="AW167" i="43"/>
  <c r="AV167" i="43"/>
  <c r="BC166" i="43"/>
  <c r="BB166" i="43"/>
  <c r="AZ166" i="43"/>
  <c r="AW166" i="43"/>
  <c r="AV166" i="43"/>
  <c r="BC165" i="43"/>
  <c r="BB165" i="43"/>
  <c r="AZ165" i="43"/>
  <c r="AW165" i="43"/>
  <c r="AV165" i="43"/>
  <c r="BC164" i="43"/>
  <c r="BB164" i="43"/>
  <c r="AZ164" i="43"/>
  <c r="AW164" i="43"/>
  <c r="AV164" i="43"/>
  <c r="BC163" i="43"/>
  <c r="BB163" i="43"/>
  <c r="AZ163" i="43"/>
  <c r="AW163" i="43"/>
  <c r="BC161" i="43"/>
  <c r="BB161" i="43"/>
  <c r="AZ161" i="43"/>
  <c r="AW161" i="43"/>
  <c r="AV161" i="43"/>
  <c r="BC160" i="43"/>
  <c r="BB160" i="43"/>
  <c r="AZ160" i="43"/>
  <c r="AW160" i="43"/>
  <c r="AV160" i="43"/>
  <c r="BC159" i="43"/>
  <c r="BB159" i="43"/>
  <c r="AZ159" i="43"/>
  <c r="AW159" i="43"/>
  <c r="AV159" i="43"/>
  <c r="BC158" i="43"/>
  <c r="BB158" i="43"/>
  <c r="AZ158" i="43"/>
  <c r="AW158" i="43"/>
  <c r="AV158" i="43"/>
  <c r="BC156" i="43"/>
  <c r="BB156" i="43"/>
  <c r="AZ156" i="43"/>
  <c r="AW156" i="43"/>
  <c r="AV156" i="43"/>
  <c r="BC155" i="43"/>
  <c r="BB155" i="43"/>
  <c r="AZ155" i="43"/>
  <c r="AW155" i="43"/>
  <c r="AV155" i="43"/>
  <c r="BC154" i="43"/>
  <c r="BB154" i="43"/>
  <c r="AZ154" i="43"/>
  <c r="AW154" i="43"/>
  <c r="AV154" i="43"/>
  <c r="BC153" i="43"/>
  <c r="BB153" i="43"/>
  <c r="AZ153" i="43"/>
  <c r="AW153" i="43"/>
  <c r="AV153" i="43"/>
  <c r="BC152" i="43"/>
  <c r="BB152" i="43"/>
  <c r="AZ152" i="43"/>
  <c r="AW152" i="43"/>
  <c r="BC150" i="43"/>
  <c r="BB150" i="43"/>
  <c r="AZ150" i="43"/>
  <c r="AW150" i="43"/>
  <c r="AV150" i="43"/>
  <c r="BC149" i="43"/>
  <c r="BB149" i="43"/>
  <c r="AZ149" i="43"/>
  <c r="AW149" i="43"/>
  <c r="AV149" i="43"/>
  <c r="BC148" i="43"/>
  <c r="BB148" i="43"/>
  <c r="AZ148" i="43"/>
  <c r="AW148" i="43"/>
  <c r="AV148" i="43"/>
  <c r="BC147" i="43"/>
  <c r="BB147" i="43"/>
  <c r="AZ147" i="43"/>
  <c r="AW147" i="43"/>
  <c r="AV147" i="43"/>
  <c r="BC146" i="43"/>
  <c r="BB146" i="43"/>
  <c r="AZ146" i="43"/>
  <c r="AW146" i="43"/>
  <c r="BC144" i="43"/>
  <c r="BB144" i="43"/>
  <c r="AZ144" i="43"/>
  <c r="AW144" i="43"/>
  <c r="AV144" i="43"/>
  <c r="BC143" i="43"/>
  <c r="BB143" i="43"/>
  <c r="AZ143" i="43"/>
  <c r="AW143" i="43"/>
  <c r="AV143" i="43"/>
  <c r="BC142" i="43"/>
  <c r="BB142" i="43"/>
  <c r="AZ142" i="43"/>
  <c r="AW142" i="43"/>
  <c r="AV142" i="43"/>
  <c r="BC141" i="43"/>
  <c r="BB141" i="43"/>
  <c r="AZ141" i="43"/>
  <c r="AW141" i="43"/>
  <c r="AV141" i="43"/>
  <c r="BC140" i="43"/>
  <c r="BB140" i="43"/>
  <c r="AZ140" i="43"/>
  <c r="AW140" i="43"/>
  <c r="BC138" i="43"/>
  <c r="BB138" i="43"/>
  <c r="AZ138" i="43"/>
  <c r="AW138" i="43"/>
  <c r="AV138" i="43"/>
  <c r="BC137" i="43"/>
  <c r="BB137" i="43"/>
  <c r="AZ137" i="43"/>
  <c r="AW137" i="43"/>
  <c r="AV137" i="43"/>
  <c r="BC136" i="43"/>
  <c r="BB136" i="43"/>
  <c r="AZ136" i="43"/>
  <c r="AW136" i="43"/>
  <c r="AV136" i="43"/>
  <c r="BC135" i="43"/>
  <c r="BB135" i="43"/>
  <c r="AZ135" i="43"/>
  <c r="AW135" i="43"/>
  <c r="AV135" i="43"/>
  <c r="BC134" i="43"/>
  <c r="BB134" i="43"/>
  <c r="AZ134" i="43"/>
  <c r="AW134" i="43"/>
  <c r="AV134" i="43"/>
  <c r="BC133" i="43"/>
  <c r="BB133" i="43"/>
  <c r="AZ133" i="43"/>
  <c r="AW133" i="43"/>
  <c r="BC131" i="43"/>
  <c r="BB131" i="43"/>
  <c r="AZ131" i="43"/>
  <c r="AW131" i="43"/>
  <c r="AV131" i="43"/>
  <c r="BC130" i="43"/>
  <c r="BB130" i="43"/>
  <c r="AZ130" i="43"/>
  <c r="AW130" i="43"/>
  <c r="BC129" i="43"/>
  <c r="BB129" i="43"/>
  <c r="AZ129" i="43"/>
  <c r="AW129" i="43"/>
  <c r="AV129" i="43"/>
  <c r="BC128" i="43"/>
  <c r="BB128" i="43"/>
  <c r="AZ128" i="43"/>
  <c r="AW128" i="43"/>
  <c r="AV128" i="43"/>
  <c r="BC127" i="43"/>
  <c r="BB127" i="43"/>
  <c r="AZ127" i="43"/>
  <c r="AW127" i="43"/>
  <c r="BC126" i="43"/>
  <c r="BB126" i="43"/>
  <c r="AZ126" i="43"/>
  <c r="AW126" i="43"/>
  <c r="BC124" i="43"/>
  <c r="BB124" i="43"/>
  <c r="AZ124" i="43"/>
  <c r="AW124" i="43"/>
  <c r="AV124" i="43"/>
  <c r="BC123" i="43"/>
  <c r="BB123" i="43"/>
  <c r="AZ123" i="43"/>
  <c r="AW123" i="43"/>
  <c r="AV123" i="43"/>
  <c r="BC122" i="43"/>
  <c r="BB122" i="43"/>
  <c r="AZ122" i="43"/>
  <c r="AW122" i="43"/>
  <c r="AV122" i="43"/>
  <c r="BC121" i="43"/>
  <c r="BB121" i="43"/>
  <c r="AZ121" i="43"/>
  <c r="AW121" i="43"/>
  <c r="BC119" i="43"/>
  <c r="BB119" i="43"/>
  <c r="AZ119" i="43"/>
  <c r="AW119" i="43"/>
  <c r="AV119" i="43"/>
  <c r="BC118" i="43"/>
  <c r="BB118" i="43"/>
  <c r="AZ118" i="43"/>
  <c r="AW118" i="43"/>
  <c r="AV118" i="43"/>
  <c r="BC117" i="43"/>
  <c r="BB117" i="43"/>
  <c r="AZ117" i="43"/>
  <c r="AW117" i="43"/>
  <c r="BC115" i="43"/>
  <c r="BB115" i="43"/>
  <c r="AZ115" i="43"/>
  <c r="AW115" i="43"/>
  <c r="AV115" i="43"/>
  <c r="BC114" i="43"/>
  <c r="BB114" i="43"/>
  <c r="AZ114" i="43"/>
  <c r="AW114" i="43"/>
  <c r="BC112" i="43"/>
  <c r="BB112" i="43"/>
  <c r="AZ112" i="43"/>
  <c r="AW112" i="43"/>
  <c r="AV112" i="43"/>
  <c r="BC111" i="43"/>
  <c r="BB111" i="43"/>
  <c r="AZ111" i="43"/>
  <c r="AW111" i="43"/>
  <c r="AV111" i="43"/>
  <c r="BC110" i="43"/>
  <c r="BB110" i="43"/>
  <c r="AZ110" i="43"/>
  <c r="AW110" i="43"/>
  <c r="BC108" i="43"/>
  <c r="BB108" i="43"/>
  <c r="AZ108" i="43"/>
  <c r="AW108" i="43"/>
  <c r="AV108" i="43"/>
  <c r="BC107" i="43"/>
  <c r="BB107" i="43"/>
  <c r="AZ107" i="43"/>
  <c r="AW107" i="43"/>
  <c r="AV107" i="43"/>
  <c r="BC106" i="43"/>
  <c r="BB106" i="43"/>
  <c r="AZ106" i="43"/>
  <c r="AW106" i="43"/>
  <c r="BC104" i="43"/>
  <c r="BB104" i="43"/>
  <c r="AZ104" i="43"/>
  <c r="AW104" i="43"/>
  <c r="AV104" i="43"/>
  <c r="BC103" i="43"/>
  <c r="BB103" i="43"/>
  <c r="AZ103" i="43"/>
  <c r="AW103" i="43"/>
  <c r="BC101" i="43"/>
  <c r="BB101" i="43"/>
  <c r="AZ101" i="43"/>
  <c r="AW101" i="43"/>
  <c r="AV101" i="43"/>
  <c r="BC100" i="43"/>
  <c r="BB100" i="43"/>
  <c r="AZ100" i="43"/>
  <c r="AW100" i="43"/>
  <c r="AV100" i="43"/>
  <c r="BC99" i="43"/>
  <c r="BB99" i="43"/>
  <c r="AZ99" i="43"/>
  <c r="AW99" i="43"/>
  <c r="BC97" i="43"/>
  <c r="BB97" i="43"/>
  <c r="AZ97" i="43"/>
  <c r="AW97" i="43"/>
  <c r="AV97" i="43"/>
  <c r="BC96" i="43"/>
  <c r="BB96" i="43"/>
  <c r="AZ96" i="43"/>
  <c r="AW96" i="43"/>
  <c r="AV96" i="43"/>
  <c r="BC95" i="43"/>
  <c r="BB95" i="43"/>
  <c r="AZ95" i="43"/>
  <c r="AW95" i="43"/>
  <c r="BC93" i="43"/>
  <c r="BB93" i="43"/>
  <c r="AZ93" i="43"/>
  <c r="AW93" i="43"/>
  <c r="AV93" i="43"/>
  <c r="BC91" i="43"/>
  <c r="BB91" i="43"/>
  <c r="AZ91" i="43"/>
  <c r="AW91" i="43"/>
  <c r="AV91" i="43"/>
  <c r="BC89" i="43"/>
  <c r="BB89" i="43"/>
  <c r="AZ89" i="43"/>
  <c r="AW89" i="43"/>
  <c r="AV89" i="43"/>
  <c r="BC88" i="43"/>
  <c r="BB88" i="43"/>
  <c r="AZ88" i="43"/>
  <c r="AW88" i="43"/>
  <c r="AV88" i="43"/>
  <c r="BC87" i="43"/>
  <c r="BB87" i="43"/>
  <c r="AZ87" i="43"/>
  <c r="AW87" i="43"/>
  <c r="BC85" i="43"/>
  <c r="BB85" i="43"/>
  <c r="AZ85" i="43"/>
  <c r="AW85" i="43"/>
  <c r="AV85" i="43"/>
  <c r="BC84" i="43"/>
  <c r="BB84" i="43"/>
  <c r="AZ84" i="43"/>
  <c r="AW84" i="43"/>
  <c r="AV84" i="43"/>
  <c r="BC83" i="43"/>
  <c r="BB83" i="43"/>
  <c r="AZ83" i="43"/>
  <c r="AW83" i="43"/>
  <c r="BC81" i="43"/>
  <c r="BB81" i="43"/>
  <c r="AZ81" i="43"/>
  <c r="AW81" i="43"/>
  <c r="AV81" i="43"/>
  <c r="BC80" i="43"/>
  <c r="BB80" i="43"/>
  <c r="AZ80" i="43"/>
  <c r="AW80" i="43"/>
  <c r="BC78" i="43"/>
  <c r="BB78" i="43"/>
  <c r="AZ78" i="43"/>
  <c r="AW78" i="43"/>
  <c r="AV78" i="43"/>
  <c r="BC77" i="43"/>
  <c r="BB77" i="43"/>
  <c r="AZ77" i="43"/>
  <c r="AW77" i="43"/>
  <c r="AV77" i="43"/>
  <c r="BC76" i="43"/>
  <c r="BB76" i="43"/>
  <c r="AZ76" i="43"/>
  <c r="AW76" i="43"/>
  <c r="BC74" i="43"/>
  <c r="BB74" i="43"/>
  <c r="AZ74" i="43"/>
  <c r="AW74" i="43"/>
  <c r="AV74" i="43"/>
  <c r="BC73" i="43"/>
  <c r="BB73" i="43"/>
  <c r="AZ73" i="43"/>
  <c r="AW73" i="43"/>
  <c r="AV73" i="43"/>
  <c r="BC72" i="43"/>
  <c r="BB72" i="43"/>
  <c r="AZ72" i="43"/>
  <c r="AW72" i="43"/>
  <c r="AV72" i="43"/>
  <c r="BC71" i="43"/>
  <c r="BB71" i="43"/>
  <c r="AZ71" i="43"/>
  <c r="AW71" i="43"/>
  <c r="BC69" i="43"/>
  <c r="BB69" i="43"/>
  <c r="AZ69" i="43"/>
  <c r="AW69" i="43"/>
  <c r="AV69" i="43"/>
  <c r="BC68" i="43"/>
  <c r="BB68" i="43"/>
  <c r="AZ68" i="43"/>
  <c r="AW68" i="43"/>
  <c r="BC66" i="43"/>
  <c r="BB66" i="43"/>
  <c r="AZ66" i="43"/>
  <c r="AW66" i="43"/>
  <c r="AV66" i="43"/>
  <c r="BC65" i="43"/>
  <c r="BB65" i="43"/>
  <c r="AZ65" i="43"/>
  <c r="AW65" i="43"/>
  <c r="AV65" i="43"/>
  <c r="BC64" i="43"/>
  <c r="BB64" i="43"/>
  <c r="AZ64" i="43"/>
  <c r="AW64" i="43"/>
  <c r="BC62" i="43"/>
  <c r="BB62" i="43"/>
  <c r="AZ62" i="43"/>
  <c r="AW62" i="43"/>
  <c r="AV62" i="43"/>
  <c r="BC61" i="43"/>
  <c r="BB61" i="43"/>
  <c r="AZ61" i="43"/>
  <c r="AW61" i="43"/>
  <c r="AV61" i="43"/>
  <c r="BC60" i="43"/>
  <c r="BB60" i="43"/>
  <c r="AZ60" i="43"/>
  <c r="AW60" i="43"/>
  <c r="AV60" i="43"/>
  <c r="BC58" i="43"/>
  <c r="BB58" i="43"/>
  <c r="AZ58" i="43"/>
  <c r="AW58" i="43"/>
  <c r="AV58" i="43"/>
  <c r="BC57" i="43"/>
  <c r="BB57" i="43"/>
  <c r="AZ57" i="43"/>
  <c r="AW57" i="43"/>
  <c r="AV57" i="43"/>
  <c r="BC56" i="43"/>
  <c r="BB56" i="43"/>
  <c r="AZ56" i="43"/>
  <c r="AW56" i="43"/>
  <c r="BC54" i="43"/>
  <c r="BB54" i="43"/>
  <c r="AZ54" i="43"/>
  <c r="AW54" i="43"/>
  <c r="AV54" i="43"/>
  <c r="BC53" i="43"/>
  <c r="BB53" i="43"/>
  <c r="AZ53" i="43"/>
  <c r="AW53" i="43"/>
  <c r="BC51" i="43"/>
  <c r="BB51" i="43"/>
  <c r="AZ51" i="43"/>
  <c r="AW51" i="43"/>
  <c r="AV51" i="43"/>
  <c r="BC50" i="43"/>
  <c r="BB50" i="43"/>
  <c r="AZ50" i="43"/>
  <c r="AW50" i="43"/>
  <c r="BC48" i="43"/>
  <c r="BB48" i="43"/>
  <c r="AZ48" i="43"/>
  <c r="AW48" i="43"/>
  <c r="AV48" i="43"/>
  <c r="BC47" i="43"/>
  <c r="BB47" i="43"/>
  <c r="AZ47" i="43"/>
  <c r="AW47" i="43"/>
  <c r="BC45" i="43"/>
  <c r="BB45" i="43"/>
  <c r="AZ45" i="43"/>
  <c r="AW45" i="43"/>
  <c r="AV45" i="43"/>
  <c r="BC44" i="43"/>
  <c r="BB44" i="43"/>
  <c r="AZ44" i="43"/>
  <c r="AW44" i="43"/>
  <c r="AV44" i="43"/>
  <c r="BC43" i="43"/>
  <c r="BB43" i="43"/>
  <c r="AZ43" i="43"/>
  <c r="AW43" i="43"/>
  <c r="BC41" i="43"/>
  <c r="BB41" i="43"/>
  <c r="AZ41" i="43"/>
  <c r="AW41" i="43"/>
  <c r="AV41" i="43"/>
  <c r="BC40" i="43"/>
  <c r="BB40" i="43"/>
  <c r="AZ40" i="43"/>
  <c r="AW40" i="43"/>
  <c r="BC38" i="43"/>
  <c r="BB38" i="43"/>
  <c r="AZ38" i="43"/>
  <c r="AW38" i="43"/>
  <c r="AV38" i="43"/>
  <c r="BC37" i="43"/>
  <c r="BB37" i="43"/>
  <c r="AZ37" i="43"/>
  <c r="AW37" i="43"/>
  <c r="AV37" i="43"/>
  <c r="BC36" i="43"/>
  <c r="BB36" i="43"/>
  <c r="AZ36" i="43"/>
  <c r="AW36" i="43"/>
  <c r="BC34" i="43"/>
  <c r="BB34" i="43"/>
  <c r="AZ34" i="43"/>
  <c r="AW34" i="43"/>
  <c r="AV34" i="43"/>
  <c r="BC33" i="43"/>
  <c r="BB33" i="43"/>
  <c r="AZ33" i="43"/>
  <c r="AW33" i="43"/>
  <c r="AV33" i="43"/>
  <c r="BC32" i="43"/>
  <c r="BB32" i="43"/>
  <c r="AZ32" i="43"/>
  <c r="AW32" i="43"/>
  <c r="BC30" i="43"/>
  <c r="BB30" i="43"/>
  <c r="AZ30" i="43"/>
  <c r="AW30" i="43"/>
  <c r="AV30" i="43"/>
  <c r="BC28" i="43"/>
  <c r="BB28" i="43"/>
  <c r="AZ28" i="43"/>
  <c r="AW28" i="43"/>
  <c r="BC26" i="43"/>
  <c r="BB26" i="43"/>
  <c r="AZ26" i="43"/>
  <c r="AW26" i="43"/>
  <c r="AV26" i="43"/>
  <c r="BC25" i="43"/>
  <c r="BB25" i="43"/>
  <c r="AZ25" i="43"/>
  <c r="AW25" i="43"/>
  <c r="AV25" i="43"/>
  <c r="BC24" i="43"/>
  <c r="BB24" i="43"/>
  <c r="AZ24" i="43"/>
  <c r="AW24" i="43"/>
  <c r="AV24" i="43"/>
  <c r="BC23" i="43"/>
  <c r="BB23" i="43"/>
  <c r="AZ23" i="43"/>
  <c r="AW23" i="43"/>
  <c r="BC21" i="43"/>
  <c r="BB21" i="43"/>
  <c r="AZ21" i="43"/>
  <c r="AW21" i="43"/>
  <c r="AV21" i="43"/>
  <c r="BC20" i="43"/>
  <c r="BB20" i="43"/>
  <c r="AZ20" i="43"/>
  <c r="AW20" i="43"/>
  <c r="AV20" i="43"/>
  <c r="BC19" i="43"/>
  <c r="BB19" i="43"/>
  <c r="AZ19" i="43"/>
  <c r="AW19" i="43"/>
  <c r="BC17" i="43"/>
  <c r="BB17" i="43"/>
  <c r="AZ17" i="43"/>
  <c r="AW17" i="43"/>
  <c r="BC16" i="43"/>
  <c r="BB16" i="43"/>
  <c r="AZ16" i="43"/>
  <c r="AW16" i="43"/>
  <c r="AV16" i="43"/>
  <c r="BC15" i="43"/>
  <c r="BB15" i="43"/>
  <c r="AZ15" i="43"/>
  <c r="AW15" i="43"/>
  <c r="AV15" i="43"/>
  <c r="BC14" i="43"/>
  <c r="BB14" i="43"/>
  <c r="AZ14" i="43"/>
  <c r="AW14" i="43"/>
  <c r="AW12" i="44"/>
  <c r="BC12" i="43"/>
  <c r="BC13" i="43" s="1"/>
  <c r="AZ12" i="43"/>
  <c r="AZ13" i="43" s="1"/>
  <c r="AW12" i="43"/>
  <c r="AW114" i="44" l="1"/>
  <c r="AW115" i="44" s="1"/>
  <c r="AW106" i="44"/>
  <c r="AW107" i="44" s="1"/>
  <c r="AW297" i="43"/>
  <c r="AW323" i="43"/>
  <c r="AW257" i="43"/>
  <c r="AZ42" i="44"/>
  <c r="BC28" i="44"/>
  <c r="BC35" i="44"/>
  <c r="BC49" i="44"/>
  <c r="AW19" i="44"/>
  <c r="BB31" i="43"/>
  <c r="BB42" i="43"/>
  <c r="AZ49" i="43"/>
  <c r="BC52" i="43"/>
  <c r="AZ55" i="43"/>
  <c r="BB70" i="43"/>
  <c r="AZ82" i="43"/>
  <c r="AZ94" i="43"/>
  <c r="AZ105" i="43"/>
  <c r="AZ116" i="43"/>
  <c r="AW335" i="43"/>
  <c r="BC410" i="43"/>
  <c r="AW461" i="43"/>
  <c r="AW75" i="43"/>
  <c r="AW79" i="43"/>
  <c r="BC86" i="43"/>
  <c r="AW90" i="43"/>
  <c r="BC98" i="43"/>
  <c r="AW174" i="43"/>
  <c r="AW194" i="43"/>
  <c r="BC206" i="43"/>
  <c r="AW213" i="43"/>
  <c r="AW219" i="43"/>
  <c r="BC225" i="43"/>
  <c r="AW243" i="43"/>
  <c r="BC249" i="43"/>
  <c r="BC262" i="43"/>
  <c r="AW266" i="43"/>
  <c r="AW276" i="43"/>
  <c r="BC362" i="43"/>
  <c r="BC369" i="43"/>
  <c r="BC388" i="43"/>
  <c r="BC399" i="43"/>
  <c r="AW423" i="43"/>
  <c r="AW437" i="43"/>
  <c r="AW451" i="43"/>
  <c r="AW35" i="43"/>
  <c r="AW46" i="43"/>
  <c r="BC59" i="43"/>
  <c r="AW63" i="43"/>
  <c r="AW102" i="43"/>
  <c r="BC109" i="43"/>
  <c r="AW113" i="43"/>
  <c r="BC120" i="43"/>
  <c r="AW125" i="43"/>
  <c r="AW132" i="43"/>
  <c r="AW145" i="43"/>
  <c r="BC151" i="43"/>
  <c r="BC180" i="43"/>
  <c r="BC31" i="43"/>
  <c r="BC42" i="43"/>
  <c r="BC70" i="43"/>
  <c r="AW410" i="43"/>
  <c r="BB27" i="43"/>
  <c r="BB139" i="43"/>
  <c r="BB157" i="43"/>
  <c r="BB187" i="43"/>
  <c r="BB200" i="43"/>
  <c r="BB231" i="43"/>
  <c r="BB256" i="43"/>
  <c r="BB392" i="43"/>
  <c r="BB430" i="43"/>
  <c r="BB444" i="43"/>
  <c r="BB458" i="43"/>
  <c r="BB465" i="43"/>
  <c r="BB49" i="43"/>
  <c r="BB55" i="43"/>
  <c r="BB82" i="43"/>
  <c r="AZ18" i="43"/>
  <c r="AZ22" i="43"/>
  <c r="AZ39" i="43"/>
  <c r="AZ67" i="43"/>
  <c r="AZ237" i="43"/>
  <c r="AZ272" i="43"/>
  <c r="AZ373" i="43"/>
  <c r="AZ382" i="43"/>
  <c r="AZ406" i="43"/>
  <c r="AZ416" i="43"/>
  <c r="AZ168" i="43"/>
  <c r="BB94" i="43"/>
  <c r="AZ461" i="43"/>
  <c r="AZ56" i="44"/>
  <c r="AZ70" i="44"/>
  <c r="BC77" i="44"/>
  <c r="AZ84" i="44"/>
  <c r="BC91" i="44"/>
  <c r="AZ95" i="44"/>
  <c r="BB101" i="44"/>
  <c r="AZ105" i="44"/>
  <c r="BC124" i="44"/>
  <c r="BC130" i="44"/>
  <c r="AZ162" i="43"/>
  <c r="AZ283" i="43"/>
  <c r="AV288" i="43"/>
  <c r="BC288" i="43"/>
  <c r="BC296" i="43"/>
  <c r="BC305" i="43"/>
  <c r="AZ312" i="43"/>
  <c r="BC316" i="43"/>
  <c r="AW322" i="43"/>
  <c r="BB328" i="43"/>
  <c r="BC332" i="43"/>
  <c r="BB344" i="43"/>
  <c r="BB350" i="43"/>
  <c r="AZ357" i="43"/>
  <c r="BB105" i="43"/>
  <c r="BB116" i="43"/>
  <c r="AZ335" i="43"/>
  <c r="AZ35" i="43"/>
  <c r="AZ63" i="43"/>
  <c r="AZ79" i="43"/>
  <c r="AW86" i="43"/>
  <c r="AW109" i="43"/>
  <c r="AW120" i="43"/>
  <c r="AW262" i="43"/>
  <c r="AW316" i="43"/>
  <c r="BC328" i="43"/>
  <c r="BC392" i="43"/>
  <c r="BB22" i="43"/>
  <c r="AZ46" i="43"/>
  <c r="AW59" i="43"/>
  <c r="BB67" i="43"/>
  <c r="AZ90" i="43"/>
  <c r="AW98" i="43"/>
  <c r="AZ102" i="43"/>
  <c r="AZ113" i="43"/>
  <c r="BC200" i="43"/>
  <c r="AW206" i="43"/>
  <c r="AZ266" i="43"/>
  <c r="AZ276" i="43"/>
  <c r="AW332" i="43"/>
  <c r="BB373" i="43"/>
  <c r="BC465" i="43"/>
  <c r="AW31" i="43"/>
  <c r="AW42" i="43"/>
  <c r="BC49" i="43"/>
  <c r="AZ52" i="43"/>
  <c r="BC55" i="43"/>
  <c r="AW70" i="43"/>
  <c r="BC82" i="43"/>
  <c r="AV94" i="43"/>
  <c r="BC94" i="43"/>
  <c r="BC105" i="43"/>
  <c r="BC116" i="43"/>
  <c r="BB39" i="43"/>
  <c r="BB95" i="44"/>
  <c r="BB105" i="44"/>
  <c r="AZ113" i="44"/>
  <c r="BC63" i="44"/>
  <c r="AZ19" i="44"/>
  <c r="AW28" i="44"/>
  <c r="AW35" i="44"/>
  <c r="BB42" i="44"/>
  <c r="AW49" i="44"/>
  <c r="BB56" i="44"/>
  <c r="AW63" i="44"/>
  <c r="BB70" i="44"/>
  <c r="AW77" i="44"/>
  <c r="BB84" i="44"/>
  <c r="AW91" i="44"/>
  <c r="BC101" i="44"/>
  <c r="BB113" i="44"/>
  <c r="AW124" i="44"/>
  <c r="AW130" i="44"/>
  <c r="BB19" i="44"/>
  <c r="AZ28" i="44"/>
  <c r="AZ35" i="44"/>
  <c r="AV42" i="44"/>
  <c r="BC42" i="44"/>
  <c r="AZ49" i="44"/>
  <c r="AV56" i="44"/>
  <c r="BC56" i="44"/>
  <c r="AZ63" i="44"/>
  <c r="BC70" i="44"/>
  <c r="AZ77" i="44"/>
  <c r="BC84" i="44"/>
  <c r="AZ91" i="44"/>
  <c r="AV95" i="44"/>
  <c r="BC95" i="44"/>
  <c r="AW101" i="44"/>
  <c r="BC105" i="44"/>
  <c r="AV113" i="44"/>
  <c r="BC113" i="44"/>
  <c r="AZ124" i="44"/>
  <c r="AZ130" i="44"/>
  <c r="BC19" i="44"/>
  <c r="BB28" i="44"/>
  <c r="BB35" i="44"/>
  <c r="AW42" i="44"/>
  <c r="BB49" i="44"/>
  <c r="AW56" i="44"/>
  <c r="BB63" i="44"/>
  <c r="AW70" i="44"/>
  <c r="BB77" i="44"/>
  <c r="AW84" i="44"/>
  <c r="BB91" i="44"/>
  <c r="AW95" i="44"/>
  <c r="AZ101" i="44"/>
  <c r="AW105" i="44"/>
  <c r="AW113" i="44"/>
  <c r="BB124" i="44"/>
  <c r="BB130" i="44"/>
  <c r="BB18" i="43"/>
  <c r="AZ75" i="43"/>
  <c r="BC139" i="43"/>
  <c r="AZ174" i="43"/>
  <c r="AW180" i="43"/>
  <c r="AZ194" i="43"/>
  <c r="AZ213" i="43"/>
  <c r="AW225" i="43"/>
  <c r="BC231" i="43"/>
  <c r="AW249" i="43"/>
  <c r="BC256" i="43"/>
  <c r="AW288" i="43"/>
  <c r="AW296" i="43"/>
  <c r="BB312" i="43"/>
  <c r="BC344" i="43"/>
  <c r="BC350" i="43"/>
  <c r="BC430" i="43"/>
  <c r="BC458" i="43"/>
  <c r="BC27" i="43"/>
  <c r="AZ132" i="43"/>
  <c r="AZ145" i="43"/>
  <c r="BB162" i="43"/>
  <c r="BB168" i="43"/>
  <c r="BC187" i="43"/>
  <c r="AZ243" i="43"/>
  <c r="BB272" i="43"/>
  <c r="AW362" i="43"/>
  <c r="BB382" i="43"/>
  <c r="AW399" i="43"/>
  <c r="AZ423" i="43"/>
  <c r="AZ437" i="43"/>
  <c r="BC444" i="43"/>
  <c r="BC18" i="43"/>
  <c r="BC22" i="43"/>
  <c r="AW27" i="43"/>
  <c r="BB35" i="43"/>
  <c r="BC39" i="43"/>
  <c r="BB46" i="43"/>
  <c r="AZ59" i="43"/>
  <c r="BB63" i="43"/>
  <c r="BC67" i="43"/>
  <c r="BB75" i="43"/>
  <c r="BB79" i="43"/>
  <c r="AZ86" i="43"/>
  <c r="BB90" i="43"/>
  <c r="AZ98" i="43"/>
  <c r="BB102" i="43"/>
  <c r="AZ109" i="43"/>
  <c r="BB113" i="43"/>
  <c r="AZ120" i="43"/>
  <c r="BB125" i="43"/>
  <c r="BB132" i="43"/>
  <c r="AW139" i="43"/>
  <c r="BB145" i="43"/>
  <c r="AZ151" i="43"/>
  <c r="AW157" i="43"/>
  <c r="AV162" i="43"/>
  <c r="BC162" i="43"/>
  <c r="BC168" i="43"/>
  <c r="BB174" i="43"/>
  <c r="AZ180" i="43"/>
  <c r="AW187" i="43"/>
  <c r="BB194" i="43"/>
  <c r="AW200" i="43"/>
  <c r="AZ206" i="43"/>
  <c r="BB213" i="43"/>
  <c r="BB219" i="43"/>
  <c r="AZ225" i="43"/>
  <c r="AW231" i="43"/>
  <c r="BC237" i="43"/>
  <c r="BB243" i="43"/>
  <c r="AZ249" i="43"/>
  <c r="AW256" i="43"/>
  <c r="AZ262" i="43"/>
  <c r="BB266" i="43"/>
  <c r="BC272" i="43"/>
  <c r="BB276" i="43"/>
  <c r="BC283" i="43"/>
  <c r="AZ288" i="43"/>
  <c r="AZ296" i="43"/>
  <c r="AZ305" i="43"/>
  <c r="BC312" i="43"/>
  <c r="AZ316" i="43"/>
  <c r="BB322" i="43"/>
  <c r="AW328" i="43"/>
  <c r="AZ332" i="43"/>
  <c r="BB335" i="43"/>
  <c r="AW344" i="43"/>
  <c r="AW350" i="43"/>
  <c r="BC357" i="43"/>
  <c r="AZ362" i="43"/>
  <c r="AZ369" i="43"/>
  <c r="BC373" i="43"/>
  <c r="BC382" i="43"/>
  <c r="AZ388" i="43"/>
  <c r="AW392" i="43"/>
  <c r="AZ399" i="43"/>
  <c r="BC406" i="43"/>
  <c r="AZ410" i="43"/>
  <c r="BC416" i="43"/>
  <c r="BB423" i="43"/>
  <c r="AW430" i="43"/>
  <c r="BB437" i="43"/>
  <c r="AW444" i="43"/>
  <c r="BB451" i="43"/>
  <c r="AW458" i="43"/>
  <c r="BB461" i="43"/>
  <c r="AW465" i="43"/>
  <c r="AZ125" i="43"/>
  <c r="AW151" i="43"/>
  <c r="BC157" i="43"/>
  <c r="AZ219" i="43"/>
  <c r="BB237" i="43"/>
  <c r="BB283" i="43"/>
  <c r="AW305" i="43"/>
  <c r="AZ322" i="43"/>
  <c r="BB357" i="43"/>
  <c r="AW369" i="43"/>
  <c r="AW388" i="43"/>
  <c r="BB406" i="43"/>
  <c r="BB416" i="43"/>
  <c r="AZ451" i="43"/>
  <c r="AW18" i="43"/>
  <c r="AW22" i="43"/>
  <c r="AZ27" i="43"/>
  <c r="AZ31" i="43"/>
  <c r="BC35" i="43"/>
  <c r="AW39" i="43"/>
  <c r="AZ42" i="43"/>
  <c r="BC46" i="43"/>
  <c r="AW49" i="43"/>
  <c r="BB52" i="43"/>
  <c r="AW55" i="43"/>
  <c r="BB59" i="43"/>
  <c r="AV63" i="43"/>
  <c r="BC63" i="43"/>
  <c r="AW67" i="43"/>
  <c r="AZ70" i="43"/>
  <c r="BC75" i="43"/>
  <c r="BC79" i="43"/>
  <c r="AW82" i="43"/>
  <c r="BB86" i="43"/>
  <c r="BC90" i="43"/>
  <c r="AW94" i="43"/>
  <c r="BB98" i="43"/>
  <c r="BC102" i="43"/>
  <c r="AW105" i="43"/>
  <c r="BB109" i="43"/>
  <c r="BC113" i="43"/>
  <c r="AW116" i="43"/>
  <c r="BB120" i="43"/>
  <c r="BC125" i="43"/>
  <c r="BC132" i="43"/>
  <c r="AZ139" i="43"/>
  <c r="BC145" i="43"/>
  <c r="BB151" i="43"/>
  <c r="AZ157" i="43"/>
  <c r="AW162" i="43"/>
  <c r="AW168" i="43"/>
  <c r="BC174" i="43"/>
  <c r="BB180" i="43"/>
  <c r="AZ187" i="43"/>
  <c r="AV194" i="43"/>
  <c r="BC194" i="43"/>
  <c r="AZ200" i="43"/>
  <c r="BB206" i="43"/>
  <c r="BC213" i="43"/>
  <c r="BC219" i="43"/>
  <c r="BB225" i="43"/>
  <c r="AZ231" i="43"/>
  <c r="AW237" i="43"/>
  <c r="BC243" i="43"/>
  <c r="BB249" i="43"/>
  <c r="AZ256" i="43"/>
  <c r="BB262" i="43"/>
  <c r="BC266" i="43"/>
  <c r="AW272" i="43"/>
  <c r="AV276" i="43"/>
  <c r="BC276" i="43"/>
  <c r="AW283" i="43"/>
  <c r="BB288" i="43"/>
  <c r="BB296" i="43"/>
  <c r="BB305" i="43"/>
  <c r="AW312" i="43"/>
  <c r="BB316" i="43"/>
  <c r="BC322" i="43"/>
  <c r="AZ328" i="43"/>
  <c r="BB332" i="43"/>
  <c r="BC335" i="43"/>
  <c r="AZ344" i="43"/>
  <c r="AZ350" i="43"/>
  <c r="AW357" i="43"/>
  <c r="BB362" i="43"/>
  <c r="BB369" i="43"/>
  <c r="AW373" i="43"/>
  <c r="AW382" i="43"/>
  <c r="BB388" i="43"/>
  <c r="AZ392" i="43"/>
  <c r="BB399" i="43"/>
  <c r="AW406" i="43"/>
  <c r="BB410" i="43"/>
  <c r="AW416" i="43"/>
  <c r="BC423" i="43"/>
  <c r="AZ430" i="43"/>
  <c r="BC437" i="43"/>
  <c r="AZ444" i="43"/>
  <c r="BC451" i="43"/>
  <c r="AZ458" i="43"/>
  <c r="AV461" i="43"/>
  <c r="BC461" i="43"/>
  <c r="AZ465" i="43"/>
  <c r="P134" i="44"/>
  <c r="N134" i="44"/>
  <c r="Q134" i="44"/>
  <c r="J134" i="44"/>
  <c r="AY209" i="43"/>
  <c r="AY292" i="43"/>
  <c r="AY366" i="43"/>
  <c r="AY396" i="43"/>
  <c r="AY141" i="43"/>
  <c r="AY155" i="43"/>
  <c r="AY165" i="43"/>
  <c r="AY179" i="43"/>
  <c r="AY193" i="43"/>
  <c r="AY208" i="43"/>
  <c r="AY215" i="43"/>
  <c r="AY224" i="43"/>
  <c r="AY274" i="43"/>
  <c r="AY279" i="43"/>
  <c r="AY318" i="43"/>
  <c r="AY343" i="43"/>
  <c r="AY348" i="43"/>
  <c r="AY367" i="43"/>
  <c r="AY402" i="43"/>
  <c r="AY441" i="43"/>
  <c r="AY446" i="43"/>
  <c r="AY173" i="43"/>
  <c r="AY183" i="43"/>
  <c r="AY302" i="43"/>
  <c r="AY371" i="43"/>
  <c r="AY440" i="43"/>
  <c r="AY454" i="43"/>
  <c r="AW52" i="43"/>
  <c r="AX62" i="43"/>
  <c r="AY137" i="43"/>
  <c r="AX142" i="43"/>
  <c r="AY147" i="43"/>
  <c r="AY166" i="43"/>
  <c r="AY171" i="43"/>
  <c r="AY185" i="43"/>
  <c r="AY211" i="43"/>
  <c r="AY221" i="43"/>
  <c r="AY240" i="43"/>
  <c r="AY275" i="43"/>
  <c r="AY285" i="43"/>
  <c r="AY290" i="43"/>
  <c r="AY294" i="43"/>
  <c r="AY330" i="43"/>
  <c r="AY354" i="43"/>
  <c r="AY359" i="43"/>
  <c r="AY398" i="43"/>
  <c r="AX409" i="43"/>
  <c r="AY442" i="43"/>
  <c r="AY447" i="43"/>
  <c r="AY247" i="43"/>
  <c r="AY282" i="43"/>
  <c r="AX347" i="43"/>
  <c r="AX405" i="43"/>
  <c r="AX138" i="43"/>
  <c r="AY167" i="43"/>
  <c r="AY177" i="43"/>
  <c r="AY196" i="43"/>
  <c r="AY205" i="43"/>
  <c r="AY212" i="43"/>
  <c r="AY227" i="43"/>
  <c r="AY241" i="43"/>
  <c r="AY286" i="43"/>
  <c r="AY310" i="43"/>
  <c r="AY326" i="43"/>
  <c r="AY337" i="43"/>
  <c r="AY341" i="43"/>
  <c r="AY346" i="43"/>
  <c r="AY355" i="43"/>
  <c r="AW375" i="43"/>
  <c r="AX404" i="43"/>
  <c r="AY443" i="43"/>
  <c r="AY448" i="43"/>
  <c r="AX457" i="43"/>
  <c r="AX48" i="44"/>
  <c r="AY62" i="44"/>
  <c r="AY51" i="44"/>
  <c r="AX29" i="44"/>
  <c r="AX52" i="44"/>
  <c r="AY61" i="44"/>
  <c r="AB137" i="44"/>
  <c r="AX72" i="44"/>
  <c r="L143" i="44"/>
  <c r="AU29" i="43"/>
  <c r="O477" i="43"/>
  <c r="BA291" i="43"/>
  <c r="AX447" i="43"/>
  <c r="BA447" i="43"/>
  <c r="BA390" i="43"/>
  <c r="AX227" i="43"/>
  <c r="AX211" i="43"/>
  <c r="R478" i="43"/>
  <c r="BA433" i="43"/>
  <c r="BA404" i="43"/>
  <c r="BA441" i="43"/>
  <c r="BA442" i="43"/>
  <c r="BA443" i="43"/>
  <c r="L476" i="43"/>
  <c r="AX456" i="43"/>
  <c r="M478" i="43"/>
  <c r="BA409" i="43"/>
  <c r="BA457" i="43"/>
  <c r="O136" i="44"/>
  <c r="BA67" i="44"/>
  <c r="O138" i="44"/>
  <c r="P131" i="44"/>
  <c r="R479" i="43"/>
  <c r="AX21" i="43"/>
  <c r="AX34" i="43"/>
  <c r="M472" i="43"/>
  <c r="AH472" i="43"/>
  <c r="AJ466" i="43"/>
  <c r="AQ466" i="43"/>
  <c r="N466" i="43"/>
  <c r="V466" i="43"/>
  <c r="AK466" i="43"/>
  <c r="L478" i="43"/>
  <c r="O472" i="43"/>
  <c r="O473" i="43"/>
  <c r="BA313" i="43"/>
  <c r="BA425" i="43"/>
  <c r="BA440" i="43"/>
  <c r="Q466" i="43"/>
  <c r="AA466" i="43"/>
  <c r="Z466" i="43"/>
  <c r="AP466" i="43"/>
  <c r="P466" i="43"/>
  <c r="W466" i="43"/>
  <c r="AF466" i="43"/>
  <c r="AL466" i="43"/>
  <c r="M137" i="44"/>
  <c r="M143" i="44"/>
  <c r="M144" i="44"/>
  <c r="AH144" i="44"/>
  <c r="AB470" i="43"/>
  <c r="BA261" i="43"/>
  <c r="BA417" i="43"/>
  <c r="BA438" i="43"/>
  <c r="AG466" i="43"/>
  <c r="O144" i="44"/>
  <c r="BA104" i="44"/>
  <c r="M479" i="43"/>
  <c r="AL131" i="44"/>
  <c r="V131" i="44"/>
  <c r="Z131" i="44"/>
  <c r="L470" i="43"/>
  <c r="AV130" i="43"/>
  <c r="R477" i="43"/>
  <c r="AH473" i="43"/>
  <c r="L137" i="44"/>
  <c r="AV17" i="44"/>
  <c r="R142" i="44"/>
  <c r="O135" i="44"/>
  <c r="L144" i="44"/>
  <c r="AH476" i="43"/>
  <c r="AV12" i="44"/>
  <c r="AV13" i="44" s="1"/>
  <c r="R141" i="44"/>
  <c r="M470" i="43"/>
  <c r="AH470" i="43"/>
  <c r="AB476" i="43"/>
  <c r="AX38" i="43"/>
  <c r="L471" i="43"/>
  <c r="AB471" i="43"/>
  <c r="L477" i="43"/>
  <c r="AB477" i="43"/>
  <c r="O478" i="43"/>
  <c r="AX193" i="43"/>
  <c r="AX205" i="43"/>
  <c r="AX221" i="43"/>
  <c r="AX247" i="43"/>
  <c r="R472" i="43"/>
  <c r="R473" i="43"/>
  <c r="AZ137" i="44"/>
  <c r="AH137" i="44"/>
  <c r="L142" i="44"/>
  <c r="AW142" i="44"/>
  <c r="AB142" i="44"/>
  <c r="R135" i="44"/>
  <c r="AH143" i="44"/>
  <c r="AV30" i="44"/>
  <c r="AV35" i="44" s="1"/>
  <c r="R138" i="44"/>
  <c r="AX33" i="44"/>
  <c r="AV64" i="44"/>
  <c r="AV70" i="44" s="1"/>
  <c r="AX80" i="44"/>
  <c r="AQ469" i="43"/>
  <c r="AJ469" i="43"/>
  <c r="Q131" i="44"/>
  <c r="AG131" i="44"/>
  <c r="AH142" i="44"/>
  <c r="AH138" i="44"/>
  <c r="AB136" i="44"/>
  <c r="R136" i="44"/>
  <c r="O479" i="43"/>
  <c r="AV17" i="43"/>
  <c r="R476" i="43"/>
  <c r="AH478" i="43"/>
  <c r="AB143" i="44"/>
  <c r="AB478" i="43"/>
  <c r="L479" i="43"/>
  <c r="AB479" i="43"/>
  <c r="L141" i="44"/>
  <c r="AB141" i="44"/>
  <c r="O470" i="43"/>
  <c r="M476" i="43"/>
  <c r="AX25" i="43"/>
  <c r="AX60" i="43"/>
  <c r="M471" i="43"/>
  <c r="AH471" i="43"/>
  <c r="M477" i="43"/>
  <c r="AZ477" i="43"/>
  <c r="AH477" i="43"/>
  <c r="AX217" i="43"/>
  <c r="L472" i="43"/>
  <c r="AB472" i="43"/>
  <c r="BA264" i="43"/>
  <c r="L473" i="43"/>
  <c r="AY278" i="43"/>
  <c r="AX396" i="43"/>
  <c r="O137" i="44"/>
  <c r="M142" i="44"/>
  <c r="AZ142" i="44"/>
  <c r="L135" i="44"/>
  <c r="AB135" i="44"/>
  <c r="L136" i="44"/>
  <c r="O143" i="44"/>
  <c r="L138" i="44"/>
  <c r="AW138" i="44"/>
  <c r="AB138" i="44"/>
  <c r="BC138" i="44"/>
  <c r="AH479" i="43"/>
  <c r="O141" i="44"/>
  <c r="AV127" i="43"/>
  <c r="R471" i="43"/>
  <c r="AH141" i="44"/>
  <c r="AV14" i="43"/>
  <c r="R470" i="43"/>
  <c r="O476" i="43"/>
  <c r="O471" i="43"/>
  <c r="BA265" i="43"/>
  <c r="M473" i="43"/>
  <c r="AB473" i="43"/>
  <c r="R137" i="44"/>
  <c r="O142" i="44"/>
  <c r="M135" i="44"/>
  <c r="AH135" i="44"/>
  <c r="M136" i="44"/>
  <c r="AH136" i="44"/>
  <c r="AV26" i="44"/>
  <c r="R143" i="44"/>
  <c r="M138" i="44"/>
  <c r="AZ138" i="44"/>
  <c r="AB144" i="44"/>
  <c r="R144" i="44"/>
  <c r="M141" i="44"/>
  <c r="J131" i="44"/>
  <c r="AJ131" i="44"/>
  <c r="AP469" i="43"/>
  <c r="AA469" i="43"/>
  <c r="W469" i="43"/>
  <c r="Q469" i="43"/>
  <c r="AF469" i="43"/>
  <c r="N469" i="43"/>
  <c r="N131" i="44"/>
  <c r="AA131" i="44"/>
  <c r="AK131" i="44"/>
  <c r="W131" i="44"/>
  <c r="AF131" i="44"/>
  <c r="AL469" i="43"/>
  <c r="Z469" i="43"/>
  <c r="V469" i="43"/>
  <c r="P469" i="43"/>
  <c r="AK469" i="43"/>
  <c r="AG469" i="43"/>
  <c r="Y469" i="43"/>
  <c r="J469" i="43"/>
  <c r="W134" i="44"/>
  <c r="V134" i="44"/>
  <c r="AK134" i="44"/>
  <c r="AG134" i="44"/>
  <c r="S134" i="44"/>
  <c r="AL134" i="44"/>
  <c r="Z134" i="44"/>
  <c r="AJ134" i="44"/>
  <c r="AF134" i="44"/>
  <c r="AA134" i="44"/>
  <c r="AY50" i="44"/>
  <c r="AV14" i="44"/>
  <c r="AZ12" i="44"/>
  <c r="AZ13" i="44" s="1"/>
  <c r="AV20" i="44"/>
  <c r="AV43" i="44"/>
  <c r="AV49" i="44" s="1"/>
  <c r="BA66" i="44"/>
  <c r="AX73" i="44"/>
  <c r="AV102" i="44"/>
  <c r="AV105" i="44" s="1"/>
  <c r="BB12" i="44"/>
  <c r="BB13" i="44" s="1"/>
  <c r="BC12" i="44"/>
  <c r="BC13" i="44" s="1"/>
  <c r="AX16" i="44"/>
  <c r="AX66" i="44"/>
  <c r="BA71" i="44"/>
  <c r="AX129" i="44"/>
  <c r="AX24" i="44"/>
  <c r="AX34" i="44"/>
  <c r="AV57" i="44"/>
  <c r="AV63" i="44" s="1"/>
  <c r="AV71" i="44"/>
  <c r="AV77" i="44" s="1"/>
  <c r="AX76" i="44"/>
  <c r="AX81" i="44"/>
  <c r="AV106" i="44"/>
  <c r="AV107" i="44" s="1"/>
  <c r="BA100" i="44"/>
  <c r="AV114" i="44"/>
  <c r="AV115" i="44" s="1"/>
  <c r="AV116" i="44"/>
  <c r="AV124" i="44" s="1"/>
  <c r="AV125" i="44"/>
  <c r="AV130" i="44" s="1"/>
  <c r="AV78" i="44"/>
  <c r="AV84" i="44" s="1"/>
  <c r="AV85" i="44"/>
  <c r="AV91" i="44" s="1"/>
  <c r="AV96" i="44"/>
  <c r="AV101" i="44" s="1"/>
  <c r="AY89" i="44"/>
  <c r="BA106" i="44"/>
  <c r="BA107" i="44" s="1"/>
  <c r="AY83" i="44"/>
  <c r="AY87" i="44"/>
  <c r="AY100" i="44"/>
  <c r="AY93" i="44"/>
  <c r="AY110" i="44"/>
  <c r="AY97" i="44"/>
  <c r="BA102" i="44"/>
  <c r="BA103" i="44"/>
  <c r="AY111" i="44"/>
  <c r="AX120" i="44"/>
  <c r="AX67" i="44"/>
  <c r="AY94" i="44"/>
  <c r="AY98" i="44"/>
  <c r="BA99" i="44"/>
  <c r="AY103" i="44"/>
  <c r="AY108" i="44"/>
  <c r="AY112" i="44"/>
  <c r="AX117" i="44"/>
  <c r="AX121" i="44"/>
  <c r="AX126" i="44"/>
  <c r="AX119" i="44"/>
  <c r="AX15" i="44"/>
  <c r="AX23" i="44"/>
  <c r="AX27" i="44"/>
  <c r="AY86" i="44"/>
  <c r="AY88" i="44"/>
  <c r="AY90" i="44"/>
  <c r="AY92" i="44"/>
  <c r="AY104" i="44"/>
  <c r="AY109" i="44"/>
  <c r="AX118" i="44"/>
  <c r="AX122" i="44"/>
  <c r="BA108" i="44"/>
  <c r="BA109" i="44"/>
  <c r="BA110" i="44"/>
  <c r="BA111" i="44"/>
  <c r="BA112" i="44"/>
  <c r="BA89" i="44"/>
  <c r="BA90" i="44"/>
  <c r="BA92" i="44"/>
  <c r="BA93" i="44"/>
  <c r="BA97" i="44"/>
  <c r="AX83" i="44"/>
  <c r="AX86" i="44"/>
  <c r="AX87" i="44"/>
  <c r="AX88" i="44"/>
  <c r="AX89" i="44"/>
  <c r="AX90" i="44"/>
  <c r="AX92" i="44"/>
  <c r="AX93" i="44"/>
  <c r="AX94" i="44"/>
  <c r="AX97" i="44"/>
  <c r="AX98" i="44"/>
  <c r="AY99" i="44"/>
  <c r="AX99" i="44"/>
  <c r="BA114" i="44"/>
  <c r="BA115" i="44" s="1"/>
  <c r="AY128" i="44"/>
  <c r="AX128" i="44"/>
  <c r="BA83" i="44"/>
  <c r="BA85" i="44"/>
  <c r="BA86" i="44"/>
  <c r="BA87" i="44"/>
  <c r="BA88" i="44"/>
  <c r="BA94" i="44"/>
  <c r="BA96" i="44"/>
  <c r="BA98" i="44"/>
  <c r="BA128" i="44"/>
  <c r="AX100" i="44"/>
  <c r="AX103" i="44"/>
  <c r="AX104" i="44"/>
  <c r="AX108" i="44"/>
  <c r="AX109" i="44"/>
  <c r="AX110" i="44"/>
  <c r="AX111" i="44"/>
  <c r="AX112" i="44"/>
  <c r="AX123" i="44"/>
  <c r="BA125" i="44"/>
  <c r="AX127" i="44"/>
  <c r="AY129" i="44"/>
  <c r="BA129" i="44"/>
  <c r="BA116" i="44"/>
  <c r="AY117" i="44"/>
  <c r="BA117" i="44"/>
  <c r="AY118" i="44"/>
  <c r="BA118" i="44"/>
  <c r="AY119" i="44"/>
  <c r="BA119" i="44"/>
  <c r="AY120" i="44"/>
  <c r="BA120" i="44"/>
  <c r="AY121" i="44"/>
  <c r="BA121" i="44"/>
  <c r="AY122" i="44"/>
  <c r="BA122" i="44"/>
  <c r="AY126" i="44"/>
  <c r="BA126" i="44"/>
  <c r="AY123" i="44"/>
  <c r="BA123" i="44"/>
  <c r="AY127" i="44"/>
  <c r="BA127" i="44"/>
  <c r="AX53" i="44"/>
  <c r="AY53" i="44"/>
  <c r="BA64" i="44"/>
  <c r="BA68" i="44"/>
  <c r="AY79" i="44"/>
  <c r="AX79" i="44"/>
  <c r="AX50" i="44"/>
  <c r="BA50" i="44"/>
  <c r="BA54" i="44"/>
  <c r="BA55" i="44"/>
  <c r="BA57" i="44"/>
  <c r="BA58" i="44"/>
  <c r="BA59" i="44"/>
  <c r="AY68" i="44"/>
  <c r="AX68" i="44"/>
  <c r="AY48" i="44"/>
  <c r="AX51" i="44"/>
  <c r="BA51" i="44"/>
  <c r="AX54" i="44"/>
  <c r="AX55" i="44"/>
  <c r="AX58" i="44"/>
  <c r="AX59" i="44"/>
  <c r="AX60" i="44"/>
  <c r="AX61" i="44"/>
  <c r="AY52" i="44"/>
  <c r="BA53" i="44"/>
  <c r="AY75" i="44"/>
  <c r="AX75" i="44"/>
  <c r="BA48" i="44"/>
  <c r="BA52" i="44"/>
  <c r="AY54" i="44"/>
  <c r="AY55" i="44"/>
  <c r="AY58" i="44"/>
  <c r="AY59" i="44"/>
  <c r="AY60" i="44"/>
  <c r="AX62" i="44"/>
  <c r="BA75" i="44"/>
  <c r="BA79" i="44"/>
  <c r="BA60" i="44"/>
  <c r="BA61" i="44"/>
  <c r="BA62" i="44"/>
  <c r="AX65" i="44"/>
  <c r="BA65" i="44"/>
  <c r="AY67" i="44"/>
  <c r="AX69" i="44"/>
  <c r="BA69" i="44"/>
  <c r="AX74" i="44"/>
  <c r="AY76" i="44"/>
  <c r="BA76" i="44"/>
  <c r="AY80" i="44"/>
  <c r="BA80" i="44"/>
  <c r="AX82" i="44"/>
  <c r="AY66" i="44"/>
  <c r="AY72" i="44"/>
  <c r="BA72" i="44"/>
  <c r="AY73" i="44"/>
  <c r="BA73" i="44"/>
  <c r="AY81" i="44"/>
  <c r="BA81" i="44"/>
  <c r="AY65" i="44"/>
  <c r="AY69" i="44"/>
  <c r="AY74" i="44"/>
  <c r="BA74" i="44"/>
  <c r="BA78" i="44"/>
  <c r="AY82" i="44"/>
  <c r="BA82" i="44"/>
  <c r="AY39" i="44"/>
  <c r="AX39" i="44"/>
  <c r="AY38" i="44"/>
  <c r="AX38" i="44"/>
  <c r="AY46" i="44"/>
  <c r="AX46" i="44"/>
  <c r="AY47" i="44"/>
  <c r="AX47" i="44"/>
  <c r="AY33" i="44"/>
  <c r="BA33" i="44"/>
  <c r="AY34" i="44"/>
  <c r="BA34" i="44"/>
  <c r="AY37" i="44"/>
  <c r="AX37" i="44"/>
  <c r="AY41" i="44"/>
  <c r="AX41" i="44"/>
  <c r="AY45" i="44"/>
  <c r="AX45" i="44"/>
  <c r="AY36" i="44"/>
  <c r="AX36" i="44"/>
  <c r="AY40" i="44"/>
  <c r="AX40" i="44"/>
  <c r="AY44" i="44"/>
  <c r="AX44" i="44"/>
  <c r="BA47" i="44"/>
  <c r="BA36" i="44"/>
  <c r="BA37" i="44"/>
  <c r="BA38" i="44"/>
  <c r="BA39" i="44"/>
  <c r="BA40" i="44"/>
  <c r="BA41" i="44"/>
  <c r="BA43" i="44"/>
  <c r="BA44" i="44"/>
  <c r="BA45" i="44"/>
  <c r="BA46" i="44"/>
  <c r="BA14" i="44"/>
  <c r="AY18" i="44"/>
  <c r="BA18" i="44"/>
  <c r="AY22" i="44"/>
  <c r="BA22" i="44"/>
  <c r="BA26" i="44"/>
  <c r="AY15" i="44"/>
  <c r="BA15" i="44"/>
  <c r="AX21" i="44"/>
  <c r="AY23" i="44"/>
  <c r="BA23" i="44"/>
  <c r="AX25" i="44"/>
  <c r="AY27" i="44"/>
  <c r="BA27" i="44"/>
  <c r="AY32" i="44"/>
  <c r="AX32" i="44"/>
  <c r="AY16" i="44"/>
  <c r="BA16" i="44"/>
  <c r="AX18" i="44"/>
  <c r="BA20" i="44"/>
  <c r="AX22" i="44"/>
  <c r="AY24" i="44"/>
  <c r="BA24" i="44"/>
  <c r="AY31" i="44"/>
  <c r="AX31" i="44"/>
  <c r="BA17" i="44"/>
  <c r="AY21" i="44"/>
  <c r="BA21" i="44"/>
  <c r="AY25" i="44"/>
  <c r="BA25" i="44"/>
  <c r="AY29" i="44"/>
  <c r="BA29" i="44"/>
  <c r="BA30" i="44"/>
  <c r="BA31" i="44"/>
  <c r="BA32" i="44"/>
  <c r="AV64" i="43"/>
  <c r="AV67" i="43" s="1"/>
  <c r="AV121" i="43"/>
  <c r="AV125" i="43" s="1"/>
  <c r="AV133" i="43"/>
  <c r="AV139" i="43" s="1"/>
  <c r="AV201" i="43"/>
  <c r="AV206" i="43" s="1"/>
  <c r="AV220" i="43"/>
  <c r="AV225" i="43" s="1"/>
  <c r="AV289" i="43"/>
  <c r="AV296" i="43" s="1"/>
  <c r="AV327" i="43"/>
  <c r="AV328" i="43" s="1"/>
  <c r="BA454" i="43"/>
  <c r="AV169" i="43"/>
  <c r="AV174" i="43" s="1"/>
  <c r="AV195" i="43"/>
  <c r="AV200" i="43" s="1"/>
  <c r="AV207" i="43"/>
  <c r="AV213" i="43" s="1"/>
  <c r="AY228" i="43"/>
  <c r="AV263" i="43"/>
  <c r="AV266" i="43" s="1"/>
  <c r="BA268" i="43"/>
  <c r="BA269" i="43"/>
  <c r="BA278" i="43"/>
  <c r="BA314" i="43"/>
  <c r="BA320" i="43"/>
  <c r="AV323" i="43"/>
  <c r="AV324" i="43" s="1"/>
  <c r="AV329" i="43"/>
  <c r="AV332" i="43" s="1"/>
  <c r="AV374" i="43"/>
  <c r="AV375" i="43" s="1"/>
  <c r="AV411" i="43"/>
  <c r="AV416" i="43" s="1"/>
  <c r="AV431" i="43"/>
  <c r="AV437" i="43" s="1"/>
  <c r="AV76" i="43"/>
  <c r="AV79" i="43" s="1"/>
  <c r="AY188" i="43"/>
  <c r="BA293" i="43"/>
  <c r="AV400" i="43"/>
  <c r="AV406" i="43" s="1"/>
  <c r="BA432" i="43"/>
  <c r="AY436" i="43"/>
  <c r="BA446" i="43"/>
  <c r="AV80" i="43"/>
  <c r="AV82" i="43" s="1"/>
  <c r="AV36" i="43"/>
  <c r="AV39" i="43" s="1"/>
  <c r="AV47" i="43"/>
  <c r="AV49" i="43" s="1"/>
  <c r="AX48" i="43"/>
  <c r="AV71" i="43"/>
  <c r="AV75" i="43" s="1"/>
  <c r="AV95" i="43"/>
  <c r="AV98" i="43" s="1"/>
  <c r="AV110" i="43"/>
  <c r="AV113" i="43" s="1"/>
  <c r="AY153" i="43"/>
  <c r="AY192" i="43"/>
  <c r="AX215" i="43"/>
  <c r="AV238" i="43"/>
  <c r="AV243" i="43" s="1"/>
  <c r="AV259" i="43"/>
  <c r="AV262" i="43" s="1"/>
  <c r="BA260" i="43"/>
  <c r="BA274" i="43"/>
  <c r="BA275" i="43"/>
  <c r="BA277" i="43"/>
  <c r="AY291" i="43"/>
  <c r="BA294" i="43"/>
  <c r="BA297" i="43"/>
  <c r="BA298" i="43" s="1"/>
  <c r="BA301" i="43"/>
  <c r="BA304" i="43"/>
  <c r="AV306" i="43"/>
  <c r="AV312" i="43" s="1"/>
  <c r="BA310" i="43"/>
  <c r="AV314" i="43"/>
  <c r="AV316" i="43" s="1"/>
  <c r="AY320" i="43"/>
  <c r="BA325" i="43"/>
  <c r="AV363" i="43"/>
  <c r="AV369" i="43" s="1"/>
  <c r="AY391" i="43"/>
  <c r="AY455" i="43"/>
  <c r="AY457" i="43"/>
  <c r="AV103" i="43"/>
  <c r="AV105" i="43" s="1"/>
  <c r="AV226" i="43"/>
  <c r="AV231" i="43" s="1"/>
  <c r="AV267" i="43"/>
  <c r="AV272" i="43" s="1"/>
  <c r="BA281" i="43"/>
  <c r="AY311" i="43"/>
  <c r="AV317" i="43"/>
  <c r="AV322" i="43" s="1"/>
  <c r="BA323" i="43"/>
  <c r="BA324" i="43" s="1"/>
  <c r="AV336" i="43"/>
  <c r="AV344" i="43" s="1"/>
  <c r="AV358" i="43"/>
  <c r="AV362" i="43" s="1"/>
  <c r="AV383" i="43"/>
  <c r="AV388" i="43" s="1"/>
  <c r="BA389" i="43"/>
  <c r="AV32" i="43"/>
  <c r="AV35" i="43" s="1"/>
  <c r="AV106" i="43"/>
  <c r="AV109" i="43" s="1"/>
  <c r="BB12" i="43"/>
  <c r="BB13" i="43" s="1"/>
  <c r="AV19" i="43"/>
  <c r="AV22" i="43" s="1"/>
  <c r="AV28" i="43"/>
  <c r="AV31" i="43" s="1"/>
  <c r="AX30" i="43"/>
  <c r="AV43" i="43"/>
  <c r="AV46" i="43" s="1"/>
  <c r="AV50" i="43"/>
  <c r="AV52" i="43" s="1"/>
  <c r="AV56" i="43"/>
  <c r="AV59" i="43" s="1"/>
  <c r="AV87" i="43"/>
  <c r="AV90" i="43" s="1"/>
  <c r="AV99" i="43"/>
  <c r="AV102" i="43" s="1"/>
  <c r="AV117" i="43"/>
  <c r="AV120" i="43" s="1"/>
  <c r="AV152" i="43"/>
  <c r="AV157" i="43" s="1"/>
  <c r="AV181" i="43"/>
  <c r="AV187" i="43" s="1"/>
  <c r="AY199" i="43"/>
  <c r="AX199" i="43"/>
  <c r="AX209" i="43"/>
  <c r="BA271" i="43"/>
  <c r="AV277" i="43"/>
  <c r="AV283" i="43" s="1"/>
  <c r="AV299" i="43"/>
  <c r="AV305" i="43" s="1"/>
  <c r="BA303" i="43"/>
  <c r="BA307" i="43"/>
  <c r="BA308" i="43"/>
  <c r="BA436" i="43"/>
  <c r="AV23" i="43"/>
  <c r="AV27" i="43" s="1"/>
  <c r="AV40" i="43"/>
  <c r="AV42" i="43" s="1"/>
  <c r="AV53" i="43"/>
  <c r="AV55" i="43" s="1"/>
  <c r="AV68" i="43"/>
  <c r="AV70" i="43" s="1"/>
  <c r="AV83" i="43"/>
  <c r="AV86" i="43" s="1"/>
  <c r="AV114" i="43"/>
  <c r="AV116" i="43" s="1"/>
  <c r="AV126" i="43"/>
  <c r="AV140" i="43"/>
  <c r="AV145" i="43" s="1"/>
  <c r="AV146" i="43"/>
  <c r="AV151" i="43" s="1"/>
  <c r="AV163" i="43"/>
  <c r="AV168" i="43" s="1"/>
  <c r="AV175" i="43"/>
  <c r="AV180" i="43" s="1"/>
  <c r="AV214" i="43"/>
  <c r="AV219" i="43" s="1"/>
  <c r="AV232" i="43"/>
  <c r="AV237" i="43" s="1"/>
  <c r="AV244" i="43"/>
  <c r="AV249" i="43" s="1"/>
  <c r="AV250" i="43"/>
  <c r="AV256" i="43" s="1"/>
  <c r="AV257" i="43"/>
  <c r="AV258" i="43" s="1"/>
  <c r="BA263" i="43"/>
  <c r="BA280" i="43"/>
  <c r="AV297" i="43"/>
  <c r="AV298" i="43" s="1"/>
  <c r="BA300" i="43"/>
  <c r="BA306" i="43"/>
  <c r="BA311" i="43"/>
  <c r="BA327" i="43"/>
  <c r="AV333" i="43"/>
  <c r="AV335" i="43" s="1"/>
  <c r="AV351" i="43"/>
  <c r="AV357" i="43" s="1"/>
  <c r="AV370" i="43"/>
  <c r="AV373" i="43" s="1"/>
  <c r="BA391" i="43"/>
  <c r="BA405" i="43"/>
  <c r="AV424" i="43"/>
  <c r="AV430" i="43" s="1"/>
  <c r="BA455" i="43"/>
  <c r="AV345" i="43"/>
  <c r="AV350" i="43" s="1"/>
  <c r="AV389" i="43"/>
  <c r="AV392" i="43" s="1"/>
  <c r="AV407" i="43"/>
  <c r="AV410" i="43" s="1"/>
  <c r="BA407" i="43"/>
  <c r="BA411" i="43"/>
  <c r="BA435" i="43"/>
  <c r="AV445" i="43"/>
  <c r="AV451" i="43" s="1"/>
  <c r="BA445" i="43"/>
  <c r="AV376" i="43"/>
  <c r="AV382" i="43" s="1"/>
  <c r="AV393" i="43"/>
  <c r="AV399" i="43" s="1"/>
  <c r="AV417" i="43"/>
  <c r="AV423" i="43" s="1"/>
  <c r="AV438" i="43"/>
  <c r="AV444" i="43" s="1"/>
  <c r="AV452" i="43"/>
  <c r="AV458" i="43" s="1"/>
  <c r="AV462" i="43"/>
  <c r="AV465" i="43" s="1"/>
  <c r="AY170" i="43"/>
  <c r="AY186" i="43"/>
  <c r="AY182" i="43"/>
  <c r="AY284" i="43"/>
  <c r="AY178" i="43"/>
  <c r="AX254" i="43"/>
  <c r="AY281" i="43"/>
  <c r="AY295" i="43"/>
  <c r="AY307" i="43"/>
  <c r="AY149" i="43"/>
  <c r="AY190" i="43"/>
  <c r="AY248" i="43"/>
  <c r="BA270" i="43"/>
  <c r="BA292" i="43"/>
  <c r="AY319" i="43"/>
  <c r="BA326" i="43"/>
  <c r="AY334" i="43"/>
  <c r="AX334" i="43"/>
  <c r="AY191" i="43"/>
  <c r="AY204" i="43"/>
  <c r="AY216" i="43"/>
  <c r="AY239" i="43"/>
  <c r="AX239" i="43"/>
  <c r="AY271" i="43"/>
  <c r="BA287" i="43"/>
  <c r="BA295" i="43"/>
  <c r="BA309" i="43"/>
  <c r="AX58" i="43"/>
  <c r="AY233" i="43"/>
  <c r="AX233" i="43"/>
  <c r="AY236" i="43"/>
  <c r="BA273" i="43"/>
  <c r="BA279" i="43"/>
  <c r="BA284" i="43"/>
  <c r="AY287" i="43"/>
  <c r="BA299" i="43"/>
  <c r="AY301" i="43"/>
  <c r="AY309" i="43"/>
  <c r="BA319" i="43"/>
  <c r="AY377" i="43"/>
  <c r="BA378" i="43"/>
  <c r="AY381" i="43"/>
  <c r="AY385" i="43"/>
  <c r="BA386" i="43"/>
  <c r="AX449" i="43"/>
  <c r="AY449" i="43"/>
  <c r="AX15" i="43"/>
  <c r="AX44" i="43"/>
  <c r="AX54" i="43"/>
  <c r="AY172" i="43"/>
  <c r="AY176" i="43"/>
  <c r="AY184" i="43"/>
  <c r="AY189" i="43"/>
  <c r="AY245" i="43"/>
  <c r="AX245" i="43"/>
  <c r="AY251" i="43"/>
  <c r="AX251" i="43"/>
  <c r="AY264" i="43"/>
  <c r="BA267" i="43"/>
  <c r="BA282" i="43"/>
  <c r="BA285" i="43"/>
  <c r="BA289" i="43"/>
  <c r="AY197" i="43"/>
  <c r="AX197" i="43"/>
  <c r="AY203" i="43"/>
  <c r="AX203" i="43"/>
  <c r="AY217" i="43"/>
  <c r="AY223" i="43"/>
  <c r="AX223" i="43"/>
  <c r="AY229" i="43"/>
  <c r="AX229" i="43"/>
  <c r="AY235" i="43"/>
  <c r="AX235" i="43"/>
  <c r="AY252" i="43"/>
  <c r="AY261" i="43"/>
  <c r="AY265" i="43"/>
  <c r="BA290" i="43"/>
  <c r="AY313" i="43"/>
  <c r="AX255" i="43"/>
  <c r="AY280" i="43"/>
  <c r="BA286" i="43"/>
  <c r="BA302" i="43"/>
  <c r="AY304" i="43"/>
  <c r="AY308" i="43"/>
  <c r="BA317" i="43"/>
  <c r="AY325" i="43"/>
  <c r="AX241" i="43"/>
  <c r="BA315" i="43"/>
  <c r="BA318" i="43"/>
  <c r="BA321" i="43"/>
  <c r="AY331" i="43"/>
  <c r="AY349" i="43"/>
  <c r="BA421" i="43"/>
  <c r="AY293" i="43"/>
  <c r="AY300" i="43"/>
  <c r="AY303" i="43"/>
  <c r="AY315" i="43"/>
  <c r="AY321" i="43"/>
  <c r="BA377" i="43"/>
  <c r="AY380" i="43"/>
  <c r="BA381" i="43"/>
  <c r="AY384" i="43"/>
  <c r="BA385" i="43"/>
  <c r="AY340" i="43"/>
  <c r="AY378" i="43"/>
  <c r="BA379" i="43"/>
  <c r="BA383" i="43"/>
  <c r="AY386" i="43"/>
  <c r="BA387" i="43"/>
  <c r="AY390" i="43"/>
  <c r="BA413" i="43"/>
  <c r="BA439" i="43"/>
  <c r="AY460" i="43"/>
  <c r="AX460" i="43"/>
  <c r="BA376" i="43"/>
  <c r="AY379" i="43"/>
  <c r="BA380" i="43"/>
  <c r="BA384" i="43"/>
  <c r="AY387" i="43"/>
  <c r="AY394" i="43"/>
  <c r="AY401" i="43"/>
  <c r="AY439" i="43"/>
  <c r="AY397" i="43"/>
  <c r="BA424" i="43"/>
  <c r="BA429" i="43"/>
  <c r="AY464" i="43"/>
  <c r="AX464" i="43"/>
  <c r="BA414" i="43"/>
  <c r="BA415" i="43"/>
  <c r="BA422" i="43"/>
  <c r="BA431" i="43"/>
  <c r="AX448" i="43"/>
  <c r="BA448" i="43"/>
  <c r="BA462" i="43"/>
  <c r="BA412" i="43"/>
  <c r="BA418" i="43"/>
  <c r="BA419" i="43"/>
  <c r="BA420" i="43"/>
  <c r="BA426" i="43"/>
  <c r="BA427" i="43"/>
  <c r="BA428" i="43"/>
  <c r="BA434" i="43"/>
  <c r="AX65" i="43"/>
  <c r="AY65" i="43"/>
  <c r="AX66" i="43"/>
  <c r="AY66" i="43"/>
  <c r="AX69" i="43"/>
  <c r="AY69" i="43"/>
  <c r="BA14" i="43"/>
  <c r="AY16" i="43"/>
  <c r="AY20" i="43"/>
  <c r="AY24" i="43"/>
  <c r="AY26" i="43"/>
  <c r="BA28" i="43"/>
  <c r="AY33" i="43"/>
  <c r="BA33" i="43"/>
  <c r="AY37" i="43"/>
  <c r="BA37" i="43"/>
  <c r="AY41" i="43"/>
  <c r="BA47" i="43"/>
  <c r="AY51" i="43"/>
  <c r="BA53" i="43"/>
  <c r="AY57" i="43"/>
  <c r="BA57" i="43"/>
  <c r="AY61" i="43"/>
  <c r="BA61" i="43"/>
  <c r="AY74" i="43"/>
  <c r="AX74" i="43"/>
  <c r="AX78" i="43"/>
  <c r="AY78" i="43"/>
  <c r="AX107" i="43"/>
  <c r="AY107" i="43"/>
  <c r="AX111" i="43"/>
  <c r="AY111" i="43"/>
  <c r="AX115" i="43"/>
  <c r="AY115" i="43"/>
  <c r="AX119" i="43"/>
  <c r="AY119" i="43"/>
  <c r="AX123" i="43"/>
  <c r="AY123" i="43"/>
  <c r="AX131" i="43"/>
  <c r="AY131" i="43"/>
  <c r="AX135" i="43"/>
  <c r="AY135" i="43"/>
  <c r="AY73" i="43"/>
  <c r="AX73" i="43"/>
  <c r="AX77" i="43"/>
  <c r="AY77" i="43"/>
  <c r="AY81" i="43"/>
  <c r="AX81" i="43"/>
  <c r="AX85" i="43"/>
  <c r="AY85" i="43"/>
  <c r="AX89" i="43"/>
  <c r="AY89" i="43"/>
  <c r="AX118" i="43"/>
  <c r="AY118" i="43"/>
  <c r="AX122" i="43"/>
  <c r="AY122" i="43"/>
  <c r="AX134" i="43"/>
  <c r="AY134" i="43"/>
  <c r="BA16" i="43"/>
  <c r="BA20" i="43"/>
  <c r="BA24" i="43"/>
  <c r="BA26" i="43"/>
  <c r="BA41" i="43"/>
  <c r="BA43" i="43"/>
  <c r="AY45" i="43"/>
  <c r="BA45" i="43"/>
  <c r="BA51" i="43"/>
  <c r="AY15" i="43"/>
  <c r="BA15" i="43"/>
  <c r="AX16" i="43"/>
  <c r="BA17" i="43"/>
  <c r="BA19" i="43"/>
  <c r="AX20" i="43"/>
  <c r="AY21" i="43"/>
  <c r="BA21" i="43"/>
  <c r="BA23" i="43"/>
  <c r="AX24" i="43"/>
  <c r="AY25" i="43"/>
  <c r="BA25" i="43"/>
  <c r="AX26" i="43"/>
  <c r="AY30" i="43"/>
  <c r="BA30" i="43"/>
  <c r="BA32" i="43"/>
  <c r="AX33" i="43"/>
  <c r="AY34" i="43"/>
  <c r="BA34" i="43"/>
  <c r="BA36" i="43"/>
  <c r="AX37" i="43"/>
  <c r="AY38" i="43"/>
  <c r="BA38" i="43"/>
  <c r="BA40" i="43"/>
  <c r="AX41" i="43"/>
  <c r="AY44" i="43"/>
  <c r="BA44" i="43"/>
  <c r="AX45" i="43"/>
  <c r="AY48" i="43"/>
  <c r="BA48" i="43"/>
  <c r="BA50" i="43"/>
  <c r="AX51" i="43"/>
  <c r="AY54" i="43"/>
  <c r="BA54" i="43"/>
  <c r="BA56" i="43"/>
  <c r="AX57" i="43"/>
  <c r="AY58" i="43"/>
  <c r="BA58" i="43"/>
  <c r="AY60" i="43"/>
  <c r="BA60" i="43"/>
  <c r="AX61" i="43"/>
  <c r="AY62" i="43"/>
  <c r="BA62" i="43"/>
  <c r="AX72" i="43"/>
  <c r="AY72" i="43"/>
  <c r="AX84" i="43"/>
  <c r="AY84" i="43"/>
  <c r="AX88" i="43"/>
  <c r="AY88" i="43"/>
  <c r="AX93" i="43"/>
  <c r="AY93" i="43"/>
  <c r="AX97" i="43"/>
  <c r="AY97" i="43"/>
  <c r="AY101" i="43"/>
  <c r="AX101" i="43"/>
  <c r="AY129" i="43"/>
  <c r="AX129" i="43"/>
  <c r="AY91" i="43"/>
  <c r="AX91" i="43"/>
  <c r="AX96" i="43"/>
  <c r="AY96" i="43"/>
  <c r="AX100" i="43"/>
  <c r="AY100" i="43"/>
  <c r="AX104" i="43"/>
  <c r="AY104" i="43"/>
  <c r="AX108" i="43"/>
  <c r="AY108" i="43"/>
  <c r="AY112" i="43"/>
  <c r="AX112" i="43"/>
  <c r="AY124" i="43"/>
  <c r="AX124" i="43"/>
  <c r="AX128" i="43"/>
  <c r="AY128" i="43"/>
  <c r="AY136" i="43"/>
  <c r="AX136" i="43"/>
  <c r="AY143" i="43"/>
  <c r="AX143" i="43"/>
  <c r="AY138" i="43"/>
  <c r="AY142" i="43"/>
  <c r="AX154" i="43"/>
  <c r="BA136" i="43"/>
  <c r="BA140" i="43"/>
  <c r="AY158" i="43"/>
  <c r="AX158" i="43"/>
  <c r="AY159" i="43"/>
  <c r="AX159" i="43"/>
  <c r="AY160" i="43"/>
  <c r="AX160" i="43"/>
  <c r="AY161" i="43"/>
  <c r="AX161" i="43"/>
  <c r="AY164" i="43"/>
  <c r="AX164" i="43"/>
  <c r="AY202" i="43"/>
  <c r="AX202" i="43"/>
  <c r="AY210" i="43"/>
  <c r="AX210" i="43"/>
  <c r="AY218" i="43"/>
  <c r="AX218" i="43"/>
  <c r="AY234" i="43"/>
  <c r="AX234" i="43"/>
  <c r="AY242" i="43"/>
  <c r="AX242" i="43"/>
  <c r="AY339" i="43"/>
  <c r="AX339" i="43"/>
  <c r="AX144" i="43"/>
  <c r="AX150" i="43"/>
  <c r="BA192" i="43"/>
  <c r="BA208" i="43"/>
  <c r="BA216" i="43"/>
  <c r="BA224" i="43"/>
  <c r="BA232" i="43"/>
  <c r="BA240" i="43"/>
  <c r="BA248" i="43"/>
  <c r="BA64" i="43"/>
  <c r="BA65" i="43"/>
  <c r="BA66" i="43"/>
  <c r="BA68" i="43"/>
  <c r="BA69" i="43"/>
  <c r="BA71" i="43"/>
  <c r="BA72" i="43"/>
  <c r="BA73" i="43"/>
  <c r="BA74" i="43"/>
  <c r="BA76" i="43"/>
  <c r="BA77" i="43"/>
  <c r="BA78" i="43"/>
  <c r="BA80" i="43"/>
  <c r="BA81" i="43"/>
  <c r="BA83" i="43"/>
  <c r="BA84" i="43"/>
  <c r="BA85" i="43"/>
  <c r="BA87" i="43"/>
  <c r="BA88" i="43"/>
  <c r="BA89" i="43"/>
  <c r="BA91" i="43"/>
  <c r="BA93" i="43"/>
  <c r="BA95" i="43"/>
  <c r="BA96" i="43"/>
  <c r="BA97" i="43"/>
  <c r="BA99" i="43"/>
  <c r="BA100" i="43"/>
  <c r="BA101" i="43"/>
  <c r="BA103" i="43"/>
  <c r="BA104" i="43"/>
  <c r="BA106" i="43"/>
  <c r="BA107" i="43"/>
  <c r="BA108" i="43"/>
  <c r="BA110" i="43"/>
  <c r="BA111" i="43"/>
  <c r="BA112" i="43"/>
  <c r="BA114" i="43"/>
  <c r="BA115" i="43"/>
  <c r="BA117" i="43"/>
  <c r="BA118" i="43"/>
  <c r="BA119" i="43"/>
  <c r="BA121" i="43"/>
  <c r="BA122" i="43"/>
  <c r="BA123" i="43"/>
  <c r="BA124" i="43"/>
  <c r="BA126" i="43"/>
  <c r="BA127" i="43"/>
  <c r="BA128" i="43"/>
  <c r="BA129" i="43"/>
  <c r="BA130" i="43"/>
  <c r="BA131" i="43"/>
  <c r="BA133" i="43"/>
  <c r="BA134" i="43"/>
  <c r="AX137" i="43"/>
  <c r="BA137" i="43"/>
  <c r="AX141" i="43"/>
  <c r="BA141" i="43"/>
  <c r="AX147" i="43"/>
  <c r="AX149" i="43"/>
  <c r="AX153" i="43"/>
  <c r="AX155" i="43"/>
  <c r="AY156" i="43"/>
  <c r="AX156" i="43"/>
  <c r="BA196" i="43"/>
  <c r="BA204" i="43"/>
  <c r="BA212" i="43"/>
  <c r="BA220" i="43"/>
  <c r="BA228" i="43"/>
  <c r="BA236" i="43"/>
  <c r="BA244" i="43"/>
  <c r="BA252" i="43"/>
  <c r="AX338" i="43"/>
  <c r="AY338" i="43"/>
  <c r="AY342" i="43"/>
  <c r="AX342" i="43"/>
  <c r="BA135" i="43"/>
  <c r="AX148" i="43"/>
  <c r="BA138" i="43"/>
  <c r="BA142" i="43"/>
  <c r="AY144" i="43"/>
  <c r="AY148" i="43"/>
  <c r="AY150" i="43"/>
  <c r="AY154" i="43"/>
  <c r="AY198" i="43"/>
  <c r="AX198" i="43"/>
  <c r="AY222" i="43"/>
  <c r="AX222" i="43"/>
  <c r="AY230" i="43"/>
  <c r="AX230" i="43"/>
  <c r="AY246" i="43"/>
  <c r="AX246" i="43"/>
  <c r="AY260" i="43"/>
  <c r="AX260" i="43"/>
  <c r="AX165" i="43"/>
  <c r="AX166" i="43"/>
  <c r="AX167" i="43"/>
  <c r="AX170" i="43"/>
  <c r="AX171" i="43"/>
  <c r="AX172" i="43"/>
  <c r="AX173" i="43"/>
  <c r="AX176" i="43"/>
  <c r="AX177" i="43"/>
  <c r="AX178" i="43"/>
  <c r="AX179" i="43"/>
  <c r="AX182" i="43"/>
  <c r="AX183" i="43"/>
  <c r="AX184" i="43"/>
  <c r="AX185" i="43"/>
  <c r="AX186" i="43"/>
  <c r="AX188" i="43"/>
  <c r="AX189" i="43"/>
  <c r="AX190" i="43"/>
  <c r="AX191" i="43"/>
  <c r="AX192" i="43"/>
  <c r="BA193" i="43"/>
  <c r="AX196" i="43"/>
  <c r="BA197" i="43"/>
  <c r="BA201" i="43"/>
  <c r="AX204" i="43"/>
  <c r="BA205" i="43"/>
  <c r="AX208" i="43"/>
  <c r="BA209" i="43"/>
  <c r="AX212" i="43"/>
  <c r="AX216" i="43"/>
  <c r="BA217" i="43"/>
  <c r="BA221" i="43"/>
  <c r="AX224" i="43"/>
  <c r="AX228" i="43"/>
  <c r="BA229" i="43"/>
  <c r="BA233" i="43"/>
  <c r="AX236" i="43"/>
  <c r="AX240" i="43"/>
  <c r="BA241" i="43"/>
  <c r="BA245" i="43"/>
  <c r="AX248" i="43"/>
  <c r="AX252" i="43"/>
  <c r="AY253" i="43"/>
  <c r="BA253" i="43"/>
  <c r="BA257" i="43"/>
  <c r="BA258" i="43" s="1"/>
  <c r="BA330" i="43"/>
  <c r="BA331" i="43"/>
  <c r="AY395" i="43"/>
  <c r="AX395" i="43"/>
  <c r="BA198" i="43"/>
  <c r="BA202" i="43"/>
  <c r="BA210" i="43"/>
  <c r="BA214" i="43"/>
  <c r="BA218" i="43"/>
  <c r="BA222" i="43"/>
  <c r="BA226" i="43"/>
  <c r="BA230" i="43"/>
  <c r="BA234" i="43"/>
  <c r="BA238" i="43"/>
  <c r="BA242" i="43"/>
  <c r="BA246" i="43"/>
  <c r="BA250" i="43"/>
  <c r="AY254" i="43"/>
  <c r="BA254" i="43"/>
  <c r="BA346" i="43"/>
  <c r="BA347" i="43"/>
  <c r="BA143" i="43"/>
  <c r="BA144" i="43"/>
  <c r="BA146" i="43"/>
  <c r="BA147" i="43"/>
  <c r="BA148" i="43"/>
  <c r="BA149" i="43"/>
  <c r="BA150" i="43"/>
  <c r="BA152" i="43"/>
  <c r="BA153" i="43"/>
  <c r="BA154" i="43"/>
  <c r="BA155" i="43"/>
  <c r="BA156" i="43"/>
  <c r="BA158" i="43"/>
  <c r="BA159" i="43"/>
  <c r="BA160" i="43"/>
  <c r="BA161" i="43"/>
  <c r="BA163" i="43"/>
  <c r="BA164" i="43"/>
  <c r="BA165" i="43"/>
  <c r="BA166" i="43"/>
  <c r="BA167" i="43"/>
  <c r="BA169" i="43"/>
  <c r="BA170" i="43"/>
  <c r="BA171" i="43"/>
  <c r="BA172" i="43"/>
  <c r="BA173" i="43"/>
  <c r="BA175" i="43"/>
  <c r="BA176" i="43"/>
  <c r="BA177" i="43"/>
  <c r="BA178" i="43"/>
  <c r="BA179" i="43"/>
  <c r="BA181" i="43"/>
  <c r="BA182" i="43"/>
  <c r="BA183" i="43"/>
  <c r="BA184" i="43"/>
  <c r="BA185" i="43"/>
  <c r="BA186" i="43"/>
  <c r="BA188" i="43"/>
  <c r="BA189" i="43"/>
  <c r="BA190" i="43"/>
  <c r="BA191" i="43"/>
  <c r="BA195" i="43"/>
  <c r="BA199" i="43"/>
  <c r="BA203" i="43"/>
  <c r="BA207" i="43"/>
  <c r="BA211" i="43"/>
  <c r="BA215" i="43"/>
  <c r="BA223" i="43"/>
  <c r="BA227" i="43"/>
  <c r="BA235" i="43"/>
  <c r="BA239" i="43"/>
  <c r="BA247" i="43"/>
  <c r="BA251" i="43"/>
  <c r="AX253" i="43"/>
  <c r="AY255" i="43"/>
  <c r="BA255" i="43"/>
  <c r="BA259" i="43"/>
  <c r="AX261" i="43"/>
  <c r="AX264" i="43"/>
  <c r="AX265" i="43"/>
  <c r="AX330" i="43"/>
  <c r="AX331" i="43"/>
  <c r="AX341" i="43"/>
  <c r="BA342" i="43"/>
  <c r="BA343" i="43"/>
  <c r="AX346" i="43"/>
  <c r="AX352" i="43"/>
  <c r="AY352" i="43"/>
  <c r="AX353" i="43"/>
  <c r="AY353" i="43"/>
  <c r="AX356" i="43"/>
  <c r="AY356" i="43"/>
  <c r="AX360" i="43"/>
  <c r="AY360" i="43"/>
  <c r="AX361" i="43"/>
  <c r="AY361" i="43"/>
  <c r="AX364" i="43"/>
  <c r="AY364" i="43"/>
  <c r="AX365" i="43"/>
  <c r="AY365" i="43"/>
  <c r="AX368" i="43"/>
  <c r="AY368" i="43"/>
  <c r="AX372" i="43"/>
  <c r="AY372" i="43"/>
  <c r="AY403" i="43"/>
  <c r="AX403" i="43"/>
  <c r="AX337" i="43"/>
  <c r="BA338" i="43"/>
  <c r="BA339" i="43"/>
  <c r="AX343" i="43"/>
  <c r="AY347" i="43"/>
  <c r="AX348" i="43"/>
  <c r="AY268" i="43"/>
  <c r="AX268" i="43"/>
  <c r="AY269" i="43"/>
  <c r="AX269" i="43"/>
  <c r="AY270" i="43"/>
  <c r="AX270" i="43"/>
  <c r="BA334" i="43"/>
  <c r="AX271" i="43"/>
  <c r="AX273" i="43"/>
  <c r="AX274" i="43"/>
  <c r="AX275" i="43"/>
  <c r="AX278" i="43"/>
  <c r="AX279" i="43"/>
  <c r="AX280" i="43"/>
  <c r="AX281" i="43"/>
  <c r="AX282" i="43"/>
  <c r="AX284" i="43"/>
  <c r="AX285" i="43"/>
  <c r="AX286" i="43"/>
  <c r="AX287" i="43"/>
  <c r="AX290" i="43"/>
  <c r="AX291" i="43"/>
  <c r="AX292" i="43"/>
  <c r="AX293" i="43"/>
  <c r="AX294" i="43"/>
  <c r="AX295" i="43"/>
  <c r="AX300" i="43"/>
  <c r="AX301" i="43"/>
  <c r="AX302" i="43"/>
  <c r="AX303" i="43"/>
  <c r="AX304" i="43"/>
  <c r="AX307" i="43"/>
  <c r="AX308" i="43"/>
  <c r="AX309" i="43"/>
  <c r="AX310" i="43"/>
  <c r="AX311" i="43"/>
  <c r="AX313" i="43"/>
  <c r="AX315" i="43"/>
  <c r="AX318" i="43"/>
  <c r="AX319" i="43"/>
  <c r="AX320" i="43"/>
  <c r="AX321" i="43"/>
  <c r="AX325" i="43"/>
  <c r="AX326" i="43"/>
  <c r="BA336" i="43"/>
  <c r="AX340" i="43"/>
  <c r="BA340" i="43"/>
  <c r="AX354" i="43"/>
  <c r="AX366" i="43"/>
  <c r="BA374" i="43"/>
  <c r="BA375" i="43" s="1"/>
  <c r="BA393" i="43"/>
  <c r="BA401" i="43"/>
  <c r="BA329" i="43"/>
  <c r="BA333" i="43"/>
  <c r="BA337" i="43"/>
  <c r="BA341" i="43"/>
  <c r="BA345" i="43"/>
  <c r="AX349" i="43"/>
  <c r="AX355" i="43"/>
  <c r="AX359" i="43"/>
  <c r="AX367" i="43"/>
  <c r="AX371" i="43"/>
  <c r="BA397" i="43"/>
  <c r="BA348" i="43"/>
  <c r="BA349" i="43"/>
  <c r="BA351" i="43"/>
  <c r="BA352" i="43"/>
  <c r="BA353" i="43"/>
  <c r="BA354" i="43"/>
  <c r="BA355" i="43"/>
  <c r="BA356" i="43"/>
  <c r="BA358" i="43"/>
  <c r="BA359" i="43"/>
  <c r="BA360" i="43"/>
  <c r="BA361" i="43"/>
  <c r="BA363" i="43"/>
  <c r="BA364" i="43"/>
  <c r="BA365" i="43"/>
  <c r="BA366" i="43"/>
  <c r="BA367" i="43"/>
  <c r="BA368" i="43"/>
  <c r="BA370" i="43"/>
  <c r="BA371" i="43"/>
  <c r="BA372" i="43"/>
  <c r="AX377" i="43"/>
  <c r="AX378" i="43"/>
  <c r="AX379" i="43"/>
  <c r="AX380" i="43"/>
  <c r="AX381" i="43"/>
  <c r="AX384" i="43"/>
  <c r="AX385" i="43"/>
  <c r="AX386" i="43"/>
  <c r="AX387" i="43"/>
  <c r="AX390" i="43"/>
  <c r="AX391" i="43"/>
  <c r="BA394" i="43"/>
  <c r="AX397" i="43"/>
  <c r="BA398" i="43"/>
  <c r="AX401" i="43"/>
  <c r="BA402" i="43"/>
  <c r="AY404" i="43"/>
  <c r="AY409" i="43"/>
  <c r="AX413" i="43"/>
  <c r="AY413" i="43"/>
  <c r="AX421" i="43"/>
  <c r="AY421" i="43"/>
  <c r="AX425" i="43"/>
  <c r="AY425" i="43"/>
  <c r="AX429" i="43"/>
  <c r="AY429" i="43"/>
  <c r="AX433" i="43"/>
  <c r="AY433" i="43"/>
  <c r="BA463" i="43"/>
  <c r="AX394" i="43"/>
  <c r="BA395" i="43"/>
  <c r="AX398" i="43"/>
  <c r="AX402" i="43"/>
  <c r="BA403" i="43"/>
  <c r="BA396" i="43"/>
  <c r="BA400" i="43"/>
  <c r="AY405" i="43"/>
  <c r="AX412" i="43"/>
  <c r="AY412" i="43"/>
  <c r="AX414" i="43"/>
  <c r="AY414" i="43"/>
  <c r="AX418" i="43"/>
  <c r="AY418" i="43"/>
  <c r="AX422" i="43"/>
  <c r="AY422" i="43"/>
  <c r="AX426" i="43"/>
  <c r="AY426" i="43"/>
  <c r="AX434" i="43"/>
  <c r="AY434" i="43"/>
  <c r="AX420" i="43"/>
  <c r="AY420" i="43"/>
  <c r="AX428" i="43"/>
  <c r="AY428" i="43"/>
  <c r="AX432" i="43"/>
  <c r="AY432" i="43"/>
  <c r="AX415" i="43"/>
  <c r="AY415" i="43"/>
  <c r="AX419" i="43"/>
  <c r="AY419" i="43"/>
  <c r="AX427" i="43"/>
  <c r="AY427" i="43"/>
  <c r="AX435" i="43"/>
  <c r="AY435" i="43"/>
  <c r="AY453" i="43"/>
  <c r="AX453" i="43"/>
  <c r="AX454" i="43"/>
  <c r="BA449" i="43"/>
  <c r="AY450" i="43"/>
  <c r="AX450" i="43"/>
  <c r="AX436" i="43"/>
  <c r="AX439" i="43"/>
  <c r="AX440" i="43"/>
  <c r="BA452" i="43"/>
  <c r="AY459" i="43"/>
  <c r="BA459" i="43"/>
  <c r="AY463" i="43"/>
  <c r="AX463" i="43"/>
  <c r="AX441" i="43"/>
  <c r="AX442" i="43"/>
  <c r="AX443" i="43"/>
  <c r="AX446" i="43"/>
  <c r="AX455" i="43"/>
  <c r="AY456" i="43"/>
  <c r="BA456" i="43"/>
  <c r="BA450" i="43"/>
  <c r="BA453" i="43"/>
  <c r="AX459" i="43"/>
  <c r="BA460" i="43"/>
  <c r="BA464" i="43"/>
  <c r="AS468" i="43" l="1"/>
  <c r="AH133" i="44"/>
  <c r="AH132" i="44"/>
  <c r="AB132" i="44"/>
  <c r="AB468" i="43"/>
  <c r="AR468" i="43"/>
  <c r="AH468" i="43"/>
  <c r="AH467" i="43"/>
  <c r="AB467" i="43"/>
  <c r="AS467" i="43"/>
  <c r="AR467" i="43"/>
  <c r="X467" i="43"/>
  <c r="AB133" i="44"/>
  <c r="AW258" i="43"/>
  <c r="AW324" i="43"/>
  <c r="AW298" i="43"/>
  <c r="AV18" i="43"/>
  <c r="AY95" i="44"/>
  <c r="AW13" i="44"/>
  <c r="O132" i="44"/>
  <c r="AW13" i="43"/>
  <c r="O468" i="43"/>
  <c r="O467" i="43"/>
  <c r="O133" i="44"/>
  <c r="BA276" i="43"/>
  <c r="BA262" i="43"/>
  <c r="AV132" i="43"/>
  <c r="BA101" i="44"/>
  <c r="AV19" i="44"/>
  <c r="BA42" i="43"/>
  <c r="AX461" i="43"/>
  <c r="BA406" i="43"/>
  <c r="BA335" i="43"/>
  <c r="BA213" i="43"/>
  <c r="BA266" i="43"/>
  <c r="BA373" i="43"/>
  <c r="AY94" i="43"/>
  <c r="AY461" i="43"/>
  <c r="AX94" i="43"/>
  <c r="BA332" i="43"/>
  <c r="BA410" i="43"/>
  <c r="BA120" i="43"/>
  <c r="BA109" i="43"/>
  <c r="BA98" i="43"/>
  <c r="BA86" i="43"/>
  <c r="BA52" i="43"/>
  <c r="BA272" i="43"/>
  <c r="BA125" i="43"/>
  <c r="BA113" i="43"/>
  <c r="BA102" i="43"/>
  <c r="BA90" i="43"/>
  <c r="BA79" i="43"/>
  <c r="BA75" i="43"/>
  <c r="BA382" i="43"/>
  <c r="BA35" i="44"/>
  <c r="BA91" i="44"/>
  <c r="AX95" i="44"/>
  <c r="AY113" i="44"/>
  <c r="BA63" i="44"/>
  <c r="BA95" i="44"/>
  <c r="BA28" i="44"/>
  <c r="BA42" i="44"/>
  <c r="BA105" i="44"/>
  <c r="BA77" i="44"/>
  <c r="AV28" i="44"/>
  <c r="AY56" i="44"/>
  <c r="BA56" i="44"/>
  <c r="AX113" i="44"/>
  <c r="AX56" i="44"/>
  <c r="BA124" i="44"/>
  <c r="AY42" i="44"/>
  <c r="BA84" i="44"/>
  <c r="BA70" i="44"/>
  <c r="BA130" i="44"/>
  <c r="AX42" i="44"/>
  <c r="BA19" i="44"/>
  <c r="BA49" i="44"/>
  <c r="BA113" i="44"/>
  <c r="BA458" i="43"/>
  <c r="BA357" i="43"/>
  <c r="BA187" i="43"/>
  <c r="BA157" i="43"/>
  <c r="BA219" i="43"/>
  <c r="BA116" i="43"/>
  <c r="BA105" i="43"/>
  <c r="BA94" i="43"/>
  <c r="BA82" i="43"/>
  <c r="BA67" i="43"/>
  <c r="AX162" i="43"/>
  <c r="BA39" i="43"/>
  <c r="BA55" i="43"/>
  <c r="BA31" i="43"/>
  <c r="BA465" i="43"/>
  <c r="BA305" i="43"/>
  <c r="BA416" i="43"/>
  <c r="BA312" i="43"/>
  <c r="BA316" i="43"/>
  <c r="BA461" i="43"/>
  <c r="BA350" i="43"/>
  <c r="BA180" i="43"/>
  <c r="BA151" i="43"/>
  <c r="BA231" i="43"/>
  <c r="BA225" i="43"/>
  <c r="BA139" i="43"/>
  <c r="BA70" i="43"/>
  <c r="AY162" i="43"/>
  <c r="BA59" i="43"/>
  <c r="BA35" i="43"/>
  <c r="BA46" i="43"/>
  <c r="BA18" i="43"/>
  <c r="BA322" i="43"/>
  <c r="BA392" i="43"/>
  <c r="BA328" i="43"/>
  <c r="AX63" i="43"/>
  <c r="BA444" i="43"/>
  <c r="BA369" i="43"/>
  <c r="BA362" i="43"/>
  <c r="BA200" i="43"/>
  <c r="BA194" i="43"/>
  <c r="BA174" i="43"/>
  <c r="BA243" i="43"/>
  <c r="BA206" i="43"/>
  <c r="AX194" i="43"/>
  <c r="BA249" i="43"/>
  <c r="BA145" i="43"/>
  <c r="BA63" i="43"/>
  <c r="BA27" i="43"/>
  <c r="BA430" i="43"/>
  <c r="AY288" i="43"/>
  <c r="BA451" i="43"/>
  <c r="BA283" i="43"/>
  <c r="BA423" i="43"/>
  <c r="BA399" i="43"/>
  <c r="BA344" i="43"/>
  <c r="AX288" i="43"/>
  <c r="AX276" i="43"/>
  <c r="BA168" i="43"/>
  <c r="BA162" i="43"/>
  <c r="BA256" i="43"/>
  <c r="BA132" i="43"/>
  <c r="BA237" i="43"/>
  <c r="AY63" i="43"/>
  <c r="BA22" i="43"/>
  <c r="BA49" i="43"/>
  <c r="BA437" i="43"/>
  <c r="BA388" i="43"/>
  <c r="BA296" i="43"/>
  <c r="BA288" i="43"/>
  <c r="AY194" i="43"/>
  <c r="M134" i="44"/>
  <c r="L134" i="44"/>
  <c r="O134" i="44"/>
  <c r="AY389" i="43"/>
  <c r="AY392" i="43" s="1"/>
  <c r="AY345" i="43"/>
  <c r="AY350" i="43" s="1"/>
  <c r="AY83" i="43"/>
  <c r="AY86" i="43" s="1"/>
  <c r="X477" i="43"/>
  <c r="Q34" i="47" s="1"/>
  <c r="AV477" i="43"/>
  <c r="AO34" i="47" s="1"/>
  <c r="AY273" i="43"/>
  <c r="AY276" i="43" s="1"/>
  <c r="AX19" i="43"/>
  <c r="AX22" i="43" s="1"/>
  <c r="AX314" i="43"/>
  <c r="AX316" i="43" s="1"/>
  <c r="AX327" i="43"/>
  <c r="AX328" i="43" s="1"/>
  <c r="AY417" i="43"/>
  <c r="AY423" i="43" s="1"/>
  <c r="AX23" i="43"/>
  <c r="AX27" i="43" s="1"/>
  <c r="AY56" i="43"/>
  <c r="AY59" i="43" s="1"/>
  <c r="AY127" i="43"/>
  <c r="AX32" i="43"/>
  <c r="AX35" i="43" s="1"/>
  <c r="AX431" i="43"/>
  <c r="AX437" i="43" s="1"/>
  <c r="AY452" i="43"/>
  <c r="AY458" i="43" s="1"/>
  <c r="AX393" i="43"/>
  <c r="AX399" i="43" s="1"/>
  <c r="AX40" i="43"/>
  <c r="AX42" i="43" s="1"/>
  <c r="AX36" i="43"/>
  <c r="AX39" i="43" s="1"/>
  <c r="AX78" i="44"/>
  <c r="AX84" i="44" s="1"/>
  <c r="AY114" i="44"/>
  <c r="AY115" i="44" s="1"/>
  <c r="AY20" i="44"/>
  <c r="AC137" i="44"/>
  <c r="X138" i="44"/>
  <c r="AX26" i="44"/>
  <c r="AC142" i="44"/>
  <c r="AV142" i="44"/>
  <c r="AX14" i="44"/>
  <c r="AY14" i="44"/>
  <c r="AX102" i="44"/>
  <c r="AX105" i="44" s="1"/>
  <c r="AX30" i="44"/>
  <c r="AX35" i="44" s="1"/>
  <c r="AY78" i="44"/>
  <c r="AY84" i="44" s="1"/>
  <c r="AW473" i="43"/>
  <c r="AU166" i="43"/>
  <c r="AU247" i="43"/>
  <c r="AX28" i="43"/>
  <c r="AX31" i="43" s="1"/>
  <c r="AY103" i="43"/>
  <c r="AY105" i="43" s="1"/>
  <c r="AY26" i="44"/>
  <c r="AX130" i="43"/>
  <c r="AC477" i="43"/>
  <c r="V34" i="47" s="1"/>
  <c r="AX127" i="43"/>
  <c r="AX12" i="43"/>
  <c r="AX13" i="43" s="1"/>
  <c r="AV12" i="43"/>
  <c r="AV13" i="43" s="1"/>
  <c r="AX417" i="43"/>
  <c r="AX423" i="43" s="1"/>
  <c r="AU227" i="43"/>
  <c r="AU221" i="43"/>
  <c r="BC479" i="43"/>
  <c r="AU193" i="43"/>
  <c r="AY50" i="43"/>
  <c r="AY52" i="43" s="1"/>
  <c r="AY40" i="43"/>
  <c r="AY42" i="43" s="1"/>
  <c r="AX14" i="43"/>
  <c r="AY163" i="43"/>
  <c r="AY168" i="43" s="1"/>
  <c r="AY121" i="43"/>
  <c r="AY125" i="43" s="1"/>
  <c r="AY14" i="43"/>
  <c r="AY110" i="43"/>
  <c r="AY113" i="43" s="1"/>
  <c r="AU447" i="43"/>
  <c r="AX374" i="43"/>
  <c r="AX375" i="43" s="1"/>
  <c r="AX389" i="43"/>
  <c r="AX392" i="43" s="1"/>
  <c r="AU396" i="43"/>
  <c r="AX336" i="43"/>
  <c r="AX344" i="43" s="1"/>
  <c r="AY336" i="43"/>
  <c r="AY344" i="43" s="1"/>
  <c r="AY329" i="43"/>
  <c r="AY332" i="43" s="1"/>
  <c r="AX277" i="43"/>
  <c r="AX283" i="43" s="1"/>
  <c r="AY277" i="43"/>
  <c r="AY283" i="43" s="1"/>
  <c r="AT479" i="43"/>
  <c r="AM36" i="47" s="1"/>
  <c r="AU440" i="43"/>
  <c r="AX438" i="43"/>
  <c r="AX444" i="43" s="1"/>
  <c r="AU211" i="43"/>
  <c r="AY232" i="43"/>
  <c r="AY237" i="43" s="1"/>
  <c r="AX232" i="43"/>
  <c r="AX237" i="43" s="1"/>
  <c r="AY214" i="43"/>
  <c r="AY219" i="43" s="1"/>
  <c r="AX267" i="43"/>
  <c r="AX272" i="43" s="1"/>
  <c r="AY106" i="44"/>
  <c r="AY107" i="44" s="1"/>
  <c r="AX106" i="44"/>
  <c r="AX107" i="44" s="1"/>
  <c r="AC144" i="44"/>
  <c r="AX358" i="43"/>
  <c r="AX362" i="43" s="1"/>
  <c r="AX333" i="43"/>
  <c r="AX335" i="43" s="1"/>
  <c r="AU251" i="43"/>
  <c r="AY140" i="43"/>
  <c r="AY145" i="43" s="1"/>
  <c r="AY19" i="43"/>
  <c r="AY22" i="43" s="1"/>
  <c r="AX114" i="43"/>
  <c r="AX116" i="43" s="1"/>
  <c r="AU229" i="43"/>
  <c r="AU176" i="43"/>
  <c r="AY289" i="43"/>
  <c r="AY296" i="43" s="1"/>
  <c r="AU205" i="43"/>
  <c r="AU171" i="43"/>
  <c r="AU172" i="43"/>
  <c r="AU155" i="43"/>
  <c r="AY47" i="43"/>
  <c r="AY49" i="43" s="1"/>
  <c r="BB144" i="44"/>
  <c r="R134" i="44"/>
  <c r="X133" i="44" s="1"/>
  <c r="AH134" i="44"/>
  <c r="BB136" i="44"/>
  <c r="AY43" i="44"/>
  <c r="AY49" i="44" s="1"/>
  <c r="AD141" i="44"/>
  <c r="AY30" i="44"/>
  <c r="AY35" i="44" s="1"/>
  <c r="AU104" i="44"/>
  <c r="AX85" i="44"/>
  <c r="AX91" i="44" s="1"/>
  <c r="BC136" i="44"/>
  <c r="AC138" i="44"/>
  <c r="AU86" i="44"/>
  <c r="AY85" i="44"/>
  <c r="AY91" i="44" s="1"/>
  <c r="I143" i="44"/>
  <c r="AX452" i="43"/>
  <c r="AX458" i="43" s="1"/>
  <c r="AY393" i="43"/>
  <c r="AY399" i="43" s="1"/>
  <c r="AY68" i="43"/>
  <c r="AY70" i="43" s="1"/>
  <c r="AY431" i="43"/>
  <c r="AY437" i="43" s="1"/>
  <c r="AX207" i="43"/>
  <c r="AX213" i="43" s="1"/>
  <c r="AX351" i="43"/>
  <c r="AX357" i="43" s="1"/>
  <c r="AC136" i="44"/>
  <c r="AX96" i="44"/>
  <c r="AX101" i="44" s="1"/>
  <c r="X136" i="44"/>
  <c r="AY116" i="44"/>
  <c r="AY124" i="44" s="1"/>
  <c r="AX114" i="44"/>
  <c r="AX115" i="44" s="1"/>
  <c r="AY23" i="43"/>
  <c r="AY27" i="43" s="1"/>
  <c r="AY226" i="43"/>
  <c r="AY231" i="43" s="1"/>
  <c r="AX363" i="43"/>
  <c r="AX369" i="43" s="1"/>
  <c r="AX306" i="43"/>
  <c r="AX312" i="43" s="1"/>
  <c r="AX259" i="43"/>
  <c r="AX262" i="43" s="1"/>
  <c r="AY259" i="43"/>
  <c r="AY262" i="43" s="1"/>
  <c r="AX238" i="43"/>
  <c r="AX243" i="43" s="1"/>
  <c r="AX80" i="43"/>
  <c r="AX82" i="43" s="1"/>
  <c r="AY80" i="43"/>
  <c r="AY82" i="43" s="1"/>
  <c r="AU254" i="43"/>
  <c r="AU204" i="43"/>
  <c r="AV136" i="44"/>
  <c r="AU215" i="43"/>
  <c r="AU235" i="43"/>
  <c r="AX175" i="43"/>
  <c r="AX180" i="43" s="1"/>
  <c r="AU165" i="43"/>
  <c r="AX163" i="43"/>
  <c r="AX168" i="43" s="1"/>
  <c r="AX47" i="43"/>
  <c r="AX49" i="43" s="1"/>
  <c r="AY53" i="43"/>
  <c r="AY55" i="43" s="1"/>
  <c r="AU340" i="43"/>
  <c r="I144" i="44"/>
  <c r="AZ473" i="43"/>
  <c r="AU147" i="43"/>
  <c r="BB143" i="44"/>
  <c r="BC142" i="44"/>
  <c r="I137" i="44"/>
  <c r="BC478" i="43"/>
  <c r="AB469" i="43"/>
  <c r="R469" i="43"/>
  <c r="X468" i="43" s="1"/>
  <c r="L469" i="43"/>
  <c r="M469" i="43"/>
  <c r="BB476" i="43"/>
  <c r="AU33" i="47" s="1"/>
  <c r="X478" i="43"/>
  <c r="Q35" i="47" s="1"/>
  <c r="AX201" i="43"/>
  <c r="AX206" i="43" s="1"/>
  <c r="AY71" i="44"/>
  <c r="AY77" i="44" s="1"/>
  <c r="I142" i="44"/>
  <c r="X476" i="43"/>
  <c r="Q33" i="47" s="1"/>
  <c r="AX17" i="43"/>
  <c r="I477" i="43"/>
  <c r="AU149" i="43"/>
  <c r="AT471" i="43"/>
  <c r="AM28" i="47" s="1"/>
  <c r="AX121" i="43"/>
  <c r="AX125" i="43" s="1"/>
  <c r="AW479" i="43"/>
  <c r="AW470" i="43"/>
  <c r="BC476" i="43"/>
  <c r="BB137" i="44"/>
  <c r="AZ135" i="44"/>
  <c r="BC470" i="43"/>
  <c r="I136" i="44"/>
  <c r="M466" i="43"/>
  <c r="I141" i="44"/>
  <c r="AZ476" i="43"/>
  <c r="BA142" i="44"/>
  <c r="AU51" i="44"/>
  <c r="AY64" i="44"/>
  <c r="AY70" i="44" s="1"/>
  <c r="BC144" i="44"/>
  <c r="AT478" i="43"/>
  <c r="AM35" i="47" s="1"/>
  <c r="AY17" i="43"/>
  <c r="BB470" i="43"/>
  <c r="AU27" i="47" s="1"/>
  <c r="I476" i="43"/>
  <c r="AY201" i="43"/>
  <c r="AY206" i="43" s="1"/>
  <c r="AU170" i="43"/>
  <c r="I479" i="43"/>
  <c r="AV141" i="44"/>
  <c r="AX376" i="43"/>
  <c r="AX382" i="43" s="1"/>
  <c r="AU330" i="43"/>
  <c r="AU199" i="43"/>
  <c r="AT472" i="43"/>
  <c r="AM29" i="47" s="1"/>
  <c r="BB478" i="43"/>
  <c r="AU35" i="47" s="1"/>
  <c r="BA477" i="43"/>
  <c r="AT34" i="47" s="1"/>
  <c r="AT477" i="43"/>
  <c r="AM34" i="47" s="1"/>
  <c r="BB477" i="43"/>
  <c r="AU34" i="47" s="1"/>
  <c r="AU112" i="43"/>
  <c r="AY76" i="43"/>
  <c r="AY79" i="43" s="1"/>
  <c r="AU25" i="43"/>
  <c r="AY126" i="43"/>
  <c r="O466" i="43"/>
  <c r="AW478" i="43"/>
  <c r="AX64" i="44"/>
  <c r="AX70" i="44" s="1"/>
  <c r="BB471" i="43"/>
  <c r="AU28" i="47" s="1"/>
  <c r="AB134" i="44"/>
  <c r="AZ136" i="44"/>
  <c r="BB473" i="43"/>
  <c r="AU30" i="47" s="1"/>
  <c r="AT470" i="43"/>
  <c r="AM27" i="47" s="1"/>
  <c r="AH466" i="43"/>
  <c r="X472" i="43"/>
  <c r="Q29" i="47" s="1"/>
  <c r="AY125" i="44"/>
  <c r="AY130" i="44" s="1"/>
  <c r="M131" i="44"/>
  <c r="AY57" i="44"/>
  <c r="AY63" i="44" s="1"/>
  <c r="AX57" i="44"/>
  <c r="AX63" i="44" s="1"/>
  <c r="AX462" i="43"/>
  <c r="AX465" i="43" s="1"/>
  <c r="AY407" i="43"/>
  <c r="AY410" i="43" s="1"/>
  <c r="AX445" i="43"/>
  <c r="AX451" i="43" s="1"/>
  <c r="AY462" i="43"/>
  <c r="AY465" i="43" s="1"/>
  <c r="AU359" i="43"/>
  <c r="AU355" i="43"/>
  <c r="AX299" i="43"/>
  <c r="AX305" i="43" s="1"/>
  <c r="I473" i="43"/>
  <c r="BB472" i="43"/>
  <c r="AU29" i="47" s="1"/>
  <c r="AU273" i="43"/>
  <c r="AU182" i="43"/>
  <c r="AY146" i="43"/>
  <c r="AY151" i="43" s="1"/>
  <c r="I478" i="43"/>
  <c r="AU138" i="43"/>
  <c r="AX146" i="43"/>
  <c r="AX151" i="43" s="1"/>
  <c r="AX226" i="43"/>
  <c r="AX231" i="43" s="1"/>
  <c r="AT476" i="43"/>
  <c r="AM33" i="47" s="1"/>
  <c r="AX126" i="43"/>
  <c r="AY114" i="43"/>
  <c r="AY116" i="43" s="1"/>
  <c r="AY106" i="43"/>
  <c r="AY109" i="43" s="1"/>
  <c r="AY299" i="43"/>
  <c r="AY305" i="43" s="1"/>
  <c r="I471" i="43"/>
  <c r="BB141" i="44"/>
  <c r="AX43" i="44"/>
  <c r="AX49" i="44" s="1"/>
  <c r="BC137" i="44"/>
  <c r="AH131" i="44"/>
  <c r="AZ471" i="43"/>
  <c r="O469" i="43"/>
  <c r="AW476" i="43"/>
  <c r="X142" i="44"/>
  <c r="AY17" i="44"/>
  <c r="AX17" i="44"/>
  <c r="AB131" i="44"/>
  <c r="AW135" i="44"/>
  <c r="AZ141" i="44"/>
  <c r="X144" i="44"/>
  <c r="BC143" i="44"/>
  <c r="BC471" i="43"/>
  <c r="AW141" i="44"/>
  <c r="AW144" i="44"/>
  <c r="AH469" i="43"/>
  <c r="BB138" i="44"/>
  <c r="BC472" i="43"/>
  <c r="BB479" i="43"/>
  <c r="AU36" i="47" s="1"/>
  <c r="I472" i="43"/>
  <c r="AZ470" i="43"/>
  <c r="L466" i="43"/>
  <c r="I470" i="43"/>
  <c r="AB466" i="43"/>
  <c r="X479" i="43"/>
  <c r="Q36" i="47" s="1"/>
  <c r="BA138" i="44"/>
  <c r="BB142" i="44"/>
  <c r="AU112" i="44"/>
  <c r="I135" i="44"/>
  <c r="BC141" i="44"/>
  <c r="AW137" i="44"/>
  <c r="X470" i="43"/>
  <c r="Q27" i="47" s="1"/>
  <c r="AZ479" i="43"/>
  <c r="AW136" i="44"/>
  <c r="BC473" i="43"/>
  <c r="AZ478" i="43"/>
  <c r="AZ143" i="44"/>
  <c r="BC135" i="44"/>
  <c r="AW477" i="43"/>
  <c r="AW471" i="43"/>
  <c r="X141" i="44"/>
  <c r="AZ144" i="44"/>
  <c r="AU209" i="43"/>
  <c r="AW472" i="43"/>
  <c r="AT473" i="43"/>
  <c r="AM30" i="47" s="1"/>
  <c r="AZ472" i="43"/>
  <c r="BB135" i="44"/>
  <c r="AU103" i="44"/>
  <c r="AU88" i="44"/>
  <c r="L131" i="44"/>
  <c r="R131" i="44"/>
  <c r="X135" i="44"/>
  <c r="X137" i="44"/>
  <c r="X143" i="44"/>
  <c r="BC477" i="43"/>
  <c r="X471" i="43"/>
  <c r="Q28" i="47" s="1"/>
  <c r="O131" i="44"/>
  <c r="I138" i="44"/>
  <c r="X473" i="43"/>
  <c r="Q30" i="47" s="1"/>
  <c r="AW143" i="44"/>
  <c r="BA12" i="44"/>
  <c r="BA13" i="44" s="1"/>
  <c r="AU69" i="44"/>
  <c r="AU81" i="44"/>
  <c r="AU72" i="44"/>
  <c r="AU80" i="44"/>
  <c r="AU92" i="44"/>
  <c r="AX116" i="44"/>
  <c r="AX124" i="44" s="1"/>
  <c r="AU67" i="44"/>
  <c r="AU50" i="44"/>
  <c r="AU79" i="44"/>
  <c r="AY102" i="44"/>
  <c r="AY105" i="44" s="1"/>
  <c r="AX20" i="44"/>
  <c r="AU108" i="44"/>
  <c r="AU120" i="44"/>
  <c r="AY96" i="44"/>
  <c r="AY101" i="44" s="1"/>
  <c r="AX125" i="44"/>
  <c r="AX130" i="44" s="1"/>
  <c r="AX71" i="44"/>
  <c r="AX77" i="44" s="1"/>
  <c r="AU98" i="44"/>
  <c r="AU90" i="44"/>
  <c r="AU32" i="44"/>
  <c r="AU27" i="44"/>
  <c r="AU37" i="44"/>
  <c r="AU34" i="44"/>
  <c r="AU47" i="44"/>
  <c r="AU38" i="44"/>
  <c r="AU76" i="44"/>
  <c r="AU75" i="44"/>
  <c r="AU109" i="44"/>
  <c r="AU83" i="44"/>
  <c r="AU36" i="44"/>
  <c r="AU33" i="44"/>
  <c r="AU74" i="44"/>
  <c r="AU110" i="44"/>
  <c r="AU94" i="44"/>
  <c r="AU16" i="44"/>
  <c r="AU44" i="44"/>
  <c r="AU59" i="44"/>
  <c r="AU55" i="44"/>
  <c r="AU100" i="44"/>
  <c r="AU123" i="44"/>
  <c r="AU119" i="44"/>
  <c r="AU129" i="44"/>
  <c r="AU128" i="44"/>
  <c r="AU87" i="44"/>
  <c r="AU127" i="44"/>
  <c r="AU122" i="44"/>
  <c r="AU118" i="44"/>
  <c r="AU99" i="44"/>
  <c r="AU93" i="44"/>
  <c r="AU89" i="44"/>
  <c r="AU111" i="44"/>
  <c r="AU126" i="44"/>
  <c r="AU121" i="44"/>
  <c r="AU117" i="44"/>
  <c r="AU97" i="44"/>
  <c r="AU65" i="44"/>
  <c r="AU73" i="44"/>
  <c r="AU66" i="44"/>
  <c r="AU62" i="44"/>
  <c r="AU48" i="44"/>
  <c r="AU60" i="44"/>
  <c r="AU82" i="44"/>
  <c r="AU61" i="44"/>
  <c r="AU54" i="44"/>
  <c r="AU53" i="44"/>
  <c r="AU58" i="44"/>
  <c r="AU52" i="44"/>
  <c r="AU68" i="44"/>
  <c r="AU41" i="44"/>
  <c r="AU45" i="44"/>
  <c r="AU46" i="44"/>
  <c r="AU39" i="44"/>
  <c r="AU40" i="44"/>
  <c r="AU29" i="44"/>
  <c r="AU21" i="44"/>
  <c r="AU15" i="44"/>
  <c r="AU24" i="44"/>
  <c r="AU23" i="44"/>
  <c r="AU18" i="44"/>
  <c r="AU25" i="44"/>
  <c r="AU31" i="44"/>
  <c r="AU22" i="44"/>
  <c r="AY12" i="43"/>
  <c r="AY13" i="43" s="1"/>
  <c r="AU460" i="43"/>
  <c r="AU449" i="43"/>
  <c r="AY424" i="43"/>
  <c r="AY430" i="43" s="1"/>
  <c r="AX383" i="43"/>
  <c r="AX388" i="43" s="1"/>
  <c r="AU192" i="43"/>
  <c r="AU188" i="43"/>
  <c r="AU178" i="43"/>
  <c r="AU161" i="43"/>
  <c r="AU338" i="43"/>
  <c r="AX87" i="43"/>
  <c r="AX90" i="43" s="1"/>
  <c r="AX117" i="43"/>
  <c r="AX120" i="43" s="1"/>
  <c r="AU58" i="43"/>
  <c r="AY36" i="43"/>
  <c r="AY39" i="43" s="1"/>
  <c r="AX106" i="43"/>
  <c r="AX109" i="43" s="1"/>
  <c r="AY43" i="43"/>
  <c r="AY46" i="43" s="1"/>
  <c r="AY64" i="43"/>
  <c r="AY67" i="43" s="1"/>
  <c r="AY376" i="43"/>
  <c r="AY382" i="43" s="1"/>
  <c r="AU331" i="43"/>
  <c r="AU191" i="43"/>
  <c r="AY445" i="43"/>
  <c r="AY451" i="43" s="1"/>
  <c r="AX407" i="43"/>
  <c r="AX410" i="43" s="1"/>
  <c r="AY333" i="43"/>
  <c r="AY335" i="43" s="1"/>
  <c r="AY181" i="43"/>
  <c r="AY187" i="43" s="1"/>
  <c r="AY400" i="43"/>
  <c r="AY406" i="43" s="1"/>
  <c r="AX400" i="43"/>
  <c r="AX406" i="43" s="1"/>
  <c r="AY323" i="43"/>
  <c r="AY324" i="43" s="1"/>
  <c r="AY327" i="43"/>
  <c r="AY328" i="43" s="1"/>
  <c r="AU325" i="43"/>
  <c r="AY317" i="43"/>
  <c r="AY322" i="43" s="1"/>
  <c r="AX411" i="43"/>
  <c r="AX416" i="43" s="1"/>
  <c r="BA12" i="43"/>
  <c r="BA13" i="43" s="1"/>
  <c r="AU428" i="43"/>
  <c r="AX424" i="43"/>
  <c r="AX430" i="43" s="1"/>
  <c r="AU418" i="43"/>
  <c r="AY411" i="43"/>
  <c r="AY416" i="43" s="1"/>
  <c r="AX317" i="43"/>
  <c r="AX322" i="43" s="1"/>
  <c r="AU346" i="43"/>
  <c r="AU337" i="43"/>
  <c r="AU341" i="43"/>
  <c r="AU239" i="43"/>
  <c r="AU179" i="43"/>
  <c r="AY152" i="43"/>
  <c r="AY157" i="43" s="1"/>
  <c r="AX152" i="43"/>
  <c r="AX157" i="43" s="1"/>
  <c r="AX250" i="43"/>
  <c r="AX256" i="43" s="1"/>
  <c r="AY133" i="43"/>
  <c r="AY139" i="43" s="1"/>
  <c r="AX76" i="43"/>
  <c r="AX79" i="43" s="1"/>
  <c r="AU72" i="43"/>
  <c r="AX43" i="43"/>
  <c r="AX46" i="43" s="1"/>
  <c r="AY99" i="43"/>
  <c r="AY102" i="43" s="1"/>
  <c r="AU78" i="43"/>
  <c r="AU24" i="43"/>
  <c r="AX64" i="43"/>
  <c r="AX67" i="43" s="1"/>
  <c r="AU265" i="43"/>
  <c r="AY220" i="43"/>
  <c r="AY225" i="43" s="1"/>
  <c r="AU197" i="43"/>
  <c r="AY207" i="43"/>
  <c r="AY213" i="43" s="1"/>
  <c r="AU196" i="43"/>
  <c r="AY370" i="43"/>
  <c r="AY373" i="43" s="1"/>
  <c r="AY175" i="43"/>
  <c r="AY180" i="43" s="1"/>
  <c r="AY358" i="43"/>
  <c r="AY362" i="43" s="1"/>
  <c r="AY374" i="43"/>
  <c r="AY375" i="43" s="1"/>
  <c r="AX56" i="43"/>
  <c r="AX59" i="43" s="1"/>
  <c r="AU456" i="43"/>
  <c r="AU457" i="43"/>
  <c r="AU415" i="43"/>
  <c r="AU426" i="43"/>
  <c r="AU349" i="43"/>
  <c r="AU334" i="43"/>
  <c r="AX263" i="43"/>
  <c r="AX266" i="43" s="1"/>
  <c r="AX257" i="43"/>
  <c r="AX258" i="43" s="1"/>
  <c r="AY257" i="43"/>
  <c r="AY258" i="43" s="1"/>
  <c r="AX220" i="43"/>
  <c r="AX225" i="43" s="1"/>
  <c r="AU190" i="43"/>
  <c r="AX214" i="43"/>
  <c r="AX219" i="43" s="1"/>
  <c r="AU198" i="43"/>
  <c r="AU142" i="43"/>
  <c r="AY250" i="43"/>
  <c r="AY256" i="43" s="1"/>
  <c r="AU128" i="43"/>
  <c r="AY87" i="43"/>
  <c r="AY90" i="43" s="1"/>
  <c r="AY71" i="43"/>
  <c r="AY75" i="43" s="1"/>
  <c r="AX133" i="43"/>
  <c r="AX139" i="43" s="1"/>
  <c r="AX99" i="43"/>
  <c r="AX102" i="43" s="1"/>
  <c r="AY95" i="43"/>
  <c r="AY98" i="43" s="1"/>
  <c r="AY263" i="43"/>
  <c r="AY266" i="43" s="1"/>
  <c r="AU309" i="43"/>
  <c r="AY438" i="43"/>
  <c r="AY444" i="43" s="1"/>
  <c r="AY351" i="43"/>
  <c r="AY357" i="43" s="1"/>
  <c r="AY297" i="43"/>
  <c r="AY298" i="43" s="1"/>
  <c r="AY244" i="43"/>
  <c r="AY249" i="43" s="1"/>
  <c r="AY363" i="43"/>
  <c r="AY369" i="43" s="1"/>
  <c r="AY314" i="43"/>
  <c r="AY316" i="43" s="1"/>
  <c r="AY306" i="43"/>
  <c r="AY312" i="43" s="1"/>
  <c r="AY195" i="43"/>
  <c r="AY200" i="43" s="1"/>
  <c r="AX195" i="43"/>
  <c r="AX200" i="43" s="1"/>
  <c r="AY169" i="43"/>
  <c r="AY174" i="43" s="1"/>
  <c r="AU280" i="43"/>
  <c r="AU223" i="43"/>
  <c r="AU203" i="43"/>
  <c r="AU293" i="43"/>
  <c r="AU154" i="43"/>
  <c r="AU167" i="43"/>
  <c r="AU48" i="43"/>
  <c r="AU15" i="43"/>
  <c r="AU137" i="43"/>
  <c r="AU186" i="43"/>
  <c r="AU131" i="43"/>
  <c r="AU387" i="43"/>
  <c r="AU464" i="43"/>
  <c r="AU463" i="43"/>
  <c r="AU448" i="43"/>
  <c r="AU450" i="43"/>
  <c r="AU434" i="43"/>
  <c r="AU366" i="43"/>
  <c r="AU379" i="43"/>
  <c r="AU261" i="43"/>
  <c r="AU321" i="43"/>
  <c r="AU230" i="43"/>
  <c r="AU141" i="43"/>
  <c r="AU104" i="43"/>
  <c r="AU60" i="43"/>
  <c r="AU44" i="43"/>
  <c r="AU34" i="43"/>
  <c r="AU184" i="43"/>
  <c r="AU123" i="43"/>
  <c r="AU241" i="43"/>
  <c r="AU245" i="43"/>
  <c r="AU420" i="43"/>
  <c r="AU398" i="43"/>
  <c r="AU371" i="43"/>
  <c r="AU185" i="43"/>
  <c r="AU177" i="43"/>
  <c r="AU246" i="43"/>
  <c r="AU236" i="43"/>
  <c r="AU156" i="43"/>
  <c r="AU136" i="43"/>
  <c r="AU96" i="43"/>
  <c r="AU183" i="43"/>
  <c r="AU89" i="43"/>
  <c r="AU115" i="43"/>
  <c r="AU107" i="43"/>
  <c r="AU65" i="43"/>
  <c r="AU217" i="43"/>
  <c r="AU233" i="43"/>
  <c r="AU459" i="43"/>
  <c r="AU455" i="43"/>
  <c r="AU446" i="43"/>
  <c r="AU442" i="43"/>
  <c r="AU454" i="43"/>
  <c r="AU436" i="43"/>
  <c r="AU409" i="43"/>
  <c r="AU404" i="43"/>
  <c r="AU394" i="43"/>
  <c r="AU391" i="43"/>
  <c r="AU319" i="43"/>
  <c r="AU315" i="43"/>
  <c r="AU311" i="43"/>
  <c r="AU307" i="43"/>
  <c r="AU303" i="43"/>
  <c r="AU295" i="43"/>
  <c r="AU291" i="43"/>
  <c r="AU287" i="43"/>
  <c r="AU279" i="43"/>
  <c r="AU275" i="43"/>
  <c r="AU271" i="43"/>
  <c r="AU384" i="43"/>
  <c r="AU380" i="43"/>
  <c r="AU348" i="43"/>
  <c r="AU365" i="43"/>
  <c r="AU361" i="43"/>
  <c r="AU353" i="43"/>
  <c r="AU343" i="43"/>
  <c r="AU308" i="43"/>
  <c r="AU292" i="43"/>
  <c r="AU255" i="43"/>
  <c r="AU290" i="43"/>
  <c r="AU282" i="43"/>
  <c r="AU274" i="43"/>
  <c r="AU264" i="43"/>
  <c r="AU395" i="43"/>
  <c r="AU301" i="43"/>
  <c r="AU285" i="43"/>
  <c r="AU270" i="43"/>
  <c r="AU253" i="43"/>
  <c r="AU164" i="43"/>
  <c r="AU160" i="43"/>
  <c r="AU342" i="43"/>
  <c r="AU224" i="43"/>
  <c r="AU228" i="43"/>
  <c r="AU218" i="43"/>
  <c r="AU212" i="43"/>
  <c r="AU143" i="43"/>
  <c r="AU189" i="43"/>
  <c r="AU173" i="43"/>
  <c r="AU129" i="43"/>
  <c r="AU97" i="43"/>
  <c r="AU88" i="43"/>
  <c r="AU62" i="43"/>
  <c r="AU54" i="43"/>
  <c r="AU38" i="43"/>
  <c r="AU30" i="43"/>
  <c r="AU21" i="43"/>
  <c r="AU45" i="43"/>
  <c r="AU134" i="43"/>
  <c r="AU118" i="43"/>
  <c r="AU85" i="43"/>
  <c r="AU73" i="43"/>
  <c r="AU153" i="43"/>
  <c r="AU135" i="43"/>
  <c r="AU61" i="43"/>
  <c r="AU20" i="43"/>
  <c r="AU16" i="43"/>
  <c r="AU69" i="43"/>
  <c r="AU150" i="43"/>
  <c r="AU37" i="43"/>
  <c r="AU453" i="43"/>
  <c r="AU435" i="43"/>
  <c r="AU427" i="43"/>
  <c r="AU419" i="43"/>
  <c r="AU432" i="43"/>
  <c r="AU422" i="43"/>
  <c r="AU414" i="43"/>
  <c r="AU412" i="43"/>
  <c r="AU405" i="43"/>
  <c r="AU367" i="43"/>
  <c r="AU439" i="43"/>
  <c r="AU397" i="43"/>
  <c r="AU385" i="43"/>
  <c r="AU381" i="43"/>
  <c r="AU377" i="43"/>
  <c r="AU320" i="43"/>
  <c r="AU304" i="43"/>
  <c r="AU313" i="43"/>
  <c r="AU281" i="43"/>
  <c r="AU269" i="43"/>
  <c r="AU222" i="43"/>
  <c r="AU159" i="43"/>
  <c r="AU347" i="43"/>
  <c r="AU248" i="43"/>
  <c r="AU216" i="43"/>
  <c r="AU144" i="43"/>
  <c r="AU339" i="43"/>
  <c r="AU242" i="43"/>
  <c r="AU210" i="43"/>
  <c r="AU124" i="43"/>
  <c r="AU108" i="43"/>
  <c r="AU100" i="43"/>
  <c r="AU91" i="43"/>
  <c r="AU148" i="43"/>
  <c r="AU77" i="43"/>
  <c r="AU119" i="43"/>
  <c r="AU111" i="43"/>
  <c r="AU74" i="43"/>
  <c r="AU51" i="43"/>
  <c r="AU33" i="43"/>
  <c r="AU26" i="43"/>
  <c r="AU443" i="43"/>
  <c r="AU441" i="43"/>
  <c r="AU433" i="43"/>
  <c r="AU429" i="43"/>
  <c r="AU425" i="43"/>
  <c r="AU421" i="43"/>
  <c r="AU413" i="43"/>
  <c r="AU402" i="43"/>
  <c r="AU401" i="43"/>
  <c r="AU354" i="43"/>
  <c r="AU390" i="43"/>
  <c r="AU386" i="43"/>
  <c r="AU378" i="43"/>
  <c r="AU403" i="43"/>
  <c r="AU372" i="43"/>
  <c r="AU368" i="43"/>
  <c r="AU364" i="43"/>
  <c r="AU360" i="43"/>
  <c r="AU356" i="43"/>
  <c r="AU352" i="43"/>
  <c r="AU300" i="43"/>
  <c r="AU284" i="43"/>
  <c r="AU326" i="43"/>
  <c r="AU318" i="43"/>
  <c r="AU310" i="43"/>
  <c r="AU302" i="43"/>
  <c r="AU294" i="43"/>
  <c r="AU286" i="43"/>
  <c r="AU278" i="43"/>
  <c r="AU268" i="43"/>
  <c r="AU260" i="43"/>
  <c r="AU158" i="43"/>
  <c r="AU240" i="43"/>
  <c r="AU208" i="43"/>
  <c r="AU252" i="43"/>
  <c r="AU234" i="43"/>
  <c r="AU202" i="43"/>
  <c r="AU101" i="43"/>
  <c r="AU93" i="43"/>
  <c r="AU84" i="43"/>
  <c r="AU122" i="43"/>
  <c r="AU81" i="43"/>
  <c r="AU57" i="43"/>
  <c r="AU41" i="43"/>
  <c r="AU66" i="43"/>
  <c r="X132" i="44" l="1"/>
  <c r="Y132" i="44"/>
  <c r="I133" i="44"/>
  <c r="I132" i="44"/>
  <c r="I468" i="43"/>
  <c r="I467" i="43"/>
  <c r="AX28" i="44"/>
  <c r="AX132" i="43"/>
  <c r="AX19" i="44"/>
  <c r="AY19" i="44"/>
  <c r="AY28" i="44"/>
  <c r="AX18" i="43"/>
  <c r="AY18" i="43"/>
  <c r="AE473" i="43"/>
  <c r="X30" i="47" s="1"/>
  <c r="AV138" i="44"/>
  <c r="AD137" i="44"/>
  <c r="AV144" i="44"/>
  <c r="AU461" i="43"/>
  <c r="AU288" i="43"/>
  <c r="AU94" i="43"/>
  <c r="AV473" i="43"/>
  <c r="AO30" i="47" s="1"/>
  <c r="AU162" i="43"/>
  <c r="AU194" i="43"/>
  <c r="AU63" i="43"/>
  <c r="AU276" i="43"/>
  <c r="AY267" i="43"/>
  <c r="AY272" i="43" s="1"/>
  <c r="AX140" i="43"/>
  <c r="AX145" i="43" s="1"/>
  <c r="AX95" i="43"/>
  <c r="AX98" i="43" s="1"/>
  <c r="AY238" i="43"/>
  <c r="AY243" i="43" s="1"/>
  <c r="AX244" i="43"/>
  <c r="AX249" i="43" s="1"/>
  <c r="AX68" i="43"/>
  <c r="AX70" i="43" s="1"/>
  <c r="AX50" i="43"/>
  <c r="AX52" i="43" s="1"/>
  <c r="AX169" i="43"/>
  <c r="AX174" i="43" s="1"/>
  <c r="AY130" i="43"/>
  <c r="AY477" i="43" s="1"/>
  <c r="AR34" i="47" s="1"/>
  <c r="AX53" i="43"/>
  <c r="AX55" i="43" s="1"/>
  <c r="AX370" i="43"/>
  <c r="AX373" i="43" s="1"/>
  <c r="AX181" i="43"/>
  <c r="AX187" i="43" s="1"/>
  <c r="AY28" i="43"/>
  <c r="AY31" i="43" s="1"/>
  <c r="AX323" i="43"/>
  <c r="AX324" i="43" s="1"/>
  <c r="AX110" i="43"/>
  <c r="AX113" i="43" s="1"/>
  <c r="AX289" i="43"/>
  <c r="AX296" i="43" s="1"/>
  <c r="AY32" i="43"/>
  <c r="AY35" i="43" s="1"/>
  <c r="AY117" i="43"/>
  <c r="AY120" i="43" s="1"/>
  <c r="AX71" i="43"/>
  <c r="AX75" i="43" s="1"/>
  <c r="AD473" i="43"/>
  <c r="W30" i="47" s="1"/>
  <c r="AX345" i="43"/>
  <c r="AX350" i="43" s="1"/>
  <c r="AX297" i="43"/>
  <c r="AX298" i="43" s="1"/>
  <c r="AX83" i="43"/>
  <c r="AX86" i="43" s="1"/>
  <c r="AX329" i="43"/>
  <c r="AX332" i="43" s="1"/>
  <c r="AY383" i="43"/>
  <c r="AY388" i="43" s="1"/>
  <c r="AX103" i="43"/>
  <c r="AX105" i="43" s="1"/>
  <c r="AU42" i="44"/>
  <c r="AV137" i="44"/>
  <c r="AU113" i="44"/>
  <c r="AU56" i="44"/>
  <c r="AU95" i="44"/>
  <c r="AE137" i="44"/>
  <c r="AE138" i="44"/>
  <c r="AE136" i="44"/>
  <c r="AD144" i="44"/>
  <c r="AE143" i="44"/>
  <c r="AY143" i="44"/>
  <c r="AX142" i="44"/>
  <c r="AU20" i="44"/>
  <c r="AU14" i="44"/>
  <c r="AU17" i="44"/>
  <c r="AU142" i="44" s="1"/>
  <c r="AD136" i="44"/>
  <c r="AD138" i="44"/>
  <c r="AY12" i="44"/>
  <c r="AY13" i="44" s="1"/>
  <c r="AU116" i="44"/>
  <c r="AU124" i="44" s="1"/>
  <c r="AE141" i="44"/>
  <c r="AI144" i="44"/>
  <c r="AE144" i="44"/>
  <c r="AX12" i="44"/>
  <c r="AX13" i="44" s="1"/>
  <c r="BA476" i="43"/>
  <c r="AT33" i="47" s="1"/>
  <c r="AU389" i="43"/>
  <c r="AU392" i="43" s="1"/>
  <c r="AD479" i="43"/>
  <c r="W36" i="47" s="1"/>
  <c r="AE477" i="43"/>
  <c r="X34" i="47" s="1"/>
  <c r="AU169" i="43"/>
  <c r="AU174" i="43" s="1"/>
  <c r="AU103" i="43"/>
  <c r="AU105" i="43" s="1"/>
  <c r="AU32" i="43"/>
  <c r="AU35" i="43" s="1"/>
  <c r="AU175" i="43"/>
  <c r="AU180" i="43" s="1"/>
  <c r="AU127" i="43"/>
  <c r="AU23" i="43"/>
  <c r="AU27" i="43" s="1"/>
  <c r="AC143" i="44"/>
  <c r="AI141" i="44"/>
  <c r="AU26" i="44"/>
  <c r="AU78" i="44"/>
  <c r="AU84" i="44" s="1"/>
  <c r="AV143" i="44"/>
  <c r="AU76" i="43"/>
  <c r="AU79" i="43" s="1"/>
  <c r="AU393" i="43"/>
  <c r="AU399" i="43" s="1"/>
  <c r="AE472" i="43"/>
  <c r="X29" i="47" s="1"/>
  <c r="AD477" i="43"/>
  <c r="W34" i="47" s="1"/>
  <c r="AV479" i="43"/>
  <c r="AO36" i="47" s="1"/>
  <c r="AU50" i="43"/>
  <c r="AU52" i="43" s="1"/>
  <c r="AU431" i="43"/>
  <c r="AU437" i="43" s="1"/>
  <c r="AU140" i="43"/>
  <c r="AU145" i="43" s="1"/>
  <c r="AU289" i="43"/>
  <c r="AU296" i="43" s="1"/>
  <c r="AU14" i="43"/>
  <c r="AU133" i="43"/>
  <c r="AU139" i="43" s="1"/>
  <c r="AU68" i="43"/>
  <c r="AU70" i="43" s="1"/>
  <c r="AU121" i="43"/>
  <c r="AU125" i="43" s="1"/>
  <c r="AU417" i="43"/>
  <c r="AU423" i="43" s="1"/>
  <c r="AU80" i="43"/>
  <c r="AU82" i="43" s="1"/>
  <c r="AU110" i="43"/>
  <c r="AU113" i="43" s="1"/>
  <c r="AU106" i="43"/>
  <c r="AU109" i="43" s="1"/>
  <c r="AU452" i="43"/>
  <c r="AU458" i="43" s="1"/>
  <c r="AU424" i="43"/>
  <c r="AU430" i="43" s="1"/>
  <c r="AU336" i="43"/>
  <c r="AU344" i="43" s="1"/>
  <c r="AV476" i="43"/>
  <c r="AO33" i="47" s="1"/>
  <c r="AU345" i="43"/>
  <c r="AU350" i="43" s="1"/>
  <c r="AU363" i="43"/>
  <c r="AU369" i="43" s="1"/>
  <c r="AU383" i="43"/>
  <c r="AU388" i="43" s="1"/>
  <c r="AU277" i="43"/>
  <c r="AU283" i="43" s="1"/>
  <c r="AD478" i="43"/>
  <c r="W35" i="47" s="1"/>
  <c r="AU329" i="43"/>
  <c r="AU332" i="43" s="1"/>
  <c r="AU232" i="43"/>
  <c r="AU237" i="43" s="1"/>
  <c r="AU163" i="43"/>
  <c r="AU168" i="43" s="1"/>
  <c r="AU407" i="43"/>
  <c r="AU410" i="43" s="1"/>
  <c r="AC473" i="43"/>
  <c r="V30" i="47" s="1"/>
  <c r="AU83" i="43"/>
  <c r="AU86" i="43" s="1"/>
  <c r="AU323" i="43"/>
  <c r="AU324" i="43" s="1"/>
  <c r="AU259" i="43"/>
  <c r="AU262" i="43" s="1"/>
  <c r="AU267" i="43"/>
  <c r="AU272" i="43" s="1"/>
  <c r="AU195" i="43"/>
  <c r="AU200" i="43" s="1"/>
  <c r="AU96" i="44"/>
  <c r="AU101" i="44" s="1"/>
  <c r="AC141" i="44"/>
  <c r="AD143" i="44"/>
  <c r="AU87" i="43"/>
  <c r="AU90" i="43" s="1"/>
  <c r="AU126" i="43"/>
  <c r="AU146" i="43"/>
  <c r="AU151" i="43" s="1"/>
  <c r="AU64" i="44"/>
  <c r="AU70" i="44" s="1"/>
  <c r="BA144" i="44"/>
  <c r="AU43" i="44"/>
  <c r="AU49" i="44" s="1"/>
  <c r="AU85" i="44"/>
  <c r="AU91" i="44" s="1"/>
  <c r="AZ131" i="44"/>
  <c r="BC131" i="44"/>
  <c r="AU244" i="43"/>
  <c r="AU249" i="43" s="1"/>
  <c r="AE478" i="43"/>
  <c r="X35" i="47" s="1"/>
  <c r="AE471" i="43"/>
  <c r="X28" i="47" s="1"/>
  <c r="AU327" i="43"/>
  <c r="AU328" i="43" s="1"/>
  <c r="AU400" i="43"/>
  <c r="AU406" i="43" s="1"/>
  <c r="AU102" i="44"/>
  <c r="AU105" i="44" s="1"/>
  <c r="AU57" i="44"/>
  <c r="AU63" i="44" s="1"/>
  <c r="BC469" i="43"/>
  <c r="X466" i="43"/>
  <c r="Q13" i="47" s="1"/>
  <c r="Q23" i="47" s="1"/>
  <c r="AD470" i="43"/>
  <c r="W27" i="47" s="1"/>
  <c r="AW466" i="43"/>
  <c r="I131" i="44"/>
  <c r="AW131" i="44"/>
  <c r="AE135" i="44"/>
  <c r="AC470" i="43"/>
  <c r="V27" i="47" s="1"/>
  <c r="BC466" i="43"/>
  <c r="AE470" i="43"/>
  <c r="X27" i="47" s="1"/>
  <c r="AC135" i="44"/>
  <c r="AX138" i="44"/>
  <c r="AZ466" i="43"/>
  <c r="AY473" i="43"/>
  <c r="AR30" i="47" s="1"/>
  <c r="BC134" i="44"/>
  <c r="I134" i="44"/>
  <c r="AV470" i="43"/>
  <c r="AO27" i="47" s="1"/>
  <c r="AU317" i="43"/>
  <c r="AU322" i="43" s="1"/>
  <c r="I466" i="43"/>
  <c r="AU201" i="43"/>
  <c r="AU206" i="43" s="1"/>
  <c r="AT466" i="43"/>
  <c r="AM13" i="47" s="1"/>
  <c r="AM23" i="47" s="1"/>
  <c r="BA137" i="44"/>
  <c r="AD135" i="44"/>
  <c r="BA135" i="44"/>
  <c r="X134" i="44"/>
  <c r="AC133" i="44" s="1"/>
  <c r="BA143" i="44"/>
  <c r="BB466" i="43"/>
  <c r="AU13" i="47" s="1"/>
  <c r="AU23" i="47" s="1"/>
  <c r="X469" i="43"/>
  <c r="AC468" i="43" s="1"/>
  <c r="AZ469" i="43"/>
  <c r="AX477" i="43"/>
  <c r="AQ34" i="47" s="1"/>
  <c r="AV471" i="43"/>
  <c r="AO28" i="47" s="1"/>
  <c r="BA472" i="43"/>
  <c r="AT29" i="47" s="1"/>
  <c r="AZ134" i="44"/>
  <c r="AD476" i="43"/>
  <c r="W33" i="47" s="1"/>
  <c r="AX476" i="43"/>
  <c r="AQ33" i="47" s="1"/>
  <c r="AC476" i="43"/>
  <c r="V33" i="47" s="1"/>
  <c r="BA471" i="43"/>
  <c r="AT28" i="47" s="1"/>
  <c r="AU257" i="43"/>
  <c r="AU258" i="43" s="1"/>
  <c r="AU263" i="43"/>
  <c r="AU266" i="43" s="1"/>
  <c r="AU43" i="43"/>
  <c r="AU46" i="43" s="1"/>
  <c r="AU250" i="43"/>
  <c r="AU256" i="43" s="1"/>
  <c r="AU17" i="43"/>
  <c r="AD472" i="43"/>
  <c r="W29" i="47" s="1"/>
  <c r="AU125" i="44"/>
  <c r="AU130" i="44" s="1"/>
  <c r="AV135" i="44"/>
  <c r="BA141" i="44"/>
  <c r="BB134" i="44"/>
  <c r="AT469" i="43"/>
  <c r="AD142" i="44"/>
  <c r="BA136" i="44"/>
  <c r="AC478" i="43"/>
  <c r="V35" i="47" s="1"/>
  <c r="AV478" i="43"/>
  <c r="AO35" i="47" s="1"/>
  <c r="AE479" i="43"/>
  <c r="X36" i="47" s="1"/>
  <c r="AW469" i="43"/>
  <c r="AC471" i="43"/>
  <c r="V28" i="47" s="1"/>
  <c r="BA473" i="43"/>
  <c r="AT30" i="47" s="1"/>
  <c r="BA479" i="43"/>
  <c r="AT36" i="47" s="1"/>
  <c r="AU314" i="43"/>
  <c r="AU316" i="43" s="1"/>
  <c r="AC472" i="43"/>
  <c r="V29" i="47" s="1"/>
  <c r="AU71" i="44"/>
  <c r="AU77" i="44" s="1"/>
  <c r="X131" i="44"/>
  <c r="BB131" i="44"/>
  <c r="AX137" i="44"/>
  <c r="AX143" i="44"/>
  <c r="I469" i="43"/>
  <c r="AW134" i="44"/>
  <c r="AY142" i="44"/>
  <c r="AE142" i="44"/>
  <c r="AX136" i="44"/>
  <c r="BB469" i="43"/>
  <c r="AC479" i="43"/>
  <c r="V36" i="47" s="1"/>
  <c r="AE476" i="43"/>
  <c r="X33" i="47" s="1"/>
  <c r="BA478" i="43"/>
  <c r="AT35" i="47" s="1"/>
  <c r="AD471" i="43"/>
  <c r="W28" i="47" s="1"/>
  <c r="AV472" i="43"/>
  <c r="AO29" i="47" s="1"/>
  <c r="BA470" i="43"/>
  <c r="AT27" i="47" s="1"/>
  <c r="AU95" i="43"/>
  <c r="AU98" i="43" s="1"/>
  <c r="AU297" i="43"/>
  <c r="AU298" i="43" s="1"/>
  <c r="AU411" i="43"/>
  <c r="AU416" i="43" s="1"/>
  <c r="AU56" i="43"/>
  <c r="AU59" i="43" s="1"/>
  <c r="AU207" i="43"/>
  <c r="AU213" i="43" s="1"/>
  <c r="AU445" i="43"/>
  <c r="AU451" i="43" s="1"/>
  <c r="AU220" i="43"/>
  <c r="AU225" i="43" s="1"/>
  <c r="AU438" i="43"/>
  <c r="AU444" i="43" s="1"/>
  <c r="AU214" i="43"/>
  <c r="AU219" i="43" s="1"/>
  <c r="AU152" i="43"/>
  <c r="AU157" i="43" s="1"/>
  <c r="AU306" i="43"/>
  <c r="AU312" i="43" s="1"/>
  <c r="AU376" i="43"/>
  <c r="AU382" i="43" s="1"/>
  <c r="AU99" i="43"/>
  <c r="AU102" i="43" s="1"/>
  <c r="AU36" i="43"/>
  <c r="AU39" i="43" s="1"/>
  <c r="AC132" i="44" l="1"/>
  <c r="AC467" i="43"/>
  <c r="BA468" i="43"/>
  <c r="BA133" i="44"/>
  <c r="AI137" i="44"/>
  <c r="BA132" i="44"/>
  <c r="BA467" i="43"/>
  <c r="AY132" i="43"/>
  <c r="AX479" i="43"/>
  <c r="AQ36" i="47" s="1"/>
  <c r="AX473" i="43"/>
  <c r="AQ30" i="47" s="1"/>
  <c r="AU18" i="43"/>
  <c r="AU299" i="43"/>
  <c r="AU305" i="43" s="1"/>
  <c r="AU130" i="43"/>
  <c r="AU477" i="43" s="1"/>
  <c r="AN34" i="47" s="1"/>
  <c r="AU462" i="43"/>
  <c r="AU465" i="43" s="1"/>
  <c r="AU47" i="43"/>
  <c r="AU49" i="43" s="1"/>
  <c r="AU358" i="43"/>
  <c r="AU362" i="43" s="1"/>
  <c r="AU71" i="43"/>
  <c r="AU75" i="43" s="1"/>
  <c r="AU64" i="43"/>
  <c r="AU67" i="43" s="1"/>
  <c r="AU333" i="43"/>
  <c r="AU335" i="43" s="1"/>
  <c r="AU226" i="43"/>
  <c r="AU231" i="43" s="1"/>
  <c r="AU19" i="43"/>
  <c r="AU22" i="43" s="1"/>
  <c r="AU370" i="43"/>
  <c r="AU373" i="43" s="1"/>
  <c r="AU28" i="43"/>
  <c r="AU31" i="43" s="1"/>
  <c r="AU40" i="43"/>
  <c r="AU42" i="43" s="1"/>
  <c r="AU181" i="43"/>
  <c r="AU187" i="43" s="1"/>
  <c r="AU117" i="43"/>
  <c r="AU120" i="43" s="1"/>
  <c r="AU238" i="43"/>
  <c r="AU243" i="43" s="1"/>
  <c r="AU351" i="43"/>
  <c r="AU357" i="43" s="1"/>
  <c r="AU114" i="43"/>
  <c r="AU116" i="43" s="1"/>
  <c r="AU53" i="43"/>
  <c r="AU55" i="43" s="1"/>
  <c r="AU374" i="43"/>
  <c r="AU375" i="43" s="1"/>
  <c r="AU19" i="44"/>
  <c r="AU28" i="44"/>
  <c r="AY138" i="44"/>
  <c r="AX131" i="44"/>
  <c r="AI142" i="44"/>
  <c r="AY137" i="44"/>
  <c r="AU30" i="44"/>
  <c r="AU35" i="44" s="1"/>
  <c r="AU12" i="44"/>
  <c r="AU13" i="44" s="1"/>
  <c r="AI138" i="44"/>
  <c r="AV134" i="44"/>
  <c r="AU114" i="44"/>
  <c r="AU115" i="44" s="1"/>
  <c r="AU106" i="44"/>
  <c r="AU107" i="44" s="1"/>
  <c r="AY141" i="44"/>
  <c r="AY144" i="44"/>
  <c r="AX144" i="44"/>
  <c r="AI143" i="44"/>
  <c r="AC131" i="44"/>
  <c r="AX141" i="44"/>
  <c r="AC134" i="44"/>
  <c r="AV466" i="43"/>
  <c r="AO13" i="47" s="1"/>
  <c r="AO23" i="47" s="1"/>
  <c r="AI477" i="43"/>
  <c r="AB34" i="47" s="1"/>
  <c r="AI479" i="43"/>
  <c r="AB36" i="47" s="1"/>
  <c r="AU12" i="43"/>
  <c r="AU13" i="43" s="1"/>
  <c r="AI472" i="43"/>
  <c r="AB29" i="47" s="1"/>
  <c r="AI473" i="43"/>
  <c r="AB30" i="47" s="1"/>
  <c r="AV131" i="44"/>
  <c r="AI136" i="44"/>
  <c r="AU136" i="44"/>
  <c r="AI478" i="43"/>
  <c r="AB35" i="47" s="1"/>
  <c r="AC466" i="43"/>
  <c r="V13" i="47" s="1"/>
  <c r="V23" i="47" s="1"/>
  <c r="BA131" i="44"/>
  <c r="AI135" i="44"/>
  <c r="AE134" i="44"/>
  <c r="AI470" i="43"/>
  <c r="AB27" i="47" s="1"/>
  <c r="AE466" i="43"/>
  <c r="X13" i="47" s="1"/>
  <c r="X23" i="47" s="1"/>
  <c r="AY476" i="43"/>
  <c r="AR33" i="47" s="1"/>
  <c r="AD466" i="43"/>
  <c r="W13" i="47" s="1"/>
  <c r="W23" i="47" s="1"/>
  <c r="AE131" i="44"/>
  <c r="BA466" i="43"/>
  <c r="AT13" i="47" s="1"/>
  <c r="AT23" i="47" s="1"/>
  <c r="AI471" i="43"/>
  <c r="AB28" i="47" s="1"/>
  <c r="AY136" i="44"/>
  <c r="AE469" i="43"/>
  <c r="AD469" i="43"/>
  <c r="AC469" i="43"/>
  <c r="AX478" i="43"/>
  <c r="AQ35" i="47" s="1"/>
  <c r="AU137" i="44"/>
  <c r="BA134" i="44"/>
  <c r="AI476" i="43"/>
  <c r="AB33" i="47" s="1"/>
  <c r="AV469" i="43"/>
  <c r="AY472" i="43"/>
  <c r="AR29" i="47" s="1"/>
  <c r="AD134" i="44"/>
  <c r="AX472" i="43"/>
  <c r="AQ29" i="47" s="1"/>
  <c r="AY470" i="43"/>
  <c r="AR27" i="47" s="1"/>
  <c r="AX470" i="43"/>
  <c r="AQ27" i="47" s="1"/>
  <c r="AX135" i="44"/>
  <c r="AD131" i="44"/>
  <c r="BA469" i="43"/>
  <c r="AY479" i="43"/>
  <c r="AR36" i="47" s="1"/>
  <c r="AX471" i="43"/>
  <c r="AQ28" i="47" s="1"/>
  <c r="AU473" i="43"/>
  <c r="AN30" i="47" s="1"/>
  <c r="AY135" i="44"/>
  <c r="AY478" i="43"/>
  <c r="AR35" i="47" s="1"/>
  <c r="AY471" i="43"/>
  <c r="AR28" i="47" s="1"/>
  <c r="AI132" i="44" l="1"/>
  <c r="AI467" i="43"/>
  <c r="AI468" i="43"/>
  <c r="AI133" i="44"/>
  <c r="AU144" i="44"/>
  <c r="AU141" i="44"/>
  <c r="AU138" i="44"/>
  <c r="AY131" i="44"/>
  <c r="AU132" i="43"/>
  <c r="AU466" i="43" s="1"/>
  <c r="AN13" i="47" s="1"/>
  <c r="AN23" i="47" s="1"/>
  <c r="AX134" i="44"/>
  <c r="AU143" i="44"/>
  <c r="AI131" i="44"/>
  <c r="AU479" i="43"/>
  <c r="AN36" i="47" s="1"/>
  <c r="AU476" i="43"/>
  <c r="AN33" i="47" s="1"/>
  <c r="AI134" i="44"/>
  <c r="AU472" i="43"/>
  <c r="AN29" i="47" s="1"/>
  <c r="AY466" i="43"/>
  <c r="AR13" i="47" s="1"/>
  <c r="AR23" i="47" s="1"/>
  <c r="AU135" i="44"/>
  <c r="AU131" i="44"/>
  <c r="AI466" i="43"/>
  <c r="AB13" i="47" s="1"/>
  <c r="AB23" i="47" s="1"/>
  <c r="AY134" i="44"/>
  <c r="AX466" i="43"/>
  <c r="AQ13" i="47" s="1"/>
  <c r="AQ23" i="47" s="1"/>
  <c r="AI469" i="43"/>
  <c r="AX469" i="43"/>
  <c r="AU470" i="43"/>
  <c r="AN27" i="47" s="1"/>
  <c r="AU471" i="43"/>
  <c r="AN28" i="47" s="1"/>
  <c r="AU478" i="43"/>
  <c r="AN35" i="47" s="1"/>
  <c r="AY469" i="43"/>
  <c r="AU133" i="44" l="1"/>
  <c r="AU468" i="43"/>
  <c r="AU467" i="43"/>
  <c r="AU132" i="44"/>
  <c r="AU134" i="44"/>
  <c r="AU469" i="43"/>
  <c r="L26" i="47"/>
  <c r="E26" i="47"/>
  <c r="AT26" i="47" l="1"/>
  <c r="AC26" i="47" l="1"/>
  <c r="B23" i="47" l="1"/>
  <c r="H24" i="47" l="1"/>
  <c r="B24" i="47"/>
  <c r="F26" i="47"/>
  <c r="AL26" i="47" l="1"/>
  <c r="G26" i="47" l="1"/>
  <c r="AM24" i="47"/>
  <c r="P26" i="47"/>
  <c r="C26" i="47"/>
  <c r="AA26" i="47"/>
  <c r="AK26" i="47"/>
  <c r="AM25" i="47" s="1"/>
  <c r="T26" i="47"/>
  <c r="H26" i="47"/>
  <c r="B26" i="47"/>
  <c r="AI26" i="47"/>
  <c r="AJ26" i="47"/>
  <c r="I26" i="47"/>
  <c r="O26" i="47"/>
  <c r="AM26" i="47"/>
  <c r="B25" i="47" l="1"/>
  <c r="AL24" i="47"/>
  <c r="S26" i="47"/>
  <c r="AD26" i="47"/>
  <c r="AL25" i="47" s="1"/>
  <c r="Y26" i="47" l="1"/>
  <c r="Z26" i="47"/>
  <c r="AS26" i="47"/>
  <c r="AA25" i="47" l="1"/>
  <c r="AA24" i="47"/>
  <c r="AK24" i="47"/>
  <c r="AV26" i="47"/>
  <c r="AU26" i="47"/>
  <c r="AE26" i="47"/>
  <c r="AK25" i="47" s="1"/>
  <c r="AT24" i="47" l="1"/>
  <c r="AT25" i="47"/>
  <c r="J26" i="47" l="1"/>
  <c r="H25" i="47" s="1"/>
  <c r="K26" i="47" l="1"/>
  <c r="Q25" i="47" s="1"/>
  <c r="R26" i="47" l="1"/>
  <c r="U25" i="47" s="1"/>
  <c r="Q24" i="47" l="1"/>
  <c r="R24" i="47"/>
  <c r="K24" i="47"/>
  <c r="U24" i="47"/>
  <c r="AO26" i="47"/>
  <c r="U26" i="47"/>
  <c r="V24" i="47"/>
  <c r="AP26" i="47"/>
  <c r="Q26" i="47"/>
  <c r="V25" i="47" l="1"/>
  <c r="X26" i="47"/>
  <c r="V26" i="47"/>
  <c r="AB24" i="47" l="1"/>
  <c r="AN24" i="47"/>
  <c r="W26" i="47"/>
  <c r="AB25" i="47" s="1"/>
  <c r="AR26" i="47"/>
  <c r="AB26" i="47"/>
  <c r="AQ26" i="47" l="1"/>
  <c r="AN25" i="47" s="1"/>
  <c r="AN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G28" authorId="0" shapeId="0" xr:uid="{DDD9BF93-76D4-4B14-A2F7-6F8ED7C918E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32" authorId="0" shapeId="0" xr:uid="{0488B131-78F2-48B5-B0C2-6ED72C5B217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50" authorId="0" shapeId="0" xr:uid="{352D3564-D9FA-406A-B603-9731F4F8F12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53" authorId="0" shapeId="0" xr:uid="{F3C0475B-0EFC-4F5C-ADF6-483F2318BB0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56" authorId="0" shapeId="0" xr:uid="{D433E03D-B43F-4D7E-8829-430133852DD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64" authorId="0" shapeId="0" xr:uid="{723322D1-46FA-4F4A-B7D8-B76AE8191CA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Převody do ONIV na náhrady za PN</t>
        </r>
      </text>
    </comment>
    <comment ref="AG68" authorId="0" shapeId="0" xr:uid="{F20541AA-E85F-4D8C-A66C-93DC014BC28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99" authorId="0" shapeId="0" xr:uid="{AC492178-EBD0-4CB1-8337-2E556FF1590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117" authorId="0" shapeId="0" xr:uid="{F430A278-13F9-429F-95D5-ABFC077CC9F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Převody do ONIV na náhrady za PN</t>
        </r>
      </text>
    </comment>
    <comment ref="AG121" authorId="0" shapeId="0" xr:uid="{A0AF837E-1B0D-40D9-944C-53776082F57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Převody do ONIV na náhrady za PN</t>
        </r>
      </text>
    </comment>
    <comment ref="AG250" authorId="0" shapeId="0" xr:uid="{63840DBB-0259-4BE1-BE3C-288D9868BA8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278" authorId="0" shapeId="0" xr:uid="{F9110E94-7333-4594-9810-8EC8D0C8538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389" authorId="0" shapeId="0" xr:uid="{2A0ABD84-95A9-4E20-8154-34F395575C5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418" authorId="0" shapeId="0" xr:uid="{C1343DCB-3460-4D56-A0B3-EC50A754BC7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  <comment ref="AG462" authorId="0" shapeId="0" xr:uid="{3A700F27-7923-4CA2-A5D0-7CA04F19D55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PN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81" authorId="0" shapeId="0" xr:uid="{0DBD7C7F-9364-4DD9-A138-2A9C6CCA3B0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 skupiny/96 hodin</t>
        </r>
      </text>
    </comment>
    <comment ref="U111" authorId="0" shapeId="0" xr:uid="{8B0827EA-FAF2-4076-88A7-7A9385117CC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 skupina/40 hodin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4" authorId="0" shapeId="0" xr:uid="{8EA8121D-A22F-4AF5-B8EB-8E78315EFF5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stornovaná žádost z 9/23</t>
        </r>
      </text>
    </comment>
    <comment ref="U39" authorId="0" shapeId="0" xr:uid="{1535011F-C0C1-4B8B-8B96-FBA63BAF315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 skupiny/44 hodin</t>
        </r>
      </text>
    </comment>
    <comment ref="U87" authorId="0" shapeId="0" xr:uid="{F619504B-1C71-4667-BCAA-F4FF75DD20C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 skupina/84 hodin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53" authorId="0" shapeId="0" xr:uid="{8960258E-087E-48B5-B31E-0A2B5D32093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opravená žádost, 3 skupiny/154 hodin</t>
        </r>
      </text>
    </comment>
    <comment ref="U73" authorId="0" shapeId="0" xr:uid="{630C6F1B-0895-4A06-B64C-773DB9EFB7E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 skupina/32 hodin</t>
        </r>
      </text>
    </comment>
    <comment ref="U139" authorId="0" shapeId="0" xr:uid="{4922033F-623D-408F-8AB7-BF00884D1D3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nevyčerpané prostředky za období 1-6/2023</t>
        </r>
      </text>
    </comment>
    <comment ref="U237" authorId="0" shapeId="0" xr:uid="{B8B52F0A-1694-4DAD-A4DF-B990A3EE309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 skupina/77 hodin</t>
        </r>
      </text>
    </comment>
    <comment ref="U258" authorId="0" shapeId="0" xr:uid="{09C501A3-AFF2-4B45-9311-8B5770E66DA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oprava původní žádosti</t>
        </r>
      </text>
    </comment>
  </commentList>
</comments>
</file>

<file path=xl/sharedStrings.xml><?xml version="1.0" encoding="utf-8"?>
<sst xmlns="http://schemas.openxmlformats.org/spreadsheetml/2006/main" count="6163" uniqueCount="876">
  <si>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</si>
  <si>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</si>
  <si>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</si>
  <si>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</si>
  <si>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</si>
  <si>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</si>
  <si>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</si>
  <si>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</si>
  <si>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</si>
  <si>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</si>
  <si>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</si>
  <si>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</si>
  <si>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</si>
  <si>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</si>
  <si>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</si>
  <si>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</si>
  <si>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</si>
  <si>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</si>
  <si>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</si>
  <si>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</si>
  <si>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</si>
  <si>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</si>
  <si>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</si>
  <si>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</si>
  <si>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</si>
  <si>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</si>
  <si>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</si>
  <si>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</si>
  <si>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</si>
  <si>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</si>
  <si>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</si>
  <si>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</si>
  <si>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</si>
  <si>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</si>
  <si>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</si>
  <si>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</si>
  <si>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</si>
  <si>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</si>
  <si>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</si>
  <si>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</si>
  <si>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</si>
  <si>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</si>
  <si>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</si>
  <si>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</si>
  <si>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</si>
  <si>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</si>
  <si>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</si>
  <si>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</si>
  <si>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</si>
  <si>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</si>
  <si>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</si>
  <si>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</si>
  <si>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</si>
  <si>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</si>
  <si>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</si>
  <si>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</si>
  <si>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</si>
  <si>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</si>
  <si>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</si>
  <si>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</si>
  <si>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</si>
  <si>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</si>
  <si>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</si>
  <si>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</si>
  <si>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</si>
  <si>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</si>
  <si>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</si>
  <si>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</si>
  <si>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</si>
  <si>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</si>
  <si>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</si>
  <si>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</si>
  <si>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</si>
  <si>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</si>
  <si>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</si>
  <si>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</si>
  <si>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</si>
  <si>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</si>
  <si>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</si>
  <si>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</si>
  <si>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</si>
  <si>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</si>
  <si>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</si>
  <si>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</si>
  <si>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</si>
  <si>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</si>
  <si>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</si>
  <si>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</si>
  <si>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</si>
  <si>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</si>
  <si>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</si>
  <si>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</si>
  <si>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</si>
  <si>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</si>
  <si>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</si>
  <si>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</si>
  <si>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</si>
  <si>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</si>
  <si>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</si>
  <si>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</si>
  <si>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</si>
  <si>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</si>
  <si>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</si>
  <si>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</si>
  <si>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</si>
  <si>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</si>
  <si>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</si>
  <si>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</si>
  <si>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</si>
  <si>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</si>
  <si>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</si>
  <si>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</si>
  <si>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</si>
  <si>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</si>
  <si>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</si>
  <si>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</si>
  <si>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</si>
  <si>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</si>
  <si>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</si>
  <si>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</si>
  <si>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</si>
  <si>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</si>
  <si>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</si>
  <si>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</si>
  <si>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</si>
  <si>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</si>
  <si>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</si>
  <si>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</si>
  <si>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</si>
  <si>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</si>
  <si>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</si>
  <si>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</si>
  <si>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</si>
  <si>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</si>
  <si>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</si>
  <si>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</si>
  <si>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</si>
  <si>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</si>
  <si>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</si>
  <si>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</si>
  <si>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</si>
  <si>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</si>
  <si>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</si>
  <si>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</si>
  <si>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</si>
  <si>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</si>
  <si>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</si>
  <si>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</si>
  <si>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</si>
  <si>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</si>
  <si>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</si>
  <si>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</si>
  <si>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</si>
  <si>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</si>
  <si>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</si>
  <si>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</si>
  <si>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</si>
  <si>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</si>
  <si>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</si>
  <si>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</si>
  <si>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</si>
  <si>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</si>
  <si>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</si>
  <si>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</si>
  <si>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</si>
  <si>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</si>
  <si>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</si>
  <si>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</si>
  <si>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</si>
  <si>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</si>
  <si>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</si>
  <si>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</si>
  <si>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</si>
  <si>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</si>
  <si>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</si>
  <si>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</si>
  <si>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</si>
  <si>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</si>
  <si>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</si>
  <si>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</si>
  <si>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</si>
  <si>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</si>
  <si>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</si>
  <si>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</si>
  <si>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</si>
  <si>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</si>
  <si>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</si>
  <si>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</si>
  <si>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</si>
  <si>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</si>
  <si>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</si>
  <si>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</si>
  <si>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</si>
  <si>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</si>
  <si>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</si>
  <si>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</si>
  <si>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</si>
  <si>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</si>
  <si>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</si>
  <si>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</si>
  <si>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</si>
  <si>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</si>
  <si>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</si>
  <si>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</si>
  <si>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</si>
  <si>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</si>
  <si>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</si>
  <si>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</si>
  <si>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</si>
  <si>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</si>
  <si>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</si>
  <si>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</si>
  <si>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</si>
  <si>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</si>
  <si>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</si>
  <si>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</si>
  <si>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</si>
  <si>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</si>
  <si>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</si>
  <si>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</si>
  <si>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</si>
  <si>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</si>
  <si>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</si>
  <si>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</si>
  <si>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</si>
  <si>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</si>
  <si>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</si>
  <si>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</si>
  <si>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</si>
  <si>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</si>
  <si>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</si>
  <si>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</si>
  <si>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</si>
  <si>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</si>
  <si>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</si>
  <si>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</si>
  <si>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</si>
  <si>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</si>
  <si>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</si>
  <si>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</si>
  <si>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</si>
  <si>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</si>
  <si>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</si>
  <si>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</si>
  <si>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</si>
  <si>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</si>
  <si>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</si>
  <si>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</si>
  <si>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</si>
  <si>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</si>
  <si>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</si>
  <si>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</si>
  <si>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</si>
  <si>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</si>
  <si>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</si>
  <si>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</si>
  <si>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</si>
  <si>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</si>
  <si>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</si>
  <si>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</si>
  <si>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</si>
  <si>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</si>
  <si>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</si>
  <si>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</si>
  <si>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</si>
  <si>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</si>
  <si>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</si>
  <si>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</si>
  <si>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</si>
  <si>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</si>
  <si>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</si>
  <si>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</si>
  <si>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</si>
  <si>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</si>
  <si>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</si>
  <si>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</si>
  <si>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</si>
  <si>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</si>
  <si>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</si>
  <si>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</si>
  <si>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</si>
  <si>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</si>
  <si>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</si>
  <si>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</si>
  <si>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</si>
  <si>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</si>
  <si>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</si>
  <si>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</si>
  <si>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</si>
  <si>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</si>
  <si>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</si>
  <si>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</si>
  <si>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</si>
  <si>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</si>
  <si>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</si>
  <si>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</si>
  <si>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</si>
  <si>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</si>
  <si>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</si>
  <si>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</si>
  <si>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</si>
  <si>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</si>
  <si>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</si>
  <si>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</si>
  <si>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</si>
  <si>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</si>
  <si>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</si>
  <si>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</si>
  <si>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</si>
  <si>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</si>
  <si>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</si>
  <si>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</si>
  <si>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</si>
  <si>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</si>
  <si>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</si>
  <si>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</si>
  <si>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</si>
  <si>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</si>
  <si>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</si>
  <si>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</si>
  <si>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</si>
  <si>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</si>
  <si>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</si>
  <si>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</si>
  <si>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</si>
  <si>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</si>
  <si>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</si>
  <si>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</si>
  <si>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</si>
  <si>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</si>
  <si>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</si>
  <si>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</si>
  <si>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</si>
  <si>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</si>
  <si>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</si>
  <si>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</si>
  <si>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</si>
  <si>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</si>
  <si>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</si>
  <si>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</si>
  <si>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</si>
  <si>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</si>
  <si>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</si>
  <si>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</si>
  <si>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</si>
  <si>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</si>
  <si>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</si>
  <si>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</si>
  <si>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</si>
  <si>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</si>
  <si>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</si>
  <si>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</si>
  <si>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</si>
  <si>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</si>
  <si>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</si>
  <si>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</si>
  <si>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</si>
  <si>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</si>
  <si>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</si>
  <si>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</si>
  <si>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</si>
  <si>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</si>
  <si>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</si>
  <si>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</si>
  <si>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</si>
  <si>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</si>
  <si>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</si>
  <si>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</si>
  <si>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</si>
  <si>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</si>
  <si>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</si>
  <si>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</si>
  <si>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</si>
  <si>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</si>
  <si>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</si>
  <si>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</si>
  <si>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</si>
  <si>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</si>
  <si>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</si>
  <si>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</si>
  <si>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</si>
  <si>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</si>
  <si>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</si>
  <si>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</si>
  <si>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</si>
  <si>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</si>
  <si>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</si>
  <si>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</si>
  <si>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</si>
  <si>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</si>
  <si>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</si>
  <si>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</si>
  <si>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</si>
  <si>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</si>
  <si>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</si>
  <si>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</si>
  <si>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</si>
  <si>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</si>
  <si>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</si>
  <si>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</si>
  <si>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</si>
  <si>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</si>
  <si>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</si>
  <si>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</si>
  <si>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</si>
  <si>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</si>
  <si>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</si>
  <si>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</si>
  <si>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</si>
  <si>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</si>
  <si>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</si>
  <si>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</si>
  <si>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</si>
  <si>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</si>
  <si>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</si>
  <si>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</si>
  <si>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</si>
  <si>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</si>
  <si>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</si>
  <si>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</si>
  <si>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</si>
  <si>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</si>
  <si>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</si>
  <si>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</si>
  <si>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</si>
  <si>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</si>
  <si>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</si>
  <si>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</si>
  <si>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</si>
  <si>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</si>
  <si>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</si>
  <si>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</si>
  <si>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</si>
  <si>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</si>
  <si>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</si>
  <si>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</si>
  <si>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</si>
  <si>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</si>
  <si>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</si>
  <si>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</si>
  <si>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</si>
  <si>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</si>
  <si>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</si>
  <si>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</si>
  <si>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</si>
  <si>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</si>
  <si>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</si>
  <si>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</si>
  <si>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</si>
  <si>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</si>
  <si>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</si>
  <si>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</si>
  <si>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</si>
  <si>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</si>
  <si>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</si>
  <si>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</si>
  <si>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</si>
  <si>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</si>
  <si>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</si>
  <si>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</si>
  <si>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</si>
  <si>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</si>
  <si>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</si>
  <si>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</si>
  <si>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</si>
  <si>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</si>
  <si>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</si>
  <si>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</si>
  <si>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</si>
  <si>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</si>
  <si>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</si>
  <si>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</si>
  <si>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</si>
  <si>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</si>
  <si>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</si>
  <si>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</si>
  <si>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</si>
  <si>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</si>
  <si>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</si>
  <si>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</si>
  <si>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</si>
  <si>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</si>
  <si>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</si>
  <si>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</si>
  <si>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</si>
  <si>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</si>
  <si>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</si>
  <si>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</si>
  <si>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</si>
  <si>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</si>
  <si>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</si>
  <si>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</si>
  <si>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</si>
  <si>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</si>
  <si>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</si>
  <si>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</si>
  <si>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</si>
  <si>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</si>
  <si>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</si>
  <si>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</si>
  <si>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</si>
  <si>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</si>
  <si>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</si>
  <si>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</si>
  <si>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</si>
  <si>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</si>
  <si>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</si>
  <si>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</si>
  <si>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</si>
  <si>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</si>
  <si>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</si>
  <si>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</si>
  <si>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</si>
  <si>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</si>
  <si>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</si>
  <si>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</si>
  <si>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</si>
  <si>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</si>
  <si>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</si>
  <si>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</si>
  <si>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</si>
  <si>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</si>
  <si>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</si>
  <si>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</si>
  <si>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</si>
  <si>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</si>
  <si>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</si>
  <si>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</si>
  <si>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</si>
  <si>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</si>
  <si>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</si>
  <si>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</si>
  <si>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</si>
  <si>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</si>
  <si>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</si>
  <si>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</si>
  <si>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</si>
  <si>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</si>
  <si>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</si>
  <si>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</si>
  <si>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</si>
  <si>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</si>
  <si>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</si>
  <si>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</si>
  <si>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</si>
  <si>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</si>
  <si>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</si>
  <si>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</si>
  <si>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</si>
  <si>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</si>
  <si>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</si>
  <si>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</si>
  <si>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</si>
  <si>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</si>
  <si>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</si>
  <si>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</si>
  <si>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</si>
  <si>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</si>
  <si>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</si>
  <si>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</si>
  <si>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</si>
  <si>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</si>
  <si>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</si>
  <si>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</si>
  <si>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</si>
  <si>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</si>
  <si>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</si>
  <si>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</si>
  <si>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</si>
  <si>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</si>
  <si>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</si>
  <si>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</si>
  <si>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</si>
  <si>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</si>
  <si>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</si>
  <si>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</si>
  <si>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</si>
  <si>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</si>
  <si>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</si>
  <si>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</si>
  <si>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</si>
  <si>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</si>
  <si>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</si>
  <si>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</si>
  <si>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</si>
  <si>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</si>
  <si>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</si>
  <si>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</si>
  <si>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</si>
  <si>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</si>
  <si>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</si>
  <si>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</si>
  <si>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</si>
  <si>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</si>
  <si>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</si>
  <si>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</si>
  <si>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</si>
  <si>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</si>
  <si>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</si>
  <si>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</si>
  <si>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</si>
  <si>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</si>
  <si>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</si>
  <si>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</si>
  <si>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</si>
  <si>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</si>
  <si>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</si>
  <si>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</si>
  <si>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</si>
  <si>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</si>
  <si>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</si>
  <si>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</si>
  <si>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</si>
  <si>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</si>
  <si>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</si>
  <si>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</si>
  <si>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</si>
  <si>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</si>
  <si>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</si>
  <si>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</si>
  <si>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</si>
  <si>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</si>
  <si>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</si>
  <si>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</si>
  <si>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</si>
  <si>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</si>
  <si>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</si>
  <si>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</si>
  <si>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</si>
  <si>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</si>
  <si>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</si>
  <si>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</si>
  <si>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</si>
  <si>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</si>
  <si>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</si>
  <si>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</si>
  <si>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</si>
  <si>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</si>
  <si>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</si>
  <si>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</si>
  <si>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</si>
  <si>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</si>
  <si>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</si>
  <si>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</si>
  <si>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</si>
  <si>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</si>
  <si>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</si>
  <si>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</si>
  <si>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</si>
  <si>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</si>
  <si>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</si>
  <si>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</si>
  <si>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</si>
  <si>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</si>
  <si>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</si>
  <si>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</si>
  <si>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</si>
  <si>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</si>
  <si>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</si>
  <si>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</si>
  <si>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</si>
  <si>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</si>
  <si>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</si>
  <si>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</si>
  <si>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</si>
  <si>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</si>
  <si>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</si>
  <si>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</si>
  <si>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</si>
  <si>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</si>
  <si>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</si>
  <si>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</si>
  <si>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</si>
  <si>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</si>
  <si>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</si>
  <si>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</si>
  <si>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</si>
  <si>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</si>
  <si>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</si>
  <si>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</si>
  <si>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</si>
  <si>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</si>
  <si>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</si>
  <si>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</si>
  <si>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</si>
  <si>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</si>
  <si>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</si>
  <si>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</si>
  <si>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</si>
  <si>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</si>
  <si>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</si>
  <si>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</si>
  <si>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</si>
  <si>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</si>
  <si>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</si>
  <si>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</si>
  <si>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</si>
  <si>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</si>
  <si>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</si>
  <si>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</si>
  <si>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</si>
  <si>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</si>
  <si>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</si>
  <si>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</si>
  <si>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</si>
  <si>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</si>
  <si>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</si>
  <si>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</si>
  <si>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</si>
  <si>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</si>
  <si>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</si>
  <si>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</si>
  <si>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</si>
  <si>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</si>
  <si>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</si>
  <si>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</si>
  <si>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</si>
  <si>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</si>
  <si>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</si>
  <si>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</si>
  <si>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</si>
  <si>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</si>
  <si>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</si>
  <si>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</si>
  <si>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</si>
  <si>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</si>
  <si>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</si>
  <si>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</si>
  <si>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</si>
  <si>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</si>
  <si>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</si>
  <si>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</si>
  <si>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</si>
  <si>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</si>
  <si>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</si>
  <si>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</si>
  <si>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</si>
  <si>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</si>
  <si>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</si>
  <si>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</si>
  <si>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</si>
  <si>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</si>
  <si>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</si>
  <si>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</si>
  <si>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</si>
  <si>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</si>
  <si>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</si>
  <si>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</si>
  <si>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</si>
  <si>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</si>
  <si>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</si>
  <si>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</si>
  <si>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</si>
  <si>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</si>
  <si>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</si>
  <si>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</si>
  <si>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</si>
  <si>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</si>
  <si>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</si>
  <si>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</si>
  <si>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</si>
  <si>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</si>
  <si>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</si>
  <si>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</si>
  <si>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</si>
  <si>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</si>
  <si>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</si>
  <si>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</si>
  <si>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</si>
  <si>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</si>
  <si>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</si>
  <si>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</si>
  <si>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</si>
  <si>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</si>
  <si>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</si>
  <si>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</si>
  <si>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</si>
  <si>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</si>
  <si>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</si>
  <si>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</si>
  <si>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</si>
  <si>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</si>
  <si>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</si>
  <si>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</si>
  <si>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</si>
  <si>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</si>
  <si>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</si>
  <si>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</si>
  <si>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</si>
  <si>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</si>
  <si>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</si>
  <si>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</si>
  <si>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</si>
  <si>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</si>
  <si>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</si>
  <si>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</si>
  <si>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</si>
  <si>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</si>
  <si>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</si>
  <si>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</si>
  <si>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</si>
  <si>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</si>
  <si>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</si>
  <si>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</si>
  <si>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</si>
  <si>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</si>
  <si>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</si>
  <si>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</si>
  <si>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</si>
  <si>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</si>
  <si>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</si>
  <si>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</si>
  <si>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</si>
  <si>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</si>
  <si>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</si>
  <si>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</si>
  <si>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</si>
  <si>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</si>
  <si>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</si>
  <si>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</si>
  <si>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</si>
  <si>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</si>
  <si>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</si>
  <si>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</si>
  <si>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</si>
  <si>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</si>
  <si>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</si>
  <si>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</si>
  <si>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</si>
  <si>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</si>
  <si>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Úprava</t>
  </si>
  <si>
    <t>předkládáme Vám úpravu rozpočtu přímých NIV, která obsahuje:</t>
  </si>
  <si>
    <t>Převody do ONIV na náhrady za PN</t>
  </si>
  <si>
    <t>ZŠ a MŠ Holany 93</t>
  </si>
  <si>
    <t xml:space="preserve">Podpůrná opatření </t>
  </si>
  <si>
    <t>PHškoly</t>
  </si>
  <si>
    <t>výkonů</t>
  </si>
  <si>
    <t>Změna od 1.9.2023</t>
  </si>
  <si>
    <t xml:space="preserve">Změna PHškoly/   výkonů </t>
  </si>
  <si>
    <t>Jazyková příprava cizinců</t>
  </si>
  <si>
    <t>PLATY úprava celkem</t>
  </si>
  <si>
    <t>4)</t>
  </si>
  <si>
    <t xml:space="preserve">Upozornění: 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</si>
  <si>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</si>
  <si>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</si>
  <si>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</si>
  <si>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</si>
  <si>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>5)</t>
  </si>
  <si>
    <t>6)</t>
  </si>
  <si>
    <t>7)</t>
  </si>
  <si>
    <t>škola je povinna vrátit finanční prostředky za hodiny neodučené z organizačních důvodů, a to buď úpravou rozpočtu na základě hlášení školy</t>
  </si>
  <si>
    <t xml:space="preserve"> (do termínu poslední úpravy) nebo pak ve finančním vypořádání za rok 2023.</t>
  </si>
  <si>
    <t>případně korekce vykázaných PO;</t>
  </si>
  <si>
    <t>individuální úpravy (důvod změny uveden v komentáři v příslušné buňce);</t>
  </si>
  <si>
    <t xml:space="preserve">převody z platů do ONIV na náhrady za nemoc; </t>
  </si>
  <si>
    <t>Závazné ukazatele pro rok 2023 - přímé náklady k 18. 9. 2023</t>
  </si>
  <si>
    <t>Úprava rozpisu rozpočtu přímých NIV k 16. 10. 2023</t>
  </si>
  <si>
    <t>Závazné ukazatele pro rok 2023 - přímé náklady k 16. 10. 2023</t>
  </si>
  <si>
    <t>Komentář k úpravě rozpisu rozpočtu přímých NIV k 16. 10. 2023  (obecní školství)</t>
  </si>
  <si>
    <t>V Liberci dne 16. 10. 2023</t>
  </si>
  <si>
    <t>navýšení rozpočtu (+ přepočtené úvazky) na bezplatné jazykové vzdělávání cizinců na období od září do prosince 2023;</t>
  </si>
  <si>
    <t>úpravu platů a limitu nepedagogů ve školní jídelně v souvislosti se změnou výkonů (počtu strávníků-dětí, žáků,studentů) ve školních jídelnách,</t>
  </si>
  <si>
    <r>
      <t xml:space="preserve">úprava o prostředky na podpůrná opatření, a to na základě údajů vykázaných ve výkaze č. R 44–99 za sběr měsíc </t>
    </r>
    <r>
      <rPr>
        <b/>
        <sz val="10"/>
        <rFont val="Arial"/>
        <family val="2"/>
        <charset val="238"/>
      </rPr>
      <t>září 2023</t>
    </r>
    <r>
      <rPr>
        <sz val="10"/>
        <rFont val="Arial"/>
        <family val="2"/>
        <charset val="238"/>
      </rPr>
      <t xml:space="preserve">, </t>
    </r>
  </si>
  <si>
    <t xml:space="preserve">Školy měly za povinnost požádat o úpravu rozpočtu i v případě významnějších změn souvisejících se snížením počtu PPČ, </t>
  </si>
  <si>
    <t xml:space="preserve">Jak bylo avizováno v dopise "Pokyny pro úpravu přímých nákladů RgŠ v souvislosti s významnými změnami výkonů od 1. 9. 2023", KULK 59606/2023 </t>
  </si>
  <si>
    <t>ze dne 21. 8. 2023, bude OŠMTS prověřovat PHškoly podle výkazu P1c-01 k 30.9.2023. Pokud budou zjištěny rozdíly mezi PHškoly uvedeným v žádostech</t>
  </si>
  <si>
    <t xml:space="preserve"> a ve výkazu P1c-01, OŠMTS provede úpravu rozpočtu podle zjištěné výrazně odlišné skutečnosti.</t>
  </si>
  <si>
    <t>pokud tak neučinily a z výkazu bude zřejmé výrazné snížení PHškoly, provede OŠMTS úpravu (odečet o rozdíl) také.</t>
  </si>
  <si>
    <t>Jazyková příprava v základním vzdělávání není zahrnuta v RVP ZV, nezapočítávají se tedy hodiny PPČ k zajištění jazykové přípravy v základní vzdělávání</t>
  </si>
  <si>
    <t>do PHškoly a vykazují se ve výkazu P1c-01 obdobně jako nepovinné předměty (blíže viz Metod. pokyn k výkazu P1c-01 a jeho dodatky).</t>
  </si>
  <si>
    <t>úprava výkonů je přepočítána na 4 měsíce (1.9. - 31.12.2023);</t>
  </si>
  <si>
    <t>vyřízení požadavků na navýšení/snížení rozpočtu na základě žádosti o změnu PHškoly (úprava výkonů);</t>
  </si>
  <si>
    <t>převody z prostředků na platy do OON (dohody) a s tím spojenou úpravu limitu zaměstnanců, dodatečné požadavky po termínu sběru 12. 9. 2023;</t>
  </si>
  <si>
    <t>8)</t>
  </si>
  <si>
    <r>
      <t xml:space="preserve">Poslední termín pro požadavky na úpravu rozpočtu (převody do ONIV na náhrady za nemoc, převody z platů do OON, příp. jiné) je   </t>
    </r>
    <r>
      <rPr>
        <b/>
        <u/>
        <sz val="14"/>
        <rFont val="Arial"/>
        <family val="2"/>
        <charset val="238"/>
      </rPr>
      <t>do 10. listopadu 2023</t>
    </r>
    <r>
      <rPr>
        <sz val="10"/>
        <rFont val="Arial"/>
        <family val="2"/>
        <charset val="238"/>
      </rPr>
      <t>.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</si>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</sst>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b/>
      <sz val="12"/>
      <name val="Times New Roman"/>
      <family val="1"/>
      <charset val="238"/>
    </font>
    <font>
      <b/>
      <u/>
      <sz val="14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65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8" fillId="0" borderId="0" xfId="3" applyFont="1" applyAlignment="1">
      <alignment horizontal="left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8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8" xfId="5" applyNumberFormat="1" applyFont="1" applyFill="1" applyBorder="1"/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3" fontId="22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4" fontId="35" fillId="0" borderId="0" xfId="5" applyNumberFormat="1" applyFont="1" applyAlignment="1">
      <alignment horizontal="right"/>
    </xf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0" fontId="12" fillId="3" borderId="9" xfId="0" applyFont="1" applyFill="1" applyBorder="1"/>
    <xf numFmtId="0" fontId="12" fillId="4" borderId="20" xfId="0" applyFont="1" applyFill="1" applyBorder="1"/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0" fontId="6" fillId="0" borderId="50" xfId="5" applyFont="1" applyBorder="1" applyAlignment="1">
      <alignment horizontal="center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/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12" fillId="3" borderId="21" xfId="0" applyFont="1" applyFill="1" applyBorder="1"/>
    <xf numFmtId="0" fontId="12" fillId="3" borderId="30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/>
    <xf numFmtId="3" fontId="13" fillId="0" borderId="0" xfId="0" applyNumberFormat="1" applyFont="1"/>
    <xf numFmtId="1" fontId="0" fillId="0" borderId="0" xfId="0" applyNumberFormat="1"/>
    <xf numFmtId="1" fontId="7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12" fillId="3" borderId="21" xfId="5" applyNumberFormat="1" applyFont="1" applyFill="1" applyBorder="1"/>
    <xf numFmtId="4" fontId="12" fillId="3" borderId="21" xfId="5" applyNumberFormat="1" applyFont="1" applyFill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8" fillId="0" borderId="7" xfId="2" applyFont="1" applyBorder="1"/>
    <xf numFmtId="0" fontId="11" fillId="3" borderId="10" xfId="2" applyFont="1" applyFill="1" applyBorder="1"/>
    <xf numFmtId="0" fontId="8" fillId="0" borderId="10" xfId="2" applyFont="1" applyBorder="1"/>
    <xf numFmtId="0" fontId="11" fillId="3" borderId="27" xfId="2" applyFont="1" applyFill="1" applyBorder="1"/>
    <xf numFmtId="0" fontId="11" fillId="4" borderId="19" xfId="2" applyFont="1" applyFill="1" applyBorder="1"/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13" fillId="3" borderId="48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0" fontId="13" fillId="3" borderId="48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3" borderId="48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13" fillId="3" borderId="30" xfId="9" applyFont="1" applyFill="1" applyBorder="1"/>
    <xf numFmtId="0" fontId="13" fillId="3" borderId="4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0" fontId="12" fillId="7" borderId="20" xfId="9" applyFont="1" applyFill="1" applyBorder="1"/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4" fontId="11" fillId="4" borderId="61" xfId="2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3" fontId="38" fillId="7" borderId="18" xfId="5" applyNumberFormat="1" applyFont="1" applyFill="1" applyBorder="1"/>
    <xf numFmtId="4" fontId="38" fillId="7" borderId="18" xfId="5" applyNumberFormat="1" applyFont="1" applyFill="1" applyBorder="1"/>
    <xf numFmtId="4" fontId="11" fillId="3" borderId="9" xfId="2" applyNumberFormat="1" applyFont="1" applyFill="1" applyBorder="1"/>
    <xf numFmtId="4" fontId="11" fillId="3" borderId="13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1" fillId="4" borderId="12" xfId="2" applyNumberFormat="1" applyFont="1" applyFill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3" fontId="13" fillId="0" borderId="11" xfId="0" applyNumberFormat="1" applyFont="1" applyBorder="1" applyAlignment="1">
      <alignment horizontal="center" vertical="center" wrapText="1"/>
    </xf>
    <xf numFmtId="4" fontId="23" fillId="0" borderId="21" xfId="0" applyNumberFormat="1" applyFont="1" applyBorder="1" applyAlignment="1">
      <alignment horizontal="center" vertical="center" wrapText="1"/>
    </xf>
    <xf numFmtId="4" fontId="23" fillId="0" borderId="30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46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33" xfId="5" applyNumberFormat="1" applyFont="1" applyBorder="1"/>
    <xf numFmtId="3" fontId="35" fillId="0" borderId="34" xfId="5" applyNumberFormat="1" applyFont="1" applyBorder="1"/>
    <xf numFmtId="4" fontId="35" fillId="0" borderId="34" xfId="5" applyNumberFormat="1" applyFont="1" applyBorder="1"/>
    <xf numFmtId="4" fontId="26" fillId="0" borderId="34" xfId="5" applyNumberFormat="1" applyFont="1" applyBorder="1"/>
    <xf numFmtId="3" fontId="7" fillId="0" borderId="34" xfId="5" applyNumberFormat="1" applyFont="1" applyBorder="1"/>
    <xf numFmtId="4" fontId="7" fillId="0" borderId="34" xfId="5" applyNumberFormat="1" applyFont="1" applyBorder="1"/>
    <xf numFmtId="4" fontId="7" fillId="0" borderId="35" xfId="5" applyNumberFormat="1" applyFont="1" applyBorder="1"/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3" fontId="11" fillId="3" borderId="9" xfId="2" applyNumberFormat="1" applyFont="1" applyFill="1" applyBorder="1"/>
    <xf numFmtId="3" fontId="11" fillId="3" borderId="13" xfId="2" applyNumberFormat="1" applyFont="1" applyFill="1" applyBorder="1"/>
    <xf numFmtId="3" fontId="11" fillId="4" borderId="61" xfId="2" applyNumberFormat="1" applyFont="1" applyFill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28" xfId="5" applyNumberFormat="1" applyFont="1" applyBorder="1"/>
    <xf numFmtId="3" fontId="7" fillId="0" borderId="8" xfId="5" applyNumberFormat="1" applyFont="1" applyBorder="1"/>
    <xf numFmtId="3" fontId="12" fillId="3" borderId="29" xfId="5" applyNumberFormat="1" applyFont="1" applyFill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4" fontId="36" fillId="0" borderId="55" xfId="5" applyNumberFormat="1" applyFont="1" applyBorder="1"/>
    <xf numFmtId="3" fontId="13" fillId="0" borderId="55" xfId="5" applyNumberFormat="1" applyFont="1" applyBorder="1"/>
    <xf numFmtId="3" fontId="7" fillId="0" borderId="55" xfId="5" applyNumberFormat="1" applyFont="1" applyBorder="1"/>
    <xf numFmtId="3" fontId="6" fillId="0" borderId="55" xfId="5" applyNumberFormat="1" applyFont="1" applyBorder="1"/>
    <xf numFmtId="3" fontId="35" fillId="0" borderId="0" xfId="5" applyNumberFormat="1" applyFont="1" applyAlignment="1">
      <alignment horizontal="right"/>
    </xf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13" fillId="3" borderId="21" xfId="5" applyNumberFormat="1" applyFont="1" applyFill="1" applyBorder="1"/>
    <xf numFmtId="4" fontId="13" fillId="3" borderId="21" xfId="5" applyNumberFormat="1" applyFont="1" applyFill="1" applyBorder="1"/>
    <xf numFmtId="4" fontId="13" fillId="3" borderId="30" xfId="5" applyNumberFormat="1" applyFont="1" applyFill="1" applyBorder="1"/>
    <xf numFmtId="3" fontId="13" fillId="6" borderId="17" xfId="5" applyNumberFormat="1" applyFont="1" applyFill="1" applyBorder="1"/>
    <xf numFmtId="3" fontId="13" fillId="6" borderId="18" xfId="5" applyNumberFormat="1" applyFont="1" applyFill="1" applyBorder="1"/>
    <xf numFmtId="4" fontId="13" fillId="6" borderId="18" xfId="5" applyNumberFormat="1" applyFont="1" applyFill="1" applyBorder="1"/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35" fillId="0" borderId="36" xfId="5" applyNumberFormat="1" applyFont="1" applyBorder="1"/>
    <xf numFmtId="4" fontId="11" fillId="3" borderId="10" xfId="2" applyNumberFormat="1" applyFont="1" applyFill="1" applyBorder="1"/>
    <xf numFmtId="4" fontId="11" fillId="3" borderId="14" xfId="2" applyNumberFormat="1" applyFont="1" applyFill="1" applyBorder="1"/>
    <xf numFmtId="3" fontId="11" fillId="4" borderId="60" xfId="2" applyNumberFormat="1" applyFont="1" applyFill="1" applyBorder="1"/>
    <xf numFmtId="4" fontId="11" fillId="4" borderId="63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4" fontId="12" fillId="3" borderId="30" xfId="0" applyNumberFormat="1" applyFont="1" applyFill="1" applyBorder="1" applyAlignment="1">
      <alignment horizontal="right"/>
    </xf>
    <xf numFmtId="4" fontId="12" fillId="3" borderId="27" xfId="0" applyNumberFormat="1" applyFont="1" applyFill="1" applyBorder="1" applyAlignment="1">
      <alignment horizontal="right"/>
    </xf>
    <xf numFmtId="3" fontId="12" fillId="3" borderId="29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26" xfId="0" applyNumberFormat="1" applyFont="1" applyFill="1" applyBorder="1"/>
    <xf numFmtId="3" fontId="12" fillId="3" borderId="21" xfId="0" applyNumberFormat="1" applyFont="1" applyFill="1" applyBorder="1"/>
    <xf numFmtId="4" fontId="12" fillId="3" borderId="21" xfId="0" applyNumberFormat="1" applyFont="1" applyFill="1" applyBorder="1"/>
    <xf numFmtId="4" fontId="12" fillId="3" borderId="30" xfId="0" applyNumberFormat="1" applyFont="1" applyFill="1" applyBorder="1"/>
    <xf numFmtId="4" fontId="12" fillId="3" borderId="27" xfId="0" applyNumberFormat="1" applyFont="1" applyFill="1" applyBorder="1"/>
    <xf numFmtId="3" fontId="12" fillId="3" borderId="29" xfId="0" applyNumberFormat="1" applyFont="1" applyFill="1" applyBorder="1"/>
    <xf numFmtId="3" fontId="12" fillId="4" borderId="17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3" fontId="12" fillId="4" borderId="22" xfId="0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4" fontId="12" fillId="3" borderId="9" xfId="9" applyNumberFormat="1" applyFont="1" applyFill="1" applyBorder="1"/>
    <xf numFmtId="4" fontId="23" fillId="3" borderId="9" xfId="9" applyNumberFormat="1" applyFont="1" applyFill="1" applyBorder="1"/>
    <xf numFmtId="3" fontId="12" fillId="3" borderId="28" xfId="9" applyNumberFormat="1" applyFont="1" applyFill="1" applyBorder="1"/>
    <xf numFmtId="3" fontId="23" fillId="3" borderId="28" xfId="9" applyNumberFormat="1" applyFont="1" applyFill="1" applyBorder="1"/>
    <xf numFmtId="3" fontId="23" fillId="3" borderId="26" xfId="9" applyNumberFormat="1" applyFont="1" applyFill="1" applyBorder="1"/>
    <xf numFmtId="3" fontId="23" fillId="3" borderId="21" xfId="9" applyNumberFormat="1" applyFont="1" applyFill="1" applyBorder="1"/>
    <xf numFmtId="4" fontId="23" fillId="3" borderId="21" xfId="9" applyNumberFormat="1" applyFont="1" applyFill="1" applyBorder="1"/>
    <xf numFmtId="4" fontId="23" fillId="3" borderId="30" xfId="9" applyNumberFormat="1" applyFont="1" applyFill="1" applyBorder="1"/>
    <xf numFmtId="4" fontId="23" fillId="3" borderId="27" xfId="9" applyNumberFormat="1" applyFont="1" applyFill="1" applyBorder="1"/>
    <xf numFmtId="3" fontId="23" fillId="3" borderId="29" xfId="9" applyNumberFormat="1" applyFont="1" applyFill="1" applyBorder="1"/>
    <xf numFmtId="3" fontId="23" fillId="5" borderId="17" xfId="9" applyNumberFormat="1" applyFont="1" applyFill="1" applyBorder="1"/>
    <xf numFmtId="3" fontId="23" fillId="5" borderId="18" xfId="9" applyNumberFormat="1" applyFont="1" applyFill="1" applyBorder="1"/>
    <xf numFmtId="4" fontId="23" fillId="5" borderId="18" xfId="9" applyNumberFormat="1" applyFont="1" applyFill="1" applyBorder="1"/>
    <xf numFmtId="4" fontId="23" fillId="5" borderId="20" xfId="9" applyNumberFormat="1" applyFont="1" applyFill="1" applyBorder="1"/>
    <xf numFmtId="4" fontId="23" fillId="5" borderId="19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0" fontId="13" fillId="0" borderId="70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3" fontId="12" fillId="3" borderId="28" xfId="9" applyNumberFormat="1" applyFont="1" applyFill="1" applyBorder="1" applyAlignment="1">
      <alignment horizontal="right"/>
    </xf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4" fontId="12" fillId="3" borderId="30" xfId="9" applyNumberFormat="1" applyFont="1" applyFill="1" applyBorder="1"/>
    <xf numFmtId="4" fontId="12" fillId="3" borderId="27" xfId="9" applyNumberFormat="1" applyFont="1" applyFill="1" applyBorder="1"/>
    <xf numFmtId="3" fontId="12" fillId="3" borderId="29" xfId="9" applyNumberFormat="1" applyFont="1" applyFill="1" applyBorder="1"/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20" xfId="9" applyNumberFormat="1" applyFont="1" applyFill="1" applyBorder="1"/>
    <xf numFmtId="4" fontId="12" fillId="7" borderId="19" xfId="9" applyNumberFormat="1" applyFont="1" applyFill="1" applyBorder="1"/>
    <xf numFmtId="3" fontId="12" fillId="7" borderId="22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35" fillId="0" borderId="46" xfId="5" applyNumberFormat="1" applyFont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3" fontId="9" fillId="0" borderId="0" xfId="0" applyNumberFormat="1" applyFont="1"/>
    <xf numFmtId="4" fontId="35" fillId="0" borderId="0" xfId="8" applyNumberFormat="1" applyFont="1" applyAlignment="1">
      <alignment horizontal="center"/>
    </xf>
    <xf numFmtId="4" fontId="9" fillId="0" borderId="0" xfId="0" applyNumberFormat="1" applyFont="1"/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0" fontId="4" fillId="0" borderId="0" xfId="5" applyAlignment="1">
      <alignment horizontal="right"/>
    </xf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3" fontId="26" fillId="0" borderId="1" xfId="5" applyNumberFormat="1" applyFont="1" applyBorder="1"/>
    <xf numFmtId="3" fontId="7" fillId="0" borderId="1" xfId="0" applyNumberFormat="1" applyFont="1" applyBorder="1" applyAlignment="1">
      <alignment horizontal="right"/>
    </xf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13" fillId="6" borderId="71" xfId="5" applyNumberFormat="1" applyFont="1" applyFill="1" applyBorder="1"/>
    <xf numFmtId="4" fontId="13" fillId="6" borderId="63" xfId="5" applyNumberFormat="1" applyFont="1" applyFill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3" fontId="35" fillId="0" borderId="1" xfId="5" applyNumberFormat="1" applyFont="1" applyBorder="1" applyAlignment="1">
      <alignment horizontal="right"/>
    </xf>
    <xf numFmtId="3" fontId="41" fillId="0" borderId="0" xfId="0" applyNumberFormat="1" applyFont="1"/>
    <xf numFmtId="3" fontId="4" fillId="0" borderId="0" xfId="5" applyNumberFormat="1" applyAlignment="1">
      <alignment horizontal="right"/>
    </xf>
    <xf numFmtId="0" fontId="7" fillId="0" borderId="0" xfId="0" applyFont="1" applyAlignment="1">
      <alignment horizontal="right"/>
    </xf>
    <xf numFmtId="0" fontId="26" fillId="0" borderId="0" xfId="5" applyFont="1" applyAlignment="1">
      <alignment horizontal="right"/>
    </xf>
    <xf numFmtId="3" fontId="26" fillId="0" borderId="24" xfId="5" applyNumberFormat="1" applyFont="1" applyBorder="1"/>
    <xf numFmtId="3" fontId="13" fillId="3" borderId="26" xfId="5" applyNumberFormat="1" applyFont="1" applyFill="1" applyBorder="1"/>
    <xf numFmtId="3" fontId="38" fillId="7" borderId="38" xfId="5" applyNumberFormat="1" applyFont="1" applyFill="1" applyBorder="1"/>
    <xf numFmtId="4" fontId="12" fillId="3" borderId="27" xfId="5" applyNumberFormat="1" applyFont="1" applyFill="1" applyBorder="1"/>
    <xf numFmtId="4" fontId="38" fillId="7" borderId="19" xfId="5" applyNumberFormat="1" applyFont="1" applyFill="1" applyBorder="1"/>
    <xf numFmtId="0" fontId="26" fillId="9" borderId="1" xfId="9" applyFont="1" applyFill="1" applyBorder="1"/>
    <xf numFmtId="3" fontId="23" fillId="5" borderId="38" xfId="9" applyNumberFormat="1" applyFont="1" applyFill="1" applyBorder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1" xfId="9" applyNumberFormat="1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6" fillId="9" borderId="1" xfId="5" applyNumberFormat="1" applyFont="1" applyFill="1" applyBorder="1"/>
    <xf numFmtId="4" fontId="14" fillId="4" borderId="47" xfId="0" applyNumberFormat="1" applyFont="1" applyFill="1" applyBorder="1"/>
    <xf numFmtId="4" fontId="13" fillId="0" borderId="45" xfId="5" applyNumberFormat="1" applyFont="1" applyBorder="1"/>
    <xf numFmtId="3" fontId="35" fillId="0" borderId="4" xfId="5" applyNumberFormat="1" applyFont="1" applyBorder="1"/>
    <xf numFmtId="3" fontId="35" fillId="0" borderId="5" xfId="5" applyNumberFormat="1" applyFont="1" applyBorder="1"/>
    <xf numFmtId="4" fontId="35" fillId="0" borderId="5" xfId="5" applyNumberFormat="1" applyFont="1" applyBorder="1"/>
    <xf numFmtId="4" fontId="26" fillId="0" borderId="5" xfId="5" applyNumberFormat="1" applyFont="1" applyBorder="1"/>
    <xf numFmtId="4" fontId="35" fillId="0" borderId="6" xfId="5" applyNumberFormat="1" applyFont="1" applyBorder="1"/>
    <xf numFmtId="4" fontId="21" fillId="8" borderId="22" xfId="5" applyNumberFormat="1" applyFont="1" applyFill="1" applyBorder="1" applyAlignment="1">
      <alignment horizontal="center"/>
    </xf>
    <xf numFmtId="4" fontId="26" fillId="0" borderId="9" xfId="5" applyNumberFormat="1" applyFont="1" applyBorder="1"/>
    <xf numFmtId="4" fontId="23" fillId="3" borderId="13" xfId="9" applyNumberFormat="1" applyFont="1" applyFill="1" applyBorder="1"/>
    <xf numFmtId="4" fontId="12" fillId="4" borderId="20" xfId="0" applyNumberFormat="1" applyFont="1" applyFill="1" applyBorder="1"/>
    <xf numFmtId="2" fontId="0" fillId="0" borderId="0" xfId="0" applyNumberFormat="1"/>
    <xf numFmtId="2" fontId="11" fillId="4" borderId="61" xfId="2" applyNumberFormat="1" applyFont="1" applyFill="1" applyBorder="1"/>
    <xf numFmtId="2" fontId="11" fillId="4" borderId="63" xfId="2" applyNumberFormat="1" applyFont="1" applyFill="1" applyBorder="1"/>
    <xf numFmtId="2" fontId="7" fillId="0" borderId="55" xfId="5" applyNumberFormat="1" applyFont="1" applyBorder="1"/>
    <xf numFmtId="2" fontId="7" fillId="0" borderId="0" xfId="5" applyNumberFormat="1" applyFont="1"/>
    <xf numFmtId="2" fontId="14" fillId="4" borderId="18" xfId="0" applyNumberFormat="1" applyFont="1" applyFill="1" applyBorder="1"/>
    <xf numFmtId="2" fontId="7" fillId="0" borderId="5" xfId="0" applyNumberFormat="1" applyFont="1" applyBorder="1"/>
    <xf numFmtId="2" fontId="7" fillId="0" borderId="1" xfId="0" applyNumberFormat="1" applyFont="1" applyBorder="1"/>
    <xf numFmtId="2" fontId="7" fillId="0" borderId="12" xfId="0" applyNumberFormat="1" applyFont="1" applyBorder="1"/>
    <xf numFmtId="3" fontId="7" fillId="0" borderId="56" xfId="5" applyNumberFormat="1" applyFont="1" applyBorder="1"/>
    <xf numFmtId="3" fontId="11" fillId="3" borderId="48" xfId="2" applyNumberFormat="1" applyFont="1" applyFill="1" applyBorder="1"/>
    <xf numFmtId="3" fontId="11" fillId="3" borderId="72" xfId="2" applyNumberFormat="1" applyFont="1" applyFill="1" applyBorder="1"/>
    <xf numFmtId="3" fontId="11" fillId="3" borderId="1" xfId="2" applyNumberFormat="1" applyFont="1" applyFill="1" applyBorder="1"/>
    <xf numFmtId="2" fontId="11" fillId="3" borderId="1" xfId="2" applyNumberFormat="1" applyFont="1" applyFill="1" applyBorder="1"/>
    <xf numFmtId="3" fontId="11" fillId="3" borderId="8" xfId="2" applyNumberFormat="1" applyFont="1" applyFill="1" applyBorder="1"/>
    <xf numFmtId="2" fontId="11" fillId="3" borderId="10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2" fontId="11" fillId="3" borderId="12" xfId="2" applyNumberFormat="1" applyFont="1" applyFill="1" applyBorder="1"/>
    <xf numFmtId="2" fontId="11" fillId="3" borderId="14" xfId="2" applyNumberFormat="1" applyFont="1" applyFill="1" applyBorder="1"/>
    <xf numFmtId="4" fontId="26" fillId="0" borderId="32" xfId="5" applyNumberFormat="1" applyFont="1" applyBorder="1"/>
    <xf numFmtId="4" fontId="13" fillId="6" borderId="20" xfId="5" applyNumberFormat="1" applyFont="1" applyFill="1" applyBorder="1"/>
    <xf numFmtId="3" fontId="13" fillId="3" borderId="41" xfId="5" applyNumberFormat="1" applyFont="1" applyFill="1" applyBorder="1"/>
    <xf numFmtId="3" fontId="38" fillId="7" borderId="22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13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3" fontId="13" fillId="0" borderId="45" xfId="0" applyNumberFormat="1" applyFont="1" applyBorder="1" applyAlignment="1">
      <alignment horizontal="left" vertical="center" wrapText="1"/>
    </xf>
    <xf numFmtId="4" fontId="12" fillId="3" borderId="14" xfId="5" applyNumberFormat="1" applyFont="1" applyFill="1" applyBorder="1"/>
    <xf numFmtId="2" fontId="21" fillId="8" borderId="18" xfId="5" applyNumberFormat="1" applyFont="1" applyFill="1" applyBorder="1" applyAlignment="1">
      <alignment horizontal="center"/>
    </xf>
    <xf numFmtId="2" fontId="21" fillId="8" borderId="19" xfId="5" applyNumberFormat="1" applyFont="1" applyFill="1" applyBorder="1" applyAlignment="1">
      <alignment horizontal="center"/>
    </xf>
    <xf numFmtId="4" fontId="13" fillId="5" borderId="1" xfId="0" applyNumberFormat="1" applyFont="1" applyFill="1" applyBorder="1" applyAlignment="1">
      <alignment horizontal="center" vertical="center" wrapText="1"/>
    </xf>
    <xf numFmtId="4" fontId="14" fillId="4" borderId="63" xfId="0" applyNumberFormat="1" applyFont="1" applyFill="1" applyBorder="1"/>
    <xf numFmtId="4" fontId="13" fillId="0" borderId="0" xfId="5" applyNumberFormat="1" applyFont="1"/>
    <xf numFmtId="3" fontId="11" fillId="4" borderId="45" xfId="2" applyNumberFormat="1" applyFont="1" applyFill="1" applyBorder="1"/>
    <xf numFmtId="2" fontId="14" fillId="4" borderId="20" xfId="0" applyNumberFormat="1" applyFont="1" applyFill="1" applyBorder="1"/>
    <xf numFmtId="2" fontId="7" fillId="0" borderId="6" xfId="0" applyNumberFormat="1" applyFont="1" applyBorder="1"/>
    <xf numFmtId="2" fontId="7" fillId="0" borderId="9" xfId="0" applyNumberFormat="1" applyFont="1" applyBorder="1"/>
    <xf numFmtId="2" fontId="7" fillId="0" borderId="13" xfId="0" applyNumberFormat="1" applyFont="1" applyBorder="1"/>
    <xf numFmtId="3" fontId="13" fillId="0" borderId="41" xfId="0" applyNumberFormat="1" applyFont="1" applyBorder="1" applyAlignment="1">
      <alignment horizontal="center" vertical="center" wrapText="1"/>
    </xf>
    <xf numFmtId="3" fontId="21" fillId="8" borderId="56" xfId="5" applyNumberFormat="1" applyFont="1" applyFill="1" applyBorder="1" applyAlignment="1">
      <alignment horizontal="center"/>
    </xf>
    <xf numFmtId="3" fontId="38" fillId="7" borderId="71" xfId="5" applyNumberFormat="1" applyFont="1" applyFill="1" applyBorder="1"/>
    <xf numFmtId="4" fontId="38" fillId="7" borderId="63" xfId="5" applyNumberFormat="1" applyFont="1" applyFill="1" applyBorder="1"/>
    <xf numFmtId="3" fontId="13" fillId="6" borderId="38" xfId="5" applyNumberFormat="1" applyFont="1" applyFill="1" applyBorder="1"/>
    <xf numFmtId="3" fontId="13" fillId="3" borderId="11" xfId="5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13" fillId="3" borderId="5" xfId="5" applyNumberFormat="1" applyFont="1" applyFill="1" applyBorder="1"/>
    <xf numFmtId="4" fontId="13" fillId="3" borderId="5" xfId="5" applyNumberFormat="1" applyFont="1" applyFill="1" applyBorder="1"/>
    <xf numFmtId="4" fontId="13" fillId="3" borderId="7" xfId="5" applyNumberFormat="1" applyFont="1" applyFill="1" applyBorder="1"/>
    <xf numFmtId="3" fontId="13" fillId="3" borderId="37" xfId="5" applyNumberFormat="1" applyFont="1" applyFill="1" applyBorder="1"/>
    <xf numFmtId="0" fontId="15" fillId="0" borderId="0" xfId="0" applyFont="1"/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4" borderId="38" xfId="0" applyNumberFormat="1" applyFont="1" applyFill="1" applyBorder="1" applyAlignment="1">
      <alignment horizontal="right"/>
    </xf>
    <xf numFmtId="3" fontId="12" fillId="4" borderId="47" xfId="0" applyNumberFormat="1" applyFont="1" applyFill="1" applyBorder="1" applyAlignment="1">
      <alignment horizontal="right"/>
    </xf>
    <xf numFmtId="4" fontId="12" fillId="4" borderId="47" xfId="0" applyNumberFormat="1" applyFont="1" applyFill="1" applyBorder="1" applyAlignment="1">
      <alignment horizontal="right"/>
    </xf>
    <xf numFmtId="4" fontId="12" fillId="4" borderId="63" xfId="0" applyNumberFormat="1" applyFont="1" applyFill="1" applyBorder="1" applyAlignment="1">
      <alignment horizontal="right"/>
    </xf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4" fontId="12" fillId="3" borderId="12" xfId="0" applyNumberFormat="1" applyFont="1" applyFill="1" applyBorder="1" applyAlignment="1">
      <alignment horizontal="right"/>
    </xf>
    <xf numFmtId="4" fontId="12" fillId="3" borderId="14" xfId="0" applyNumberFormat="1" applyFont="1" applyFill="1" applyBorder="1" applyAlignment="1">
      <alignment horizontal="right"/>
    </xf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3" fontId="12" fillId="4" borderId="38" xfId="0" applyNumberFormat="1" applyFont="1" applyFill="1" applyBorder="1"/>
    <xf numFmtId="3" fontId="12" fillId="4" borderId="47" xfId="0" applyNumberFormat="1" applyFont="1" applyFill="1" applyBorder="1"/>
    <xf numFmtId="4" fontId="12" fillId="4" borderId="47" xfId="0" applyNumberFormat="1" applyFont="1" applyFill="1" applyBorder="1"/>
    <xf numFmtId="4" fontId="12" fillId="4" borderId="63" xfId="0" applyNumberFormat="1" applyFont="1" applyFill="1" applyBorder="1"/>
    <xf numFmtId="4" fontId="23" fillId="5" borderId="63" xfId="9" applyNumberFormat="1" applyFont="1" applyFill="1" applyBorder="1"/>
    <xf numFmtId="4" fontId="23" fillId="3" borderId="14" xfId="9" applyNumberFormat="1" applyFont="1" applyFill="1" applyBorder="1"/>
    <xf numFmtId="3" fontId="12" fillId="7" borderId="38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4" fontId="12" fillId="7" borderId="63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8" fillId="0" borderId="1" xfId="0" applyNumberFormat="1" applyFont="1" applyBorder="1"/>
    <xf numFmtId="4" fontId="8" fillId="0" borderId="1" xfId="0" applyNumberFormat="1" applyFont="1" applyBorder="1"/>
    <xf numFmtId="0" fontId="35" fillId="0" borderId="1" xfId="5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3" fontId="8" fillId="0" borderId="24" xfId="0" applyNumberFormat="1" applyFont="1" applyBorder="1"/>
    <xf numFmtId="4" fontId="8" fillId="0" borderId="24" xfId="0" applyNumberFormat="1" applyFont="1" applyBorder="1"/>
    <xf numFmtId="0" fontId="40" fillId="0" borderId="0" xfId="0" applyFont="1"/>
    <xf numFmtId="0" fontId="45" fillId="0" borderId="0" xfId="0" applyFont="1"/>
    <xf numFmtId="0" fontId="48" fillId="0" borderId="0" xfId="0" applyFont="1"/>
    <xf numFmtId="0" fontId="16" fillId="0" borderId="0" xfId="7" applyFont="1"/>
    <xf numFmtId="0" fontId="49" fillId="0" borderId="0" xfId="0" applyFont="1"/>
    <xf numFmtId="0" fontId="10" fillId="0" borderId="0" xfId="7"/>
    <xf numFmtId="0" fontId="1" fillId="0" borderId="0" xfId="5" applyFont="1" applyAlignment="1">
      <alignment horizontal="center"/>
    </xf>
    <xf numFmtId="3" fontId="1" fillId="0" borderId="0" xfId="9" applyNumberFormat="1" applyFont="1"/>
    <xf numFmtId="3" fontId="35" fillId="9" borderId="8" xfId="5" applyNumberFormat="1" applyFont="1" applyFill="1" applyBorder="1"/>
    <xf numFmtId="3" fontId="35" fillId="9" borderId="1" xfId="5" applyNumberFormat="1" applyFont="1" applyFill="1" applyBorder="1"/>
    <xf numFmtId="4" fontId="35" fillId="9" borderId="1" xfId="5" applyNumberFormat="1" applyFont="1" applyFill="1" applyBorder="1"/>
    <xf numFmtId="4" fontId="35" fillId="9" borderId="9" xfId="5" applyNumberFormat="1" applyFont="1" applyFill="1" applyBorder="1"/>
    <xf numFmtId="3" fontId="7" fillId="9" borderId="8" xfId="5" applyNumberFormat="1" applyFont="1" applyFill="1" applyBorder="1"/>
    <xf numFmtId="3" fontId="7" fillId="9" borderId="1" xfId="5" applyNumberFormat="1" applyFont="1" applyFill="1" applyBorder="1"/>
    <xf numFmtId="3" fontId="6" fillId="9" borderId="1" xfId="5" applyNumberFormat="1" applyFont="1" applyFill="1" applyBorder="1"/>
    <xf numFmtId="4" fontId="7" fillId="9" borderId="1" xfId="5" applyNumberFormat="1" applyFont="1" applyFill="1" applyBorder="1"/>
    <xf numFmtId="3" fontId="35" fillId="0" borderId="26" xfId="5" applyNumberFormat="1" applyFont="1" applyBorder="1"/>
    <xf numFmtId="3" fontId="35" fillId="0" borderId="21" xfId="5" applyNumberFormat="1" applyFont="1" applyBorder="1"/>
    <xf numFmtId="4" fontId="35" fillId="0" borderId="21" xfId="5" applyNumberFormat="1" applyFont="1" applyBorder="1"/>
    <xf numFmtId="4" fontId="35" fillId="0" borderId="27" xfId="5" applyNumberFormat="1" applyFont="1" applyBorder="1"/>
    <xf numFmtId="3" fontId="35" fillId="0" borderId="29" xfId="5" applyNumberFormat="1" applyFont="1" applyBorder="1"/>
    <xf numFmtId="4" fontId="35" fillId="0" borderId="30" xfId="5" applyNumberFormat="1" applyFont="1" applyBorder="1"/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3" fontId="11" fillId="4" borderId="22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48" xfId="0" applyNumberFormat="1" applyFont="1" applyFill="1" applyBorder="1" applyAlignment="1">
      <alignment horizontal="center" vertical="center"/>
    </xf>
    <xf numFmtId="4" fontId="13" fillId="5" borderId="67" xfId="0" applyNumberFormat="1" applyFont="1" applyFill="1" applyBorder="1" applyAlignment="1">
      <alignment horizontal="center" vertical="center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39" xfId="0" applyNumberFormat="1" applyFont="1" applyBorder="1" applyAlignment="1">
      <alignment horizontal="left"/>
    </xf>
    <xf numFmtId="3" fontId="13" fillId="0" borderId="37" xfId="0" applyNumberFormat="1" applyFont="1" applyBorder="1" applyAlignment="1">
      <alignment horizontal="left"/>
    </xf>
    <xf numFmtId="4" fontId="13" fillId="4" borderId="34" xfId="0" applyNumberFormat="1" applyFont="1" applyFill="1" applyBorder="1" applyAlignment="1">
      <alignment horizontal="center" vertical="center" wrapText="1"/>
    </xf>
    <xf numFmtId="4" fontId="13" fillId="4" borderId="53" xfId="0" applyNumberFormat="1" applyFont="1" applyFill="1" applyBorder="1" applyAlignment="1">
      <alignment horizontal="center" vertical="center" wrapText="1"/>
    </xf>
    <xf numFmtId="4" fontId="13" fillId="4" borderId="47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2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5" borderId="49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39" xfId="0" applyNumberFormat="1" applyFont="1" applyFill="1" applyBorder="1" applyAlignment="1">
      <alignment horizontal="center" vertical="center" wrapText="1"/>
    </xf>
    <xf numFmtId="4" fontId="13" fillId="5" borderId="31" xfId="0" applyNumberFormat="1" applyFont="1" applyFill="1" applyBorder="1" applyAlignment="1">
      <alignment horizontal="center" vertical="center" wrapText="1"/>
    </xf>
    <xf numFmtId="3" fontId="16" fillId="4" borderId="58" xfId="0" applyNumberFormat="1" applyFont="1" applyFill="1" applyBorder="1" applyAlignment="1">
      <alignment horizontal="center"/>
    </xf>
    <xf numFmtId="3" fontId="16" fillId="4" borderId="55" xfId="0" applyNumberFormat="1" applyFont="1" applyFill="1" applyBorder="1" applyAlignment="1">
      <alignment horizontal="center"/>
    </xf>
    <xf numFmtId="3" fontId="16" fillId="4" borderId="57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45" xfId="0" applyNumberFormat="1" applyFont="1" applyFill="1" applyBorder="1" applyAlignment="1">
      <alignment horizontal="center"/>
    </xf>
    <xf numFmtId="3" fontId="16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22" fillId="5" borderId="58" xfId="0" applyNumberFormat="1" applyFont="1" applyFill="1" applyBorder="1" applyAlignment="1">
      <alignment horizontal="center" vertical="center"/>
    </xf>
    <xf numFmtId="3" fontId="22" fillId="5" borderId="55" xfId="0" applyNumberFormat="1" applyFont="1" applyFill="1" applyBorder="1" applyAlignment="1">
      <alignment horizontal="center" vertical="center"/>
    </xf>
    <xf numFmtId="3" fontId="22" fillId="5" borderId="57" xfId="0" applyNumberFormat="1" applyFont="1" applyFill="1" applyBorder="1" applyAlignment="1">
      <alignment horizontal="center" vertical="center"/>
    </xf>
    <xf numFmtId="3" fontId="22" fillId="5" borderId="60" xfId="0" applyNumberFormat="1" applyFont="1" applyFill="1" applyBorder="1" applyAlignment="1">
      <alignment horizontal="center" vertical="center"/>
    </xf>
    <xf numFmtId="3" fontId="22" fillId="5" borderId="45" xfId="0" applyNumberFormat="1" applyFont="1" applyFill="1" applyBorder="1" applyAlignment="1">
      <alignment horizontal="center" vertical="center"/>
    </xf>
    <xf numFmtId="3" fontId="22" fillId="5" borderId="44" xfId="0" applyNumberFormat="1" applyFont="1" applyFill="1" applyBorder="1" applyAlignment="1">
      <alignment horizontal="center" vertical="center"/>
    </xf>
    <xf numFmtId="3" fontId="23" fillId="5" borderId="49" xfId="0" applyNumberFormat="1" applyFont="1" applyFill="1" applyBorder="1" applyAlignment="1">
      <alignment horizontal="center" vertical="center" wrapText="1"/>
    </xf>
    <xf numFmtId="3" fontId="23" fillId="5" borderId="29" xfId="0" applyNumberFormat="1" applyFont="1" applyFill="1" applyBorder="1" applyAlignment="1">
      <alignment horizontal="center" vertical="center" wrapText="1"/>
    </xf>
    <xf numFmtId="3" fontId="23" fillId="5" borderId="0" xfId="0" applyNumberFormat="1" applyFont="1" applyFill="1" applyAlignment="1">
      <alignment horizontal="center" vertical="center" wrapText="1"/>
    </xf>
    <xf numFmtId="3" fontId="23" fillId="5" borderId="52" xfId="0" applyNumberFormat="1" applyFont="1" applyFill="1" applyBorder="1" applyAlignment="1">
      <alignment horizontal="center" vertical="center" wrapText="1"/>
    </xf>
    <xf numFmtId="3" fontId="23" fillId="5" borderId="39" xfId="0" applyNumberFormat="1" applyFont="1" applyFill="1" applyBorder="1" applyAlignment="1">
      <alignment horizontal="center" vertical="center" wrapText="1"/>
    </xf>
    <xf numFmtId="3" fontId="23" fillId="5" borderId="37" xfId="0" applyNumberFormat="1" applyFont="1" applyFill="1" applyBorder="1" applyAlignment="1">
      <alignment horizontal="center" vertical="center" wrapText="1"/>
    </xf>
    <xf numFmtId="3" fontId="23" fillId="5" borderId="30" xfId="0" applyNumberFormat="1" applyFont="1" applyFill="1" applyBorder="1" applyAlignment="1">
      <alignment horizontal="center" vertical="center" wrapText="1"/>
    </xf>
    <xf numFmtId="3" fontId="23" fillId="5" borderId="51" xfId="0" applyNumberFormat="1" applyFont="1" applyFill="1" applyBorder="1" applyAlignment="1">
      <alignment horizontal="center" vertical="center" wrapText="1"/>
    </xf>
    <xf numFmtId="3" fontId="23" fillId="5" borderId="6" xfId="0" applyNumberFormat="1" applyFont="1" applyFill="1" applyBorder="1" applyAlignment="1">
      <alignment horizontal="center" vertical="center" wrapText="1"/>
    </xf>
    <xf numFmtId="3" fontId="13" fillId="5" borderId="30" xfId="0" applyNumberFormat="1" applyFont="1" applyFill="1" applyBorder="1" applyAlignment="1">
      <alignment horizontal="center" vertical="center"/>
    </xf>
    <xf numFmtId="3" fontId="13" fillId="5" borderId="49" xfId="0" applyNumberFormat="1" applyFont="1" applyFill="1" applyBorder="1" applyAlignment="1">
      <alignment horizontal="center" vertical="center"/>
    </xf>
    <xf numFmtId="3" fontId="13" fillId="5" borderId="29" xfId="0" applyNumberFormat="1" applyFont="1" applyFill="1" applyBorder="1" applyAlignment="1">
      <alignment horizontal="center" vertical="center"/>
    </xf>
    <xf numFmtId="3" fontId="13" fillId="5" borderId="51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2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3" fontId="13" fillId="5" borderId="39" xfId="0" applyNumberFormat="1" applyFont="1" applyFill="1" applyBorder="1" applyAlignment="1">
      <alignment horizontal="center" vertical="center"/>
    </xf>
    <xf numFmtId="3" fontId="13" fillId="5" borderId="37" xfId="0" applyNumberFormat="1" applyFont="1" applyFill="1" applyBorder="1" applyAlignment="1">
      <alignment horizontal="center" vertical="center"/>
    </xf>
    <xf numFmtId="3" fontId="22" fillId="5" borderId="62" xfId="0" applyNumberFormat="1" applyFont="1" applyFill="1" applyBorder="1" applyAlignment="1">
      <alignment horizontal="center" vertical="center"/>
    </xf>
    <xf numFmtId="3" fontId="23" fillId="5" borderId="66" xfId="0" applyNumberFormat="1" applyFont="1" applyFill="1" applyBorder="1" applyAlignment="1">
      <alignment horizontal="center" vertical="center" wrapText="1"/>
    </xf>
    <xf numFmtId="3" fontId="23" fillId="5" borderId="68" xfId="0" applyNumberFormat="1" applyFont="1" applyFill="1" applyBorder="1" applyAlignment="1">
      <alignment horizontal="center" vertical="center" wrapText="1"/>
    </xf>
    <xf numFmtId="3" fontId="23" fillId="5" borderId="2" xfId="0" applyNumberFormat="1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CCFF"/>
      <color rgb="FF99FF99"/>
      <color rgb="FFFF66FF"/>
      <color rgb="FFCC3300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NULL"/><Relationship Id="rId26" Type="http://schemas.openxmlformats.org/officeDocument/2006/relationships/image" Target="NULL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customXml" Target="../ink/ink23.xml"/><Relationship Id="rId50" Type="http://schemas.openxmlformats.org/officeDocument/2006/relationships/image" Target="NULL"/><Relationship Id="rId55" Type="http://schemas.openxmlformats.org/officeDocument/2006/relationships/customXml" Target="../ink/ink27.xml"/><Relationship Id="rId63" Type="http://schemas.openxmlformats.org/officeDocument/2006/relationships/customXml" Target="../ink/ink31.xml"/><Relationship Id="rId7" Type="http://schemas.openxmlformats.org/officeDocument/2006/relationships/customXml" Target="../ink/ink3.xml"/><Relationship Id="rId2" Type="http://schemas.openxmlformats.org/officeDocument/2006/relationships/image" Target="NULL"/><Relationship Id="rId16" Type="http://schemas.openxmlformats.org/officeDocument/2006/relationships/image" Target="NULL"/><Relationship Id="rId29" Type="http://schemas.openxmlformats.org/officeDocument/2006/relationships/customXml" Target="../ink/ink14.xml"/><Relationship Id="rId11" Type="http://schemas.openxmlformats.org/officeDocument/2006/relationships/customXml" Target="../ink/ink5.xml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customXml" Target="../ink/ink18.xml"/><Relationship Id="rId40" Type="http://schemas.openxmlformats.org/officeDocument/2006/relationships/image" Target="NULL"/><Relationship Id="rId45" Type="http://schemas.openxmlformats.org/officeDocument/2006/relationships/customXml" Target="../ink/ink22.xml"/><Relationship Id="rId53" Type="http://schemas.openxmlformats.org/officeDocument/2006/relationships/customXml" Target="../ink/ink26.xml"/><Relationship Id="rId58" Type="http://schemas.openxmlformats.org/officeDocument/2006/relationships/image" Target="NULL"/><Relationship Id="rId66" Type="http://schemas.openxmlformats.org/officeDocument/2006/relationships/image" Target="NULL"/><Relationship Id="rId61" Type="http://schemas.openxmlformats.org/officeDocument/2006/relationships/customXml" Target="../ink/ink30.xml"/><Relationship Id="rId19" Type="http://schemas.openxmlformats.org/officeDocument/2006/relationships/customXml" Target="../ink/ink9.xml"/><Relationship Id="rId14" Type="http://schemas.openxmlformats.org/officeDocument/2006/relationships/image" Target="NULL"/><Relationship Id="rId22" Type="http://schemas.openxmlformats.org/officeDocument/2006/relationships/image" Target="NULL"/><Relationship Id="rId27" Type="http://schemas.openxmlformats.org/officeDocument/2006/relationships/customXml" Target="../ink/ink13.xml"/><Relationship Id="rId30" Type="http://schemas.openxmlformats.org/officeDocument/2006/relationships/image" Target="NULL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8" Type="http://schemas.openxmlformats.org/officeDocument/2006/relationships/image" Target="NULL"/><Relationship Id="rId51" Type="http://schemas.openxmlformats.org/officeDocument/2006/relationships/customXml" Target="../ink/ink25.xml"/><Relationship Id="rId3" Type="http://schemas.openxmlformats.org/officeDocument/2006/relationships/customXml" Target="../ink/ink2.xml"/><Relationship Id="rId12" Type="http://schemas.openxmlformats.org/officeDocument/2006/relationships/image" Target="NULL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customXml" Target="../ink/ink29.xml"/><Relationship Id="rId20" Type="http://schemas.openxmlformats.org/officeDocument/2006/relationships/image" Target="NULL"/><Relationship Id="rId41" Type="http://schemas.openxmlformats.org/officeDocument/2006/relationships/customXml" Target="../ink/ink20.xml"/><Relationship Id="rId54" Type="http://schemas.openxmlformats.org/officeDocument/2006/relationships/image" Target="NULL"/><Relationship Id="rId62" Type="http://schemas.openxmlformats.org/officeDocument/2006/relationships/image" Target="NULL"/><Relationship Id="rId1" Type="http://schemas.openxmlformats.org/officeDocument/2006/relationships/customXml" Target="../ink/ink1.xml"/><Relationship Id="rId6" Type="http://schemas.openxmlformats.org/officeDocument/2006/relationships/image" Target="NULL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image" Target="NULL"/><Relationship Id="rId31" Type="http://schemas.openxmlformats.org/officeDocument/2006/relationships/customXml" Target="../ink/ink15.xm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customXml" Target="../ink/ink32.xml"/><Relationship Id="rId9" Type="http://schemas.openxmlformats.org/officeDocument/2006/relationships/customXml" Target="../ink/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Z40"/>
  <sheetViews>
    <sheetView tabSelected="1" zoomScaleNormal="100" workbookViewId="0">
      <selection activeCell="Q19" sqref="Q19"/>
    </sheetView>
  </sheetViews>
  <sheetFormatPr defaultColWidth="9.140625" defaultRowHeight="15" customHeight="1" x14ac:dyDescent="0.2"/>
  <cols>
    <col min="1" max="1" width="3" style="234" customWidth="1"/>
    <col min="2" max="15" width="9.140625" style="234"/>
    <col min="16" max="16" width="10.85546875" style="234" customWidth="1"/>
    <col min="17" max="17" width="44.140625" style="234" customWidth="1"/>
    <col min="18" max="16384" width="9.140625" style="234"/>
  </cols>
  <sheetData>
    <row r="1" spans="1:2" ht="15" customHeight="1" x14ac:dyDescent="0.2">
      <c r="A1" s="762" t="s">
        <v>858</v>
      </c>
    </row>
    <row r="3" spans="1:2" ht="15" customHeight="1" x14ac:dyDescent="0.2">
      <c r="A3" s="234" t="s">
        <v>822</v>
      </c>
    </row>
    <row r="5" spans="1:2" ht="15" customHeight="1" x14ac:dyDescent="0.2">
      <c r="A5" s="767" t="s">
        <v>831</v>
      </c>
    </row>
    <row r="7" spans="1:2" ht="15" customHeight="1" x14ac:dyDescent="0.2">
      <c r="A7" s="234" t="s">
        <v>823</v>
      </c>
      <c r="B7" s="767" t="s">
        <v>862</v>
      </c>
    </row>
    <row r="8" spans="1:2" ht="15" customHeight="1" x14ac:dyDescent="0.2">
      <c r="B8" s="767" t="s">
        <v>852</v>
      </c>
    </row>
    <row r="9" spans="1:2" ht="15" customHeight="1" x14ac:dyDescent="0.2">
      <c r="B9" s="767"/>
    </row>
    <row r="10" spans="1:2" ht="15" customHeight="1" x14ac:dyDescent="0.2">
      <c r="A10" s="234" t="s">
        <v>824</v>
      </c>
      <c r="B10" s="234" t="s">
        <v>861</v>
      </c>
    </row>
    <row r="11" spans="1:2" ht="15" customHeight="1" x14ac:dyDescent="0.2">
      <c r="B11" s="234" t="s">
        <v>870</v>
      </c>
    </row>
    <row r="13" spans="1:2" ht="15" customHeight="1" x14ac:dyDescent="0.2">
      <c r="A13" s="234" t="s">
        <v>843</v>
      </c>
      <c r="B13" s="234" t="s">
        <v>871</v>
      </c>
    </row>
    <row r="14" spans="1:2" ht="15" customHeight="1" x14ac:dyDescent="0.2">
      <c r="B14" s="3" t="s">
        <v>864</v>
      </c>
    </row>
    <row r="15" spans="1:2" ht="15" customHeight="1" x14ac:dyDescent="0.2">
      <c r="B15" s="765" t="s">
        <v>865</v>
      </c>
    </row>
    <row r="16" spans="1:2" ht="15" customHeight="1" x14ac:dyDescent="0.2">
      <c r="B16" s="765" t="s">
        <v>866</v>
      </c>
    </row>
    <row r="17" spans="1:26" ht="15" customHeight="1" x14ac:dyDescent="0.2">
      <c r="B17" s="3"/>
    </row>
    <row r="18" spans="1:26" ht="15" customHeight="1" x14ac:dyDescent="0.2">
      <c r="B18" s="3" t="s">
        <v>863</v>
      </c>
    </row>
    <row r="19" spans="1:26" ht="15" customHeight="1" x14ac:dyDescent="0.2">
      <c r="B19" s="3" t="s">
        <v>867</v>
      </c>
    </row>
    <row r="20" spans="1:26" ht="15" customHeight="1" x14ac:dyDescent="0.2">
      <c r="B20" s="764"/>
    </row>
    <row r="21" spans="1:26" ht="15" customHeight="1" x14ac:dyDescent="0.2">
      <c r="A21" s="234" t="s">
        <v>841</v>
      </c>
      <c r="B21" s="234" t="s">
        <v>872</v>
      </c>
    </row>
    <row r="23" spans="1:26" ht="15" customHeight="1" x14ac:dyDescent="0.2">
      <c r="A23" s="234" t="s">
        <v>847</v>
      </c>
      <c r="B23" s="234" t="s">
        <v>854</v>
      </c>
    </row>
    <row r="24" spans="1:26" ht="15" customHeight="1" x14ac:dyDescent="0.2">
      <c r="B24" s="767"/>
    </row>
    <row r="25" spans="1:26" ht="15" customHeight="1" x14ac:dyDescent="0.2">
      <c r="A25" s="234" t="s">
        <v>848</v>
      </c>
      <c r="B25" s="767" t="s">
        <v>853</v>
      </c>
    </row>
    <row r="27" spans="1:26" ht="15" customHeight="1" x14ac:dyDescent="0.2">
      <c r="A27" s="234" t="s">
        <v>849</v>
      </c>
      <c r="B27" s="234" t="s">
        <v>860</v>
      </c>
    </row>
    <row r="28" spans="1:26" ht="15" customHeight="1" x14ac:dyDescent="0.2">
      <c r="B28" s="3" t="s">
        <v>842</v>
      </c>
    </row>
    <row r="29" spans="1:26" ht="15" customHeight="1" x14ac:dyDescent="0.25">
      <c r="B29" s="763" t="s">
        <v>850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6" ht="15" customHeight="1" x14ac:dyDescent="0.25">
      <c r="B30" s="763" t="s">
        <v>851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6" ht="15" customHeight="1" x14ac:dyDescent="0.25">
      <c r="A31" s="763" t="s">
        <v>868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25">
      <c r="A32" s="763" t="s">
        <v>869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25">
      <c r="B33" s="76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25">
      <c r="A34" s="234" t="s">
        <v>873</v>
      </c>
      <c r="B34" s="234" t="s">
        <v>874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25">
      <c r="B35" s="76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2">
      <c r="A36" s="234" t="s">
        <v>859</v>
      </c>
    </row>
    <row r="37" spans="1:26" ht="15" customHeight="1" x14ac:dyDescent="0.2">
      <c r="A37" s="234" t="s">
        <v>825</v>
      </c>
      <c r="C37" s="726"/>
      <c r="D37" s="726"/>
      <c r="E37" s="726"/>
      <c r="F37" s="726"/>
      <c r="G37" s="726"/>
    </row>
    <row r="39" spans="1:26" ht="15" customHeight="1" x14ac:dyDescent="0.25">
      <c r="B39" s="766"/>
      <c r="C39" s="763"/>
    </row>
    <row r="40" spans="1:26" ht="15" customHeight="1" x14ac:dyDescent="0.25">
      <c r="B40" s="764"/>
      <c r="C40" s="763"/>
    </row>
  </sheetData>
  <pageMargins left="0.19685039370078741" right="0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9"/>
  <sheetViews>
    <sheetView workbookViewId="0">
      <pane xSplit="8" ySplit="11" topLeftCell="AK142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O162" sqref="O162"/>
    </sheetView>
  </sheetViews>
  <sheetFormatPr defaultColWidth="9.140625" defaultRowHeight="15" x14ac:dyDescent="0.25"/>
  <cols>
    <col min="1" max="1" width="5" style="336" customWidth="1"/>
    <col min="2" max="2" width="6.140625" style="278" bestFit="1" customWidth="1"/>
    <col min="3" max="3" width="8.7109375" style="395" bestFit="1" customWidth="1"/>
    <col min="4" max="4" width="7.85546875" style="278" bestFit="1" customWidth="1"/>
    <col min="5" max="5" width="27.85546875" style="278" customWidth="1"/>
    <col min="6" max="6" width="4.85546875" style="278" customWidth="1"/>
    <col min="7" max="7" width="10.28515625" style="278" bestFit="1" customWidth="1"/>
    <col min="8" max="8" width="8.7109375" style="278" customWidth="1"/>
    <col min="9" max="14" width="10.42578125" style="342" customWidth="1"/>
    <col min="15" max="15" width="11.42578125" style="343" customWidth="1"/>
    <col min="16" max="17" width="10.42578125" style="343" customWidth="1"/>
    <col min="18" max="21" width="9.140625" style="342" customWidth="1"/>
    <col min="22" max="22" width="10.28515625" style="342" customWidth="1"/>
    <col min="23" max="23" width="9.7109375" style="342" customWidth="1"/>
    <col min="24" max="28" width="9.140625" style="342" customWidth="1"/>
    <col min="29" max="29" width="9.85546875" style="342" customWidth="1"/>
    <col min="30" max="35" width="9.140625" style="342" customWidth="1"/>
    <col min="36" max="46" width="9.140625" style="343" customWidth="1"/>
    <col min="47" max="47" width="10.140625" style="342" customWidth="1"/>
    <col min="48" max="48" width="11.85546875" style="342" customWidth="1"/>
    <col min="49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63" t="s">
        <v>4</v>
      </c>
      <c r="B3" s="863"/>
      <c r="C3" s="863"/>
      <c r="D3" s="863"/>
      <c r="E3" s="863"/>
      <c r="F3" s="277"/>
      <c r="G3" s="277"/>
      <c r="H3" s="277"/>
      <c r="I3" s="769"/>
      <c r="S3" s="699"/>
      <c r="T3" s="699"/>
      <c r="U3" s="699"/>
      <c r="V3" s="769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5.75" customHeight="1" thickBot="1" x14ac:dyDescent="0.3">
      <c r="A9" s="285" t="s">
        <v>813</v>
      </c>
      <c r="B9" s="95"/>
      <c r="C9" s="95"/>
      <c r="D9" s="286"/>
      <c r="E9" s="95"/>
      <c r="F9" s="287"/>
      <c r="G9" s="288"/>
      <c r="H9" s="288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5" customHeight="1" x14ac:dyDescent="0.25">
      <c r="A12" s="298">
        <v>1</v>
      </c>
      <c r="B12" s="345">
        <v>5415</v>
      </c>
      <c r="C12" s="346">
        <v>667000135</v>
      </c>
      <c r="D12" s="345">
        <v>71011170</v>
      </c>
      <c r="E12" s="371" t="s">
        <v>804</v>
      </c>
      <c r="F12" s="345">
        <v>3111</v>
      </c>
      <c r="G12" s="372" t="s">
        <v>325</v>
      </c>
      <c r="H12" s="348" t="s">
        <v>277</v>
      </c>
      <c r="I12" s="455">
        <v>18469473</v>
      </c>
      <c r="J12" s="456">
        <v>13444317</v>
      </c>
      <c r="K12" s="456">
        <v>80000</v>
      </c>
      <c r="L12" s="456">
        <v>4571219</v>
      </c>
      <c r="M12" s="456">
        <v>268887</v>
      </c>
      <c r="N12" s="456">
        <v>105050</v>
      </c>
      <c r="O12" s="457">
        <v>30.3703</v>
      </c>
      <c r="P12" s="458">
        <v>22.45</v>
      </c>
      <c r="Q12" s="482">
        <v>7.9203000000000001</v>
      </c>
      <c r="R12" s="462">
        <f t="shared" ref="R12:R15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5" si="1">SUM(Y12:AA12)</f>
        <v>0</v>
      </c>
      <c r="AC12" s="460">
        <f t="shared" ref="AC12:AC15" si="2">X12+AB12</f>
        <v>0</v>
      </c>
      <c r="AD12" s="151">
        <f t="shared" ref="AD12:AD15" si="3">ROUND((X12+Y12+Z12)*33.8%,0)</f>
        <v>0</v>
      </c>
      <c r="AE12" s="151">
        <f t="shared" ref="AE12:AE15" si="4">ROUND(X12*2%,0)</f>
        <v>0</v>
      </c>
      <c r="AF12" s="460">
        <v>0</v>
      </c>
      <c r="AG12" s="460">
        <v>0</v>
      </c>
      <c r="AH12" s="460">
        <f t="shared" ref="AH12:AH15" si="5">SUM(AF12:AG12)</f>
        <v>0</v>
      </c>
      <c r="AI12" s="460">
        <f t="shared" ref="AI12:AI15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5" si="7">SUM(AR12:AS12)</f>
        <v>0</v>
      </c>
      <c r="AU12" s="459">
        <f>I12+AI12</f>
        <v>18469473</v>
      </c>
      <c r="AV12" s="460">
        <f>J12+X12</f>
        <v>13444317</v>
      </c>
      <c r="AW12" s="460">
        <f>K12+AB12</f>
        <v>80000</v>
      </c>
      <c r="AX12" s="460">
        <f t="shared" ref="AX12:AY15" si="8">L12+AD12</f>
        <v>4571219</v>
      </c>
      <c r="AY12" s="460">
        <f t="shared" si="8"/>
        <v>268887</v>
      </c>
      <c r="AZ12" s="460">
        <f>N12+AH12</f>
        <v>105050</v>
      </c>
      <c r="BA12" s="461">
        <f>O12+AT12</f>
        <v>30.3703</v>
      </c>
      <c r="BB12" s="461">
        <f t="shared" ref="BB12:BC15" si="9">P12+AR12</f>
        <v>22.45</v>
      </c>
      <c r="BC12" s="463">
        <f t="shared" si="9"/>
        <v>7.9203000000000001</v>
      </c>
    </row>
    <row r="13" spans="1:55" ht="13.5" customHeight="1" x14ac:dyDescent="0.25">
      <c r="A13" s="309">
        <v>1</v>
      </c>
      <c r="B13" s="349">
        <v>5415</v>
      </c>
      <c r="C13" s="350">
        <v>667000135</v>
      </c>
      <c r="D13" s="349">
        <v>71011170</v>
      </c>
      <c r="E13" s="371" t="s">
        <v>804</v>
      </c>
      <c r="F13" s="349">
        <v>3111</v>
      </c>
      <c r="G13" s="312" t="s">
        <v>312</v>
      </c>
      <c r="H13" s="312" t="s">
        <v>278</v>
      </c>
      <c r="I13" s="477">
        <v>676975</v>
      </c>
      <c r="J13" s="472">
        <v>498508</v>
      </c>
      <c r="K13" s="472">
        <v>0</v>
      </c>
      <c r="L13" s="472">
        <v>168496</v>
      </c>
      <c r="M13" s="472">
        <v>9971</v>
      </c>
      <c r="N13" s="472">
        <v>0</v>
      </c>
      <c r="O13" s="473">
        <v>1.44</v>
      </c>
      <c r="P13" s="474">
        <v>1.44</v>
      </c>
      <c r="Q13" s="483">
        <v>0</v>
      </c>
      <c r="R13" s="485">
        <f t="shared" si="0"/>
        <v>0</v>
      </c>
      <c r="S13" s="475">
        <v>43306</v>
      </c>
      <c r="T13" s="475">
        <v>0</v>
      </c>
      <c r="U13" s="475">
        <v>0</v>
      </c>
      <c r="V13" s="475">
        <v>0</v>
      </c>
      <c r="W13" s="475">
        <v>0</v>
      </c>
      <c r="X13" s="475">
        <f>SUM(R13:W13)</f>
        <v>43306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43306</v>
      </c>
      <c r="AD13" s="70">
        <f t="shared" si="3"/>
        <v>14637</v>
      </c>
      <c r="AE13" s="70">
        <f t="shared" si="4"/>
        <v>866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58809</v>
      </c>
      <c r="AJ13" s="476">
        <v>0</v>
      </c>
      <c r="AK13" s="476">
        <v>0</v>
      </c>
      <c r="AL13" s="476">
        <v>0.13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476">
        <f>AJ13+AL13+AM13+AO13+AP13</f>
        <v>0.13</v>
      </c>
      <c r="AS13" s="476">
        <f>AK13+AN13+AQ13</f>
        <v>0</v>
      </c>
      <c r="AT13" s="478">
        <f t="shared" si="7"/>
        <v>0.13</v>
      </c>
      <c r="AU13" s="484">
        <f>I13+AI13</f>
        <v>735784</v>
      </c>
      <c r="AV13" s="475">
        <f>J13+X13</f>
        <v>541814</v>
      </c>
      <c r="AW13" s="475">
        <f>K13+AB13</f>
        <v>0</v>
      </c>
      <c r="AX13" s="475">
        <f t="shared" si="8"/>
        <v>183133</v>
      </c>
      <c r="AY13" s="475">
        <f t="shared" si="8"/>
        <v>10837</v>
      </c>
      <c r="AZ13" s="475">
        <f>N13+AH13</f>
        <v>0</v>
      </c>
      <c r="BA13" s="476">
        <f>O13+AT13</f>
        <v>1.5699999999999998</v>
      </c>
      <c r="BB13" s="476">
        <f t="shared" si="9"/>
        <v>1.5699999999999998</v>
      </c>
      <c r="BC13" s="478">
        <f t="shared" si="9"/>
        <v>0</v>
      </c>
    </row>
    <row r="14" spans="1:55" ht="12.95" customHeight="1" x14ac:dyDescent="0.25">
      <c r="A14" s="309">
        <v>1</v>
      </c>
      <c r="B14" s="349">
        <v>5415</v>
      </c>
      <c r="C14" s="350">
        <v>667000135</v>
      </c>
      <c r="D14" s="349">
        <v>71011170</v>
      </c>
      <c r="E14" s="371" t="s">
        <v>804</v>
      </c>
      <c r="F14" s="349">
        <v>3111</v>
      </c>
      <c r="G14" s="314" t="s">
        <v>313</v>
      </c>
      <c r="H14" s="312" t="s">
        <v>277</v>
      </c>
      <c r="I14" s="477">
        <v>556736</v>
      </c>
      <c r="J14" s="472">
        <v>409968</v>
      </c>
      <c r="K14" s="472">
        <v>0</v>
      </c>
      <c r="L14" s="472">
        <v>138569</v>
      </c>
      <c r="M14" s="472">
        <v>8199</v>
      </c>
      <c r="N14" s="472">
        <v>0</v>
      </c>
      <c r="O14" s="473">
        <v>1</v>
      </c>
      <c r="P14" s="474">
        <v>1</v>
      </c>
      <c r="Q14" s="483">
        <v>0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>I14+AI14</f>
        <v>556736</v>
      </c>
      <c r="AV14" s="475">
        <f>J14+X14</f>
        <v>409968</v>
      </c>
      <c r="AW14" s="475">
        <f t="shared" ref="AW14:AW15" si="10">K14+AB14</f>
        <v>0</v>
      </c>
      <c r="AX14" s="475">
        <f t="shared" si="8"/>
        <v>138569</v>
      </c>
      <c r="AY14" s="475">
        <f t="shared" si="8"/>
        <v>8199</v>
      </c>
      <c r="AZ14" s="475">
        <f>N14+AH14</f>
        <v>0</v>
      </c>
      <c r="BA14" s="476">
        <f>O14+AT14</f>
        <v>1</v>
      </c>
      <c r="BB14" s="476">
        <f t="shared" si="9"/>
        <v>1</v>
      </c>
      <c r="BC14" s="478">
        <f t="shared" si="9"/>
        <v>0</v>
      </c>
    </row>
    <row r="15" spans="1:55" ht="12.95" customHeight="1" x14ac:dyDescent="0.25">
      <c r="A15" s="309">
        <v>1</v>
      </c>
      <c r="B15" s="349">
        <v>5415</v>
      </c>
      <c r="C15" s="350">
        <v>667000135</v>
      </c>
      <c r="D15" s="349">
        <v>71011170</v>
      </c>
      <c r="E15" s="371" t="s">
        <v>804</v>
      </c>
      <c r="F15" s="349">
        <v>3141</v>
      </c>
      <c r="G15" s="373" t="s">
        <v>315</v>
      </c>
      <c r="H15" s="312" t="s">
        <v>278</v>
      </c>
      <c r="I15" s="477">
        <v>2643087</v>
      </c>
      <c r="J15" s="472">
        <v>1917122</v>
      </c>
      <c r="K15" s="472">
        <v>20000</v>
      </c>
      <c r="L15" s="472">
        <v>654747</v>
      </c>
      <c r="M15" s="472">
        <v>38342</v>
      </c>
      <c r="N15" s="472">
        <v>12876</v>
      </c>
      <c r="O15" s="473">
        <v>6.11</v>
      </c>
      <c r="P15" s="474">
        <v>0</v>
      </c>
      <c r="Q15" s="483">
        <v>6.11</v>
      </c>
      <c r="R15" s="485">
        <f t="shared" si="0"/>
        <v>0</v>
      </c>
      <c r="S15" s="475">
        <v>0</v>
      </c>
      <c r="T15" s="475">
        <v>-19480</v>
      </c>
      <c r="U15" s="475">
        <v>0</v>
      </c>
      <c r="V15" s="475">
        <v>0</v>
      </c>
      <c r="W15" s="475">
        <v>0</v>
      </c>
      <c r="X15" s="475">
        <f>SUM(R15:W15)</f>
        <v>-19480</v>
      </c>
      <c r="Y15" s="475">
        <v>0</v>
      </c>
      <c r="Z15" s="475">
        <v>0</v>
      </c>
      <c r="AA15" s="475">
        <v>0</v>
      </c>
      <c r="AB15" s="475">
        <f t="shared" si="1"/>
        <v>0</v>
      </c>
      <c r="AC15" s="475">
        <f t="shared" si="2"/>
        <v>-19480</v>
      </c>
      <c r="AD15" s="70">
        <f t="shared" si="3"/>
        <v>-6584</v>
      </c>
      <c r="AE15" s="70">
        <f t="shared" si="4"/>
        <v>-390</v>
      </c>
      <c r="AF15" s="475">
        <v>0</v>
      </c>
      <c r="AG15" s="475">
        <v>0</v>
      </c>
      <c r="AH15" s="475">
        <f t="shared" si="5"/>
        <v>0</v>
      </c>
      <c r="AI15" s="475">
        <f t="shared" si="6"/>
        <v>-26454</v>
      </c>
      <c r="AJ15" s="476">
        <v>0</v>
      </c>
      <c r="AK15" s="476">
        <v>0</v>
      </c>
      <c r="AL15" s="476">
        <v>0</v>
      </c>
      <c r="AM15" s="476">
        <v>0</v>
      </c>
      <c r="AN15" s="476">
        <v>-7.0000000000000007E-2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-7.0000000000000007E-2</v>
      </c>
      <c r="AT15" s="478">
        <f t="shared" si="7"/>
        <v>-7.0000000000000007E-2</v>
      </c>
      <c r="AU15" s="484">
        <f>I15+AI15</f>
        <v>2616633</v>
      </c>
      <c r="AV15" s="475">
        <f>J15+X15</f>
        <v>1897642</v>
      </c>
      <c r="AW15" s="475">
        <f t="shared" si="10"/>
        <v>20000</v>
      </c>
      <c r="AX15" s="475">
        <f t="shared" si="8"/>
        <v>648163</v>
      </c>
      <c r="AY15" s="475">
        <f t="shared" si="8"/>
        <v>37952</v>
      </c>
      <c r="AZ15" s="475">
        <f>N15+AH15</f>
        <v>12876</v>
      </c>
      <c r="BA15" s="476">
        <f>O15+AT15</f>
        <v>6.04</v>
      </c>
      <c r="BB15" s="476">
        <f t="shared" si="9"/>
        <v>0</v>
      </c>
      <c r="BC15" s="478">
        <f t="shared" si="9"/>
        <v>6.04</v>
      </c>
    </row>
    <row r="16" spans="1:55" ht="12.95" customHeight="1" x14ac:dyDescent="0.25">
      <c r="A16" s="319">
        <v>1</v>
      </c>
      <c r="B16" s="303">
        <v>5415</v>
      </c>
      <c r="C16" s="374">
        <v>667000135</v>
      </c>
      <c r="D16" s="303">
        <v>71011170</v>
      </c>
      <c r="E16" s="444" t="s">
        <v>804</v>
      </c>
      <c r="F16" s="303"/>
      <c r="G16" s="375"/>
      <c r="H16" s="376"/>
      <c r="I16" s="560">
        <v>22346271</v>
      </c>
      <c r="J16" s="556">
        <v>16269915</v>
      </c>
      <c r="K16" s="556">
        <v>100000</v>
      </c>
      <c r="L16" s="556">
        <v>5533031</v>
      </c>
      <c r="M16" s="556">
        <v>325399</v>
      </c>
      <c r="N16" s="556">
        <v>117926</v>
      </c>
      <c r="O16" s="557">
        <v>38.920299999999997</v>
      </c>
      <c r="P16" s="557">
        <v>24.89</v>
      </c>
      <c r="Q16" s="562">
        <v>14.0303</v>
      </c>
      <c r="R16" s="560">
        <f t="shared" ref="R16:BC16" si="11">SUM(R12:R15)</f>
        <v>0</v>
      </c>
      <c r="S16" s="556">
        <f t="shared" si="11"/>
        <v>43306</v>
      </c>
      <c r="T16" s="556">
        <f t="shared" si="11"/>
        <v>-19480</v>
      </c>
      <c r="U16" s="556">
        <f t="shared" si="11"/>
        <v>0</v>
      </c>
      <c r="V16" s="556">
        <f t="shared" si="11"/>
        <v>0</v>
      </c>
      <c r="W16" s="556">
        <f t="shared" si="11"/>
        <v>0</v>
      </c>
      <c r="X16" s="556">
        <f t="shared" si="11"/>
        <v>23826</v>
      </c>
      <c r="Y16" s="556">
        <f t="shared" si="11"/>
        <v>0</v>
      </c>
      <c r="Z16" s="556">
        <f t="shared" si="11"/>
        <v>0</v>
      </c>
      <c r="AA16" s="556">
        <f t="shared" si="11"/>
        <v>0</v>
      </c>
      <c r="AB16" s="556">
        <f t="shared" si="11"/>
        <v>0</v>
      </c>
      <c r="AC16" s="556">
        <f t="shared" si="11"/>
        <v>23826</v>
      </c>
      <c r="AD16" s="556">
        <f t="shared" si="11"/>
        <v>8053</v>
      </c>
      <c r="AE16" s="556">
        <f t="shared" si="11"/>
        <v>476</v>
      </c>
      <c r="AF16" s="556">
        <f t="shared" si="11"/>
        <v>0</v>
      </c>
      <c r="AG16" s="556">
        <f t="shared" si="11"/>
        <v>0</v>
      </c>
      <c r="AH16" s="556">
        <f t="shared" si="11"/>
        <v>0</v>
      </c>
      <c r="AI16" s="556">
        <f t="shared" si="11"/>
        <v>32355</v>
      </c>
      <c r="AJ16" s="557">
        <f t="shared" si="11"/>
        <v>0</v>
      </c>
      <c r="AK16" s="557">
        <f t="shared" si="11"/>
        <v>0</v>
      </c>
      <c r="AL16" s="557">
        <f t="shared" si="11"/>
        <v>0.13</v>
      </c>
      <c r="AM16" s="557">
        <f t="shared" si="11"/>
        <v>0</v>
      </c>
      <c r="AN16" s="557">
        <f t="shared" si="11"/>
        <v>-7.0000000000000007E-2</v>
      </c>
      <c r="AO16" s="557">
        <f t="shared" si="11"/>
        <v>0</v>
      </c>
      <c r="AP16" s="557">
        <f t="shared" si="11"/>
        <v>0</v>
      </c>
      <c r="AQ16" s="557">
        <f t="shared" si="11"/>
        <v>0</v>
      </c>
      <c r="AR16" s="557">
        <f t="shared" si="11"/>
        <v>0.13</v>
      </c>
      <c r="AS16" s="557">
        <f t="shared" si="11"/>
        <v>-7.0000000000000007E-2</v>
      </c>
      <c r="AT16" s="307">
        <f t="shared" si="11"/>
        <v>0.06</v>
      </c>
      <c r="AU16" s="564">
        <f t="shared" si="11"/>
        <v>22378626</v>
      </c>
      <c r="AV16" s="556">
        <f t="shared" si="11"/>
        <v>16293741</v>
      </c>
      <c r="AW16" s="556">
        <f t="shared" si="11"/>
        <v>100000</v>
      </c>
      <c r="AX16" s="556">
        <f t="shared" si="11"/>
        <v>5541084</v>
      </c>
      <c r="AY16" s="556">
        <f t="shared" si="11"/>
        <v>325875</v>
      </c>
      <c r="AZ16" s="556">
        <f t="shared" si="11"/>
        <v>117926</v>
      </c>
      <c r="BA16" s="557">
        <f t="shared" si="11"/>
        <v>38.9803</v>
      </c>
      <c r="BB16" s="557">
        <f t="shared" si="11"/>
        <v>25.02</v>
      </c>
      <c r="BC16" s="307">
        <f t="shared" si="11"/>
        <v>13.9603</v>
      </c>
    </row>
    <row r="17" spans="1:55" ht="12.95" customHeight="1" x14ac:dyDescent="0.25">
      <c r="A17" s="309">
        <v>2</v>
      </c>
      <c r="B17" s="349">
        <v>5416</v>
      </c>
      <c r="C17" s="350">
        <v>600099342</v>
      </c>
      <c r="D17" s="349">
        <v>854719</v>
      </c>
      <c r="E17" s="377" t="s">
        <v>432</v>
      </c>
      <c r="F17" s="349">
        <v>3113</v>
      </c>
      <c r="G17" s="373" t="s">
        <v>329</v>
      </c>
      <c r="H17" s="312" t="s">
        <v>277</v>
      </c>
      <c r="I17" s="477">
        <v>22631050</v>
      </c>
      <c r="J17" s="472">
        <v>16139345</v>
      </c>
      <c r="K17" s="472">
        <v>170000</v>
      </c>
      <c r="L17" s="472">
        <v>5512558</v>
      </c>
      <c r="M17" s="472">
        <v>322787</v>
      </c>
      <c r="N17" s="472">
        <v>486360</v>
      </c>
      <c r="O17" s="473">
        <v>28.617900000000006</v>
      </c>
      <c r="P17" s="474">
        <v>22.101699999999997</v>
      </c>
      <c r="Q17" s="483">
        <v>6.5162000000000004</v>
      </c>
      <c r="R17" s="485">
        <f t="shared" ref="R17:R20" si="12">Y17*-1</f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ref="AB17:AB20" si="13">SUM(Y17:AA17)</f>
        <v>0</v>
      </c>
      <c r="AC17" s="475">
        <f t="shared" ref="AC17:AC20" si="14">X17+AB17</f>
        <v>0</v>
      </c>
      <c r="AD17" s="70">
        <f t="shared" ref="AD17:AD20" si="15">ROUND((X17+Y17+Z17)*33.8%,0)</f>
        <v>0</v>
      </c>
      <c r="AE17" s="70">
        <f t="shared" ref="AE17:AE20" si="16">ROUND(X17*2%,0)</f>
        <v>0</v>
      </c>
      <c r="AF17" s="475">
        <v>0</v>
      </c>
      <c r="AG17" s="475">
        <v>0</v>
      </c>
      <c r="AH17" s="475">
        <f t="shared" ref="AH17:AH20" si="17">SUM(AF17:AG17)</f>
        <v>0</v>
      </c>
      <c r="AI17" s="475">
        <f t="shared" ref="AI17:AI20" si="18">AC17+AD17+AE17+AH17</f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ref="AT17:AT20" si="19">SUM(AR17:AS17)</f>
        <v>0</v>
      </c>
      <c r="AU17" s="484">
        <f>I17+AI17</f>
        <v>22631050</v>
      </c>
      <c r="AV17" s="475">
        <f>J17+X17</f>
        <v>16139345</v>
      </c>
      <c r="AW17" s="475">
        <f t="shared" ref="AW17:AW20" si="20">K17+AB17</f>
        <v>170000</v>
      </c>
      <c r="AX17" s="475">
        <f t="shared" ref="AX17:AY20" si="21">L17+AD17</f>
        <v>5512558</v>
      </c>
      <c r="AY17" s="475">
        <f t="shared" si="21"/>
        <v>322787</v>
      </c>
      <c r="AZ17" s="475">
        <f>N17+AH17</f>
        <v>486360</v>
      </c>
      <c r="BA17" s="476">
        <f>O17+AT17</f>
        <v>28.617900000000006</v>
      </c>
      <c r="BB17" s="476">
        <f t="shared" ref="BB17:BC20" si="22">P17+AR17</f>
        <v>22.101699999999997</v>
      </c>
      <c r="BC17" s="478">
        <f t="shared" si="22"/>
        <v>6.5162000000000004</v>
      </c>
    </row>
    <row r="18" spans="1:55" ht="12.95" customHeight="1" x14ac:dyDescent="0.25">
      <c r="A18" s="309">
        <v>2</v>
      </c>
      <c r="B18" s="349">
        <v>5416</v>
      </c>
      <c r="C18" s="350">
        <v>600099342</v>
      </c>
      <c r="D18" s="349">
        <v>854719</v>
      </c>
      <c r="E18" s="377" t="s">
        <v>432</v>
      </c>
      <c r="F18" s="349">
        <v>3113</v>
      </c>
      <c r="G18" s="312" t="s">
        <v>312</v>
      </c>
      <c r="H18" s="312" t="s">
        <v>278</v>
      </c>
      <c r="I18" s="477">
        <v>1367938</v>
      </c>
      <c r="J18" s="472">
        <v>1005662</v>
      </c>
      <c r="K18" s="472">
        <v>0</v>
      </c>
      <c r="L18" s="472">
        <v>339913</v>
      </c>
      <c r="M18" s="472">
        <v>20113</v>
      </c>
      <c r="N18" s="472">
        <v>2250</v>
      </c>
      <c r="O18" s="473">
        <v>2.9</v>
      </c>
      <c r="P18" s="474">
        <v>2.9</v>
      </c>
      <c r="Q18" s="483">
        <v>0</v>
      </c>
      <c r="R18" s="485">
        <f t="shared" si="12"/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13"/>
        <v>0</v>
      </c>
      <c r="AC18" s="475">
        <f t="shared" si="14"/>
        <v>0</v>
      </c>
      <c r="AD18" s="70">
        <f t="shared" si="15"/>
        <v>0</v>
      </c>
      <c r="AE18" s="70">
        <f t="shared" si="16"/>
        <v>0</v>
      </c>
      <c r="AF18" s="475">
        <v>0</v>
      </c>
      <c r="AG18" s="475">
        <v>0</v>
      </c>
      <c r="AH18" s="475">
        <f t="shared" si="17"/>
        <v>0</v>
      </c>
      <c r="AI18" s="475">
        <f t="shared" si="18"/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19"/>
        <v>0</v>
      </c>
      <c r="AU18" s="484">
        <f>I18+AI18</f>
        <v>1367938</v>
      </c>
      <c r="AV18" s="475">
        <f>J18+X18</f>
        <v>1005662</v>
      </c>
      <c r="AW18" s="475">
        <f t="shared" si="20"/>
        <v>0</v>
      </c>
      <c r="AX18" s="475">
        <f t="shared" si="21"/>
        <v>339913</v>
      </c>
      <c r="AY18" s="475">
        <f t="shared" si="21"/>
        <v>20113</v>
      </c>
      <c r="AZ18" s="475">
        <f>N18+AH18</f>
        <v>2250</v>
      </c>
      <c r="BA18" s="476">
        <f>O18+AT18</f>
        <v>2.9</v>
      </c>
      <c r="BB18" s="476">
        <f t="shared" si="22"/>
        <v>2.9</v>
      </c>
      <c r="BC18" s="478">
        <f t="shared" si="22"/>
        <v>0</v>
      </c>
    </row>
    <row r="19" spans="1:55" ht="12.95" customHeight="1" x14ac:dyDescent="0.25">
      <c r="A19" s="309">
        <v>2</v>
      </c>
      <c r="B19" s="349">
        <v>5416</v>
      </c>
      <c r="C19" s="350">
        <v>600099342</v>
      </c>
      <c r="D19" s="349">
        <v>854719</v>
      </c>
      <c r="E19" s="377" t="s">
        <v>432</v>
      </c>
      <c r="F19" s="349">
        <v>3143</v>
      </c>
      <c r="G19" s="312" t="s">
        <v>626</v>
      </c>
      <c r="H19" s="312" t="s">
        <v>277</v>
      </c>
      <c r="I19" s="477">
        <v>1855152</v>
      </c>
      <c r="J19" s="472">
        <v>1366091</v>
      </c>
      <c r="K19" s="472">
        <v>0</v>
      </c>
      <c r="L19" s="472">
        <v>461739</v>
      </c>
      <c r="M19" s="472">
        <v>27322</v>
      </c>
      <c r="N19" s="472">
        <v>0</v>
      </c>
      <c r="O19" s="473">
        <v>2.625</v>
      </c>
      <c r="P19" s="474">
        <v>2.625</v>
      </c>
      <c r="Q19" s="483">
        <v>0</v>
      </c>
      <c r="R19" s="485">
        <f t="shared" si="12"/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>SUM(R19:W19)</f>
        <v>0</v>
      </c>
      <c r="Y19" s="475">
        <v>0</v>
      </c>
      <c r="Z19" s="475">
        <v>0</v>
      </c>
      <c r="AA19" s="475">
        <v>0</v>
      </c>
      <c r="AB19" s="475">
        <f t="shared" si="13"/>
        <v>0</v>
      </c>
      <c r="AC19" s="475">
        <f t="shared" si="14"/>
        <v>0</v>
      </c>
      <c r="AD19" s="70">
        <f t="shared" si="15"/>
        <v>0</v>
      </c>
      <c r="AE19" s="70">
        <f t="shared" si="16"/>
        <v>0</v>
      </c>
      <c r="AF19" s="475">
        <v>0</v>
      </c>
      <c r="AG19" s="475">
        <v>0</v>
      </c>
      <c r="AH19" s="475">
        <f t="shared" si="17"/>
        <v>0</v>
      </c>
      <c r="AI19" s="475">
        <f t="shared" si="18"/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19"/>
        <v>0</v>
      </c>
      <c r="AU19" s="484">
        <f>I19+AI19</f>
        <v>1855152</v>
      </c>
      <c r="AV19" s="475">
        <f>J19+X19</f>
        <v>1366091</v>
      </c>
      <c r="AW19" s="475">
        <f t="shared" si="20"/>
        <v>0</v>
      </c>
      <c r="AX19" s="475">
        <f t="shared" si="21"/>
        <v>461739</v>
      </c>
      <c r="AY19" s="475">
        <f t="shared" si="21"/>
        <v>27322</v>
      </c>
      <c r="AZ19" s="475">
        <f>N19+AH19</f>
        <v>0</v>
      </c>
      <c r="BA19" s="476">
        <f>O19+AT19</f>
        <v>2.625</v>
      </c>
      <c r="BB19" s="476">
        <f t="shared" si="22"/>
        <v>2.625</v>
      </c>
      <c r="BC19" s="478">
        <f t="shared" si="22"/>
        <v>0</v>
      </c>
    </row>
    <row r="20" spans="1:55" ht="12.95" customHeight="1" x14ac:dyDescent="0.25">
      <c r="A20" s="309">
        <v>2</v>
      </c>
      <c r="B20" s="349">
        <v>5416</v>
      </c>
      <c r="C20" s="350">
        <v>600099342</v>
      </c>
      <c r="D20" s="349">
        <v>854719</v>
      </c>
      <c r="E20" s="377" t="s">
        <v>432</v>
      </c>
      <c r="F20" s="349">
        <v>3143</v>
      </c>
      <c r="G20" s="312" t="s">
        <v>627</v>
      </c>
      <c r="H20" s="312" t="s">
        <v>278</v>
      </c>
      <c r="I20" s="477">
        <v>67284</v>
      </c>
      <c r="J20" s="472">
        <v>47580</v>
      </c>
      <c r="K20" s="472">
        <v>0</v>
      </c>
      <c r="L20" s="472">
        <v>16082</v>
      </c>
      <c r="M20" s="472">
        <v>952</v>
      </c>
      <c r="N20" s="472">
        <v>2670</v>
      </c>
      <c r="O20" s="473">
        <v>0.19</v>
      </c>
      <c r="P20" s="474">
        <v>0</v>
      </c>
      <c r="Q20" s="483">
        <v>0.19</v>
      </c>
      <c r="R20" s="485">
        <f t="shared" si="12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13"/>
        <v>0</v>
      </c>
      <c r="AC20" s="475">
        <f t="shared" si="14"/>
        <v>0</v>
      </c>
      <c r="AD20" s="70">
        <f t="shared" si="15"/>
        <v>0</v>
      </c>
      <c r="AE20" s="70">
        <f t="shared" si="16"/>
        <v>0</v>
      </c>
      <c r="AF20" s="475">
        <v>0</v>
      </c>
      <c r="AG20" s="475">
        <v>0</v>
      </c>
      <c r="AH20" s="475">
        <f t="shared" si="17"/>
        <v>0</v>
      </c>
      <c r="AI20" s="475">
        <f t="shared" si="18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19"/>
        <v>0</v>
      </c>
      <c r="AU20" s="484">
        <f>I20+AI20</f>
        <v>67284</v>
      </c>
      <c r="AV20" s="475">
        <f>J20+X20</f>
        <v>47580</v>
      </c>
      <c r="AW20" s="475">
        <f t="shared" si="20"/>
        <v>0</v>
      </c>
      <c r="AX20" s="475">
        <f t="shared" si="21"/>
        <v>16082</v>
      </c>
      <c r="AY20" s="475">
        <f t="shared" si="21"/>
        <v>952</v>
      </c>
      <c r="AZ20" s="475">
        <f>N20+AH20</f>
        <v>2670</v>
      </c>
      <c r="BA20" s="476">
        <f>O20+AT20</f>
        <v>0.19</v>
      </c>
      <c r="BB20" s="476">
        <f t="shared" si="22"/>
        <v>0</v>
      </c>
      <c r="BC20" s="478">
        <f t="shared" si="22"/>
        <v>0.19</v>
      </c>
    </row>
    <row r="21" spans="1:55" ht="12.95" customHeight="1" x14ac:dyDescent="0.25">
      <c r="A21" s="319">
        <v>2</v>
      </c>
      <c r="B21" s="353">
        <v>5416</v>
      </c>
      <c r="C21" s="354">
        <v>600099342</v>
      </c>
      <c r="D21" s="353">
        <v>854719</v>
      </c>
      <c r="E21" s="378" t="s">
        <v>433</v>
      </c>
      <c r="F21" s="353"/>
      <c r="G21" s="379"/>
      <c r="H21" s="380"/>
      <c r="I21" s="560">
        <v>25921424</v>
      </c>
      <c r="J21" s="556">
        <v>18558678</v>
      </c>
      <c r="K21" s="556">
        <v>170000</v>
      </c>
      <c r="L21" s="556">
        <v>6330292</v>
      </c>
      <c r="M21" s="556">
        <v>371174</v>
      </c>
      <c r="N21" s="556">
        <v>491280</v>
      </c>
      <c r="O21" s="557">
        <v>34.332900000000002</v>
      </c>
      <c r="P21" s="557">
        <v>27.626699999999996</v>
      </c>
      <c r="Q21" s="562">
        <v>6.7062000000000008</v>
      </c>
      <c r="R21" s="560">
        <f t="shared" ref="R21:BC21" si="23">SUM(R17:R20)</f>
        <v>0</v>
      </c>
      <c r="S21" s="556">
        <f t="shared" si="23"/>
        <v>0</v>
      </c>
      <c r="T21" s="556">
        <f t="shared" si="23"/>
        <v>0</v>
      </c>
      <c r="U21" s="556">
        <f t="shared" si="23"/>
        <v>0</v>
      </c>
      <c r="V21" s="556">
        <f t="shared" si="23"/>
        <v>0</v>
      </c>
      <c r="W21" s="556">
        <f t="shared" si="23"/>
        <v>0</v>
      </c>
      <c r="X21" s="556">
        <f t="shared" si="23"/>
        <v>0</v>
      </c>
      <c r="Y21" s="556">
        <f t="shared" si="23"/>
        <v>0</v>
      </c>
      <c r="Z21" s="556">
        <f t="shared" si="23"/>
        <v>0</v>
      </c>
      <c r="AA21" s="556">
        <f t="shared" si="23"/>
        <v>0</v>
      </c>
      <c r="AB21" s="556">
        <f t="shared" si="23"/>
        <v>0</v>
      </c>
      <c r="AC21" s="556">
        <f t="shared" si="23"/>
        <v>0</v>
      </c>
      <c r="AD21" s="556">
        <f t="shared" si="23"/>
        <v>0</v>
      </c>
      <c r="AE21" s="556">
        <f t="shared" si="23"/>
        <v>0</v>
      </c>
      <c r="AF21" s="556">
        <f t="shared" si="23"/>
        <v>0</v>
      </c>
      <c r="AG21" s="556">
        <f t="shared" si="23"/>
        <v>0</v>
      </c>
      <c r="AH21" s="556">
        <f t="shared" si="23"/>
        <v>0</v>
      </c>
      <c r="AI21" s="556">
        <f t="shared" si="23"/>
        <v>0</v>
      </c>
      <c r="AJ21" s="557">
        <f t="shared" si="23"/>
        <v>0</v>
      </c>
      <c r="AK21" s="557">
        <f t="shared" si="23"/>
        <v>0</v>
      </c>
      <c r="AL21" s="557">
        <f t="shared" si="23"/>
        <v>0</v>
      </c>
      <c r="AM21" s="557">
        <f t="shared" si="23"/>
        <v>0</v>
      </c>
      <c r="AN21" s="557">
        <f t="shared" si="23"/>
        <v>0</v>
      </c>
      <c r="AO21" s="557">
        <f t="shared" si="23"/>
        <v>0</v>
      </c>
      <c r="AP21" s="557">
        <f t="shared" si="23"/>
        <v>0</v>
      </c>
      <c r="AQ21" s="557">
        <f t="shared" si="23"/>
        <v>0</v>
      </c>
      <c r="AR21" s="557">
        <f t="shared" si="23"/>
        <v>0</v>
      </c>
      <c r="AS21" s="557">
        <f t="shared" si="23"/>
        <v>0</v>
      </c>
      <c r="AT21" s="307">
        <f t="shared" si="23"/>
        <v>0</v>
      </c>
      <c r="AU21" s="564">
        <f t="shared" si="23"/>
        <v>25921424</v>
      </c>
      <c r="AV21" s="556">
        <f t="shared" si="23"/>
        <v>18558678</v>
      </c>
      <c r="AW21" s="556">
        <f t="shared" si="23"/>
        <v>170000</v>
      </c>
      <c r="AX21" s="556">
        <f t="shared" si="23"/>
        <v>6330292</v>
      </c>
      <c r="AY21" s="556">
        <f t="shared" si="23"/>
        <v>371174</v>
      </c>
      <c r="AZ21" s="556">
        <f t="shared" si="23"/>
        <v>491280</v>
      </c>
      <c r="BA21" s="557">
        <f t="shared" si="23"/>
        <v>34.332900000000002</v>
      </c>
      <c r="BB21" s="557">
        <f t="shared" si="23"/>
        <v>27.626699999999996</v>
      </c>
      <c r="BC21" s="307">
        <f t="shared" si="23"/>
        <v>6.7062000000000008</v>
      </c>
    </row>
    <row r="22" spans="1:55" ht="12.95" customHeight="1" x14ac:dyDescent="0.25">
      <c r="A22" s="309">
        <v>3</v>
      </c>
      <c r="B22" s="349">
        <v>5413</v>
      </c>
      <c r="C22" s="350">
        <v>600099334</v>
      </c>
      <c r="D22" s="349">
        <v>854697</v>
      </c>
      <c r="E22" s="377" t="s">
        <v>434</v>
      </c>
      <c r="F22" s="349">
        <v>3113</v>
      </c>
      <c r="G22" s="373" t="s">
        <v>329</v>
      </c>
      <c r="H22" s="312" t="s">
        <v>277</v>
      </c>
      <c r="I22" s="477">
        <v>26062437</v>
      </c>
      <c r="J22" s="472">
        <v>18653304</v>
      </c>
      <c r="K22" s="472">
        <v>150000</v>
      </c>
      <c r="L22" s="472">
        <v>6355517</v>
      </c>
      <c r="M22" s="472">
        <v>373066</v>
      </c>
      <c r="N22" s="472">
        <v>530550</v>
      </c>
      <c r="O22" s="473">
        <v>32.4602</v>
      </c>
      <c r="P22" s="474">
        <v>25.413600000000002</v>
      </c>
      <c r="Q22" s="483">
        <v>7.0465999999999998</v>
      </c>
      <c r="R22" s="485">
        <f t="shared" ref="R22:R26" si="24">Y22*-1</f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ref="AB22:AB26" si="25">SUM(Y22:AA22)</f>
        <v>0</v>
      </c>
      <c r="AC22" s="475">
        <f t="shared" ref="AC22:AC26" si="26">X22+AB22</f>
        <v>0</v>
      </c>
      <c r="AD22" s="70">
        <f t="shared" ref="AD22:AD26" si="27">ROUND((X22+Y22+Z22)*33.8%,0)</f>
        <v>0</v>
      </c>
      <c r="AE22" s="70">
        <f t="shared" ref="AE22:AE26" si="28">ROUND(X22*2%,0)</f>
        <v>0</v>
      </c>
      <c r="AF22" s="475">
        <v>0</v>
      </c>
      <c r="AG22" s="475">
        <v>0</v>
      </c>
      <c r="AH22" s="475">
        <f t="shared" ref="AH22:AH26" si="29">SUM(AF22:AG22)</f>
        <v>0</v>
      </c>
      <c r="AI22" s="475">
        <f t="shared" ref="AI22:AI26" si="30">AC22+AD22+AE22+AH22</f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ref="AT22:AT26" si="31">SUM(AR22:AS22)</f>
        <v>0</v>
      </c>
      <c r="AU22" s="484">
        <f>I22+AI22</f>
        <v>26062437</v>
      </c>
      <c r="AV22" s="475">
        <f>J22+X22</f>
        <v>18653304</v>
      </c>
      <c r="AW22" s="475">
        <f t="shared" ref="AW22:AW26" si="32">K22+AB22</f>
        <v>150000</v>
      </c>
      <c r="AX22" s="475">
        <f t="shared" ref="AX22:AY26" si="33">L22+AD22</f>
        <v>6355517</v>
      </c>
      <c r="AY22" s="475">
        <f t="shared" si="33"/>
        <v>373066</v>
      </c>
      <c r="AZ22" s="475">
        <f>N22+AH22</f>
        <v>530550</v>
      </c>
      <c r="BA22" s="476">
        <f>O22+AT22</f>
        <v>32.4602</v>
      </c>
      <c r="BB22" s="476">
        <f t="shared" ref="BB22:BC26" si="34">P22+AR22</f>
        <v>25.413600000000002</v>
      </c>
      <c r="BC22" s="478">
        <f t="shared" si="34"/>
        <v>7.0465999999999998</v>
      </c>
    </row>
    <row r="23" spans="1:55" ht="12.95" customHeight="1" x14ac:dyDescent="0.25">
      <c r="A23" s="309">
        <v>3</v>
      </c>
      <c r="B23" s="349">
        <v>5413</v>
      </c>
      <c r="C23" s="350">
        <v>600099334</v>
      </c>
      <c r="D23" s="349">
        <v>854697</v>
      </c>
      <c r="E23" s="377" t="s">
        <v>434</v>
      </c>
      <c r="F23" s="349">
        <v>3113</v>
      </c>
      <c r="G23" s="312" t="s">
        <v>312</v>
      </c>
      <c r="H23" s="312" t="s">
        <v>278</v>
      </c>
      <c r="I23" s="477">
        <v>1785054</v>
      </c>
      <c r="J23" s="472">
        <v>1312263</v>
      </c>
      <c r="K23" s="472">
        <v>0</v>
      </c>
      <c r="L23" s="472">
        <v>443545</v>
      </c>
      <c r="M23" s="472">
        <v>26246</v>
      </c>
      <c r="N23" s="472">
        <v>3000</v>
      </c>
      <c r="O23" s="473">
        <v>3.6200000000000006</v>
      </c>
      <c r="P23" s="474">
        <v>3.6200000000000006</v>
      </c>
      <c r="Q23" s="483">
        <v>0</v>
      </c>
      <c r="R23" s="485">
        <f t="shared" si="24"/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si="25"/>
        <v>0</v>
      </c>
      <c r="AC23" s="475">
        <f t="shared" si="26"/>
        <v>0</v>
      </c>
      <c r="AD23" s="70">
        <f t="shared" si="27"/>
        <v>0</v>
      </c>
      <c r="AE23" s="70">
        <f t="shared" si="28"/>
        <v>0</v>
      </c>
      <c r="AF23" s="475">
        <v>0</v>
      </c>
      <c r="AG23" s="475">
        <v>0</v>
      </c>
      <c r="AH23" s="475">
        <f t="shared" si="29"/>
        <v>0</v>
      </c>
      <c r="AI23" s="475">
        <f t="shared" si="30"/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si="31"/>
        <v>0</v>
      </c>
      <c r="AU23" s="484">
        <f>I23+AI23</f>
        <v>1785054</v>
      </c>
      <c r="AV23" s="475">
        <f>J23+X23</f>
        <v>1312263</v>
      </c>
      <c r="AW23" s="475">
        <f t="shared" si="32"/>
        <v>0</v>
      </c>
      <c r="AX23" s="475">
        <f t="shared" si="33"/>
        <v>443545</v>
      </c>
      <c r="AY23" s="475">
        <f t="shared" si="33"/>
        <v>26246</v>
      </c>
      <c r="AZ23" s="475">
        <f>N23+AH23</f>
        <v>3000</v>
      </c>
      <c r="BA23" s="476">
        <f>O23+AT23</f>
        <v>3.6200000000000006</v>
      </c>
      <c r="BB23" s="476">
        <f t="shared" si="34"/>
        <v>3.6200000000000006</v>
      </c>
      <c r="BC23" s="478">
        <f t="shared" si="34"/>
        <v>0</v>
      </c>
    </row>
    <row r="24" spans="1:55" ht="12.95" customHeight="1" x14ac:dyDescent="0.25">
      <c r="A24" s="309">
        <v>3</v>
      </c>
      <c r="B24" s="349">
        <v>5413</v>
      </c>
      <c r="C24" s="350">
        <v>600099334</v>
      </c>
      <c r="D24" s="349">
        <v>854697</v>
      </c>
      <c r="E24" s="377" t="s">
        <v>434</v>
      </c>
      <c r="F24" s="349">
        <v>3143</v>
      </c>
      <c r="G24" s="312" t="s">
        <v>626</v>
      </c>
      <c r="H24" s="312" t="s">
        <v>277</v>
      </c>
      <c r="I24" s="477">
        <v>1976725</v>
      </c>
      <c r="J24" s="472">
        <v>1455615</v>
      </c>
      <c r="K24" s="472">
        <v>0</v>
      </c>
      <c r="L24" s="472">
        <v>491998</v>
      </c>
      <c r="M24" s="472">
        <v>29112</v>
      </c>
      <c r="N24" s="472">
        <v>0</v>
      </c>
      <c r="O24" s="473">
        <v>2.8</v>
      </c>
      <c r="P24" s="474">
        <v>2.8</v>
      </c>
      <c r="Q24" s="483">
        <v>0</v>
      </c>
      <c r="R24" s="485">
        <f t="shared" si="24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25"/>
        <v>0</v>
      </c>
      <c r="AC24" s="475">
        <f t="shared" si="26"/>
        <v>0</v>
      </c>
      <c r="AD24" s="70">
        <f t="shared" si="27"/>
        <v>0</v>
      </c>
      <c r="AE24" s="70">
        <f t="shared" si="28"/>
        <v>0</v>
      </c>
      <c r="AF24" s="475">
        <v>0</v>
      </c>
      <c r="AG24" s="475">
        <v>0</v>
      </c>
      <c r="AH24" s="475">
        <f t="shared" si="29"/>
        <v>0</v>
      </c>
      <c r="AI24" s="475">
        <f t="shared" si="30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31"/>
        <v>0</v>
      </c>
      <c r="AU24" s="484">
        <f>I24+AI24</f>
        <v>1976725</v>
      </c>
      <c r="AV24" s="475">
        <f>J24+X24</f>
        <v>1455615</v>
      </c>
      <c r="AW24" s="475">
        <f t="shared" si="32"/>
        <v>0</v>
      </c>
      <c r="AX24" s="475">
        <f t="shared" si="33"/>
        <v>491998</v>
      </c>
      <c r="AY24" s="475">
        <f t="shared" si="33"/>
        <v>29112</v>
      </c>
      <c r="AZ24" s="475">
        <f>N24+AH24</f>
        <v>0</v>
      </c>
      <c r="BA24" s="476">
        <f>O24+AT24</f>
        <v>2.8</v>
      </c>
      <c r="BB24" s="476">
        <f t="shared" si="34"/>
        <v>2.8</v>
      </c>
      <c r="BC24" s="478">
        <f t="shared" si="34"/>
        <v>0</v>
      </c>
    </row>
    <row r="25" spans="1:55" ht="12.95" customHeight="1" x14ac:dyDescent="0.25">
      <c r="A25" s="309">
        <v>3</v>
      </c>
      <c r="B25" s="349">
        <v>5413</v>
      </c>
      <c r="C25" s="350">
        <v>600099334</v>
      </c>
      <c r="D25" s="349">
        <v>854697</v>
      </c>
      <c r="E25" s="377" t="s">
        <v>434</v>
      </c>
      <c r="F25" s="349">
        <v>3143</v>
      </c>
      <c r="G25" s="312" t="s">
        <v>627</v>
      </c>
      <c r="H25" s="312" t="s">
        <v>278</v>
      </c>
      <c r="I25" s="477">
        <v>65772</v>
      </c>
      <c r="J25" s="472">
        <v>46511</v>
      </c>
      <c r="K25" s="472">
        <v>0</v>
      </c>
      <c r="L25" s="472">
        <v>15721</v>
      </c>
      <c r="M25" s="472">
        <v>930</v>
      </c>
      <c r="N25" s="472">
        <v>2610</v>
      </c>
      <c r="O25" s="473">
        <v>0.18</v>
      </c>
      <c r="P25" s="474">
        <v>0</v>
      </c>
      <c r="Q25" s="483">
        <v>0.18</v>
      </c>
      <c r="R25" s="485">
        <f t="shared" si="24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25"/>
        <v>0</v>
      </c>
      <c r="AC25" s="475">
        <f t="shared" si="26"/>
        <v>0</v>
      </c>
      <c r="AD25" s="70">
        <f t="shared" si="27"/>
        <v>0</v>
      </c>
      <c r="AE25" s="70">
        <f t="shared" si="28"/>
        <v>0</v>
      </c>
      <c r="AF25" s="475">
        <v>0</v>
      </c>
      <c r="AG25" s="475">
        <v>0</v>
      </c>
      <c r="AH25" s="475">
        <f t="shared" si="29"/>
        <v>0</v>
      </c>
      <c r="AI25" s="475">
        <f t="shared" si="30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31"/>
        <v>0</v>
      </c>
      <c r="AU25" s="484">
        <f>I25+AI25</f>
        <v>65772</v>
      </c>
      <c r="AV25" s="475">
        <f>J25+X25</f>
        <v>46511</v>
      </c>
      <c r="AW25" s="475">
        <f t="shared" si="32"/>
        <v>0</v>
      </c>
      <c r="AX25" s="475">
        <f t="shared" si="33"/>
        <v>15721</v>
      </c>
      <c r="AY25" s="475">
        <f t="shared" si="33"/>
        <v>930</v>
      </c>
      <c r="AZ25" s="475">
        <f>N25+AH25</f>
        <v>2610</v>
      </c>
      <c r="BA25" s="476">
        <f>O25+AT25</f>
        <v>0.18</v>
      </c>
      <c r="BB25" s="476">
        <f t="shared" si="34"/>
        <v>0</v>
      </c>
      <c r="BC25" s="478">
        <f t="shared" si="34"/>
        <v>0.18</v>
      </c>
    </row>
    <row r="26" spans="1:55" ht="12.95" customHeight="1" x14ac:dyDescent="0.25">
      <c r="A26" s="309">
        <v>3</v>
      </c>
      <c r="B26" s="349">
        <v>5413</v>
      </c>
      <c r="C26" s="350">
        <v>600099334</v>
      </c>
      <c r="D26" s="349">
        <v>854697</v>
      </c>
      <c r="E26" s="377" t="s">
        <v>434</v>
      </c>
      <c r="F26" s="349">
        <v>3143</v>
      </c>
      <c r="G26" s="373" t="s">
        <v>435</v>
      </c>
      <c r="H26" s="312" t="s">
        <v>278</v>
      </c>
      <c r="I26" s="477">
        <v>365345</v>
      </c>
      <c r="J26" s="472">
        <v>267721</v>
      </c>
      <c r="K26" s="472">
        <v>0</v>
      </c>
      <c r="L26" s="472">
        <v>90490</v>
      </c>
      <c r="M26" s="472">
        <v>5354</v>
      </c>
      <c r="N26" s="472">
        <v>1780</v>
      </c>
      <c r="O26" s="473">
        <v>0.64</v>
      </c>
      <c r="P26" s="474">
        <v>0.45</v>
      </c>
      <c r="Q26" s="483">
        <v>0.19</v>
      </c>
      <c r="R26" s="485">
        <f t="shared" si="24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25"/>
        <v>0</v>
      </c>
      <c r="AC26" s="475">
        <f t="shared" si="26"/>
        <v>0</v>
      </c>
      <c r="AD26" s="70">
        <f t="shared" si="27"/>
        <v>0</v>
      </c>
      <c r="AE26" s="70">
        <f t="shared" si="28"/>
        <v>0</v>
      </c>
      <c r="AF26" s="475">
        <v>0</v>
      </c>
      <c r="AG26" s="475">
        <v>0</v>
      </c>
      <c r="AH26" s="475">
        <f t="shared" si="29"/>
        <v>0</v>
      </c>
      <c r="AI26" s="475">
        <f t="shared" si="30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31"/>
        <v>0</v>
      </c>
      <c r="AU26" s="484">
        <f>I26+AI26</f>
        <v>365345</v>
      </c>
      <c r="AV26" s="475">
        <f>J26+X26</f>
        <v>267721</v>
      </c>
      <c r="AW26" s="475">
        <f t="shared" si="32"/>
        <v>0</v>
      </c>
      <c r="AX26" s="475">
        <f t="shared" si="33"/>
        <v>90490</v>
      </c>
      <c r="AY26" s="475">
        <f t="shared" si="33"/>
        <v>5354</v>
      </c>
      <c r="AZ26" s="475">
        <f>N26+AH26</f>
        <v>1780</v>
      </c>
      <c r="BA26" s="476">
        <f>O26+AT26</f>
        <v>0.64</v>
      </c>
      <c r="BB26" s="476">
        <f t="shared" si="34"/>
        <v>0.45</v>
      </c>
      <c r="BC26" s="478">
        <f t="shared" si="34"/>
        <v>0.19</v>
      </c>
    </row>
    <row r="27" spans="1:55" ht="12.95" customHeight="1" x14ac:dyDescent="0.25">
      <c r="A27" s="319">
        <v>3</v>
      </c>
      <c r="B27" s="353">
        <v>5413</v>
      </c>
      <c r="C27" s="354">
        <v>600099334</v>
      </c>
      <c r="D27" s="353">
        <v>854697</v>
      </c>
      <c r="E27" s="378" t="s">
        <v>436</v>
      </c>
      <c r="F27" s="353"/>
      <c r="G27" s="379"/>
      <c r="H27" s="380"/>
      <c r="I27" s="560">
        <v>30255333</v>
      </c>
      <c r="J27" s="556">
        <v>21735414</v>
      </c>
      <c r="K27" s="556">
        <v>150000</v>
      </c>
      <c r="L27" s="556">
        <v>7397271</v>
      </c>
      <c r="M27" s="556">
        <v>434708</v>
      </c>
      <c r="N27" s="556">
        <v>537940</v>
      </c>
      <c r="O27" s="557">
        <v>39.700199999999995</v>
      </c>
      <c r="P27" s="557">
        <v>32.283600000000007</v>
      </c>
      <c r="Q27" s="562">
        <v>7.4165999999999999</v>
      </c>
      <c r="R27" s="560">
        <f t="shared" ref="R27:BC27" si="35">SUM(R22:R26)</f>
        <v>0</v>
      </c>
      <c r="S27" s="556">
        <f t="shared" si="35"/>
        <v>0</v>
      </c>
      <c r="T27" s="556">
        <f t="shared" si="35"/>
        <v>0</v>
      </c>
      <c r="U27" s="556">
        <f t="shared" si="35"/>
        <v>0</v>
      </c>
      <c r="V27" s="556">
        <f t="shared" si="35"/>
        <v>0</v>
      </c>
      <c r="W27" s="556">
        <f t="shared" si="35"/>
        <v>0</v>
      </c>
      <c r="X27" s="556">
        <f t="shared" si="35"/>
        <v>0</v>
      </c>
      <c r="Y27" s="556">
        <f t="shared" si="35"/>
        <v>0</v>
      </c>
      <c r="Z27" s="556">
        <f t="shared" si="35"/>
        <v>0</v>
      </c>
      <c r="AA27" s="556">
        <f t="shared" si="35"/>
        <v>0</v>
      </c>
      <c r="AB27" s="556">
        <f t="shared" si="35"/>
        <v>0</v>
      </c>
      <c r="AC27" s="556">
        <f t="shared" si="35"/>
        <v>0</v>
      </c>
      <c r="AD27" s="556">
        <f t="shared" si="35"/>
        <v>0</v>
      </c>
      <c r="AE27" s="556">
        <f t="shared" si="35"/>
        <v>0</v>
      </c>
      <c r="AF27" s="556">
        <f t="shared" si="35"/>
        <v>0</v>
      </c>
      <c r="AG27" s="556">
        <f t="shared" si="35"/>
        <v>0</v>
      </c>
      <c r="AH27" s="556">
        <f t="shared" si="35"/>
        <v>0</v>
      </c>
      <c r="AI27" s="556">
        <f t="shared" si="35"/>
        <v>0</v>
      </c>
      <c r="AJ27" s="557">
        <f t="shared" si="35"/>
        <v>0</v>
      </c>
      <c r="AK27" s="557">
        <f t="shared" si="35"/>
        <v>0</v>
      </c>
      <c r="AL27" s="557">
        <f t="shared" si="35"/>
        <v>0</v>
      </c>
      <c r="AM27" s="557">
        <f t="shared" si="35"/>
        <v>0</v>
      </c>
      <c r="AN27" s="557">
        <f t="shared" si="35"/>
        <v>0</v>
      </c>
      <c r="AO27" s="557">
        <f t="shared" si="35"/>
        <v>0</v>
      </c>
      <c r="AP27" s="557">
        <f t="shared" si="35"/>
        <v>0</v>
      </c>
      <c r="AQ27" s="557">
        <f t="shared" si="35"/>
        <v>0</v>
      </c>
      <c r="AR27" s="557">
        <f t="shared" si="35"/>
        <v>0</v>
      </c>
      <c r="AS27" s="557">
        <f t="shared" si="35"/>
        <v>0</v>
      </c>
      <c r="AT27" s="307">
        <f t="shared" si="35"/>
        <v>0</v>
      </c>
      <c r="AU27" s="564">
        <f t="shared" si="35"/>
        <v>30255333</v>
      </c>
      <c r="AV27" s="556">
        <f t="shared" si="35"/>
        <v>21735414</v>
      </c>
      <c r="AW27" s="556">
        <f t="shared" si="35"/>
        <v>150000</v>
      </c>
      <c r="AX27" s="556">
        <f t="shared" si="35"/>
        <v>7397271</v>
      </c>
      <c r="AY27" s="556">
        <f t="shared" si="35"/>
        <v>434708</v>
      </c>
      <c r="AZ27" s="556">
        <f t="shared" si="35"/>
        <v>537940</v>
      </c>
      <c r="BA27" s="557">
        <f t="shared" si="35"/>
        <v>39.700199999999995</v>
      </c>
      <c r="BB27" s="557">
        <f t="shared" si="35"/>
        <v>32.283600000000007</v>
      </c>
      <c r="BC27" s="307">
        <f t="shared" si="35"/>
        <v>7.4165999999999999</v>
      </c>
    </row>
    <row r="28" spans="1:55" ht="12.95" customHeight="1" x14ac:dyDescent="0.25">
      <c r="A28" s="309">
        <v>4</v>
      </c>
      <c r="B28" s="349">
        <v>5475</v>
      </c>
      <c r="C28" s="350">
        <v>600099385</v>
      </c>
      <c r="D28" s="349">
        <v>854735</v>
      </c>
      <c r="E28" s="377" t="s">
        <v>437</v>
      </c>
      <c r="F28" s="349">
        <v>3231</v>
      </c>
      <c r="G28" s="373" t="s">
        <v>418</v>
      </c>
      <c r="H28" s="312" t="s">
        <v>277</v>
      </c>
      <c r="I28" s="477">
        <v>13331011</v>
      </c>
      <c r="J28" s="472">
        <v>9746606</v>
      </c>
      <c r="K28" s="472">
        <v>38300</v>
      </c>
      <c r="L28" s="472">
        <v>3307298</v>
      </c>
      <c r="M28" s="472">
        <v>194932</v>
      </c>
      <c r="N28" s="472">
        <v>43875</v>
      </c>
      <c r="O28" s="473">
        <v>17.829099999999997</v>
      </c>
      <c r="P28" s="474">
        <v>16.1372</v>
      </c>
      <c r="Q28" s="483">
        <v>1.6919</v>
      </c>
      <c r="R28" s="485">
        <f t="shared" ref="R28" si="36">Y28*-1</f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ref="AB28" si="37">SUM(Y28:AA28)</f>
        <v>0</v>
      </c>
      <c r="AC28" s="475">
        <f t="shared" ref="AC28" si="38">X28+AB28</f>
        <v>0</v>
      </c>
      <c r="AD28" s="70">
        <f t="shared" ref="AD28" si="39">ROUND((X28+Y28+Z28)*33.8%,0)</f>
        <v>0</v>
      </c>
      <c r="AE28" s="70">
        <f t="shared" ref="AE28" si="40">ROUND(X28*2%,0)</f>
        <v>0</v>
      </c>
      <c r="AF28" s="475">
        <v>0</v>
      </c>
      <c r="AG28" s="475">
        <v>0</v>
      </c>
      <c r="AH28" s="475">
        <f t="shared" ref="AH28" si="41">SUM(AF28:AG28)</f>
        <v>0</v>
      </c>
      <c r="AI28" s="475">
        <f t="shared" ref="AI28" si="42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ref="AT28" si="43">SUM(AR28:AS28)</f>
        <v>0</v>
      </c>
      <c r="AU28" s="484">
        <f>I28+AI28</f>
        <v>13331011</v>
      </c>
      <c r="AV28" s="475">
        <f>J28+X28</f>
        <v>9746606</v>
      </c>
      <c r="AW28" s="475">
        <f>K28+AB28</f>
        <v>38300</v>
      </c>
      <c r="AX28" s="475">
        <f>L28+AD28</f>
        <v>3307298</v>
      </c>
      <c r="AY28" s="475">
        <f>M28+AE28</f>
        <v>194932</v>
      </c>
      <c r="AZ28" s="475">
        <f>N28+AH28</f>
        <v>43875</v>
      </c>
      <c r="BA28" s="476">
        <f>O28+AT28</f>
        <v>17.829099999999997</v>
      </c>
      <c r="BB28" s="476">
        <f>P28+AR28</f>
        <v>16.1372</v>
      </c>
      <c r="BC28" s="478">
        <f>Q28+AS28</f>
        <v>1.6919</v>
      </c>
    </row>
    <row r="29" spans="1:55" ht="12.95" customHeight="1" x14ac:dyDescent="0.25">
      <c r="A29" s="319">
        <v>4</v>
      </c>
      <c r="B29" s="353">
        <v>5475</v>
      </c>
      <c r="C29" s="354">
        <v>600099385</v>
      </c>
      <c r="D29" s="353">
        <v>854735</v>
      </c>
      <c r="E29" s="378" t="s">
        <v>438</v>
      </c>
      <c r="F29" s="353"/>
      <c r="G29" s="379"/>
      <c r="H29" s="380"/>
      <c r="I29" s="560">
        <v>13331011</v>
      </c>
      <c r="J29" s="556">
        <v>9746606</v>
      </c>
      <c r="K29" s="556">
        <v>38300</v>
      </c>
      <c r="L29" s="556">
        <v>3307298</v>
      </c>
      <c r="M29" s="556">
        <v>194932</v>
      </c>
      <c r="N29" s="556">
        <v>43875</v>
      </c>
      <c r="O29" s="557">
        <v>17.829099999999997</v>
      </c>
      <c r="P29" s="557">
        <v>16.1372</v>
      </c>
      <c r="Q29" s="562">
        <v>1.6919</v>
      </c>
      <c r="R29" s="560">
        <f t="shared" ref="R29:BC29" si="44">SUM(R28)</f>
        <v>0</v>
      </c>
      <c r="S29" s="556">
        <f t="shared" si="44"/>
        <v>0</v>
      </c>
      <c r="T29" s="556">
        <f t="shared" si="44"/>
        <v>0</v>
      </c>
      <c r="U29" s="556">
        <f t="shared" si="44"/>
        <v>0</v>
      </c>
      <c r="V29" s="556">
        <f t="shared" si="44"/>
        <v>0</v>
      </c>
      <c r="W29" s="556">
        <f t="shared" si="44"/>
        <v>0</v>
      </c>
      <c r="X29" s="556">
        <f t="shared" si="44"/>
        <v>0</v>
      </c>
      <c r="Y29" s="556">
        <f t="shared" si="44"/>
        <v>0</v>
      </c>
      <c r="Z29" s="556">
        <f t="shared" si="44"/>
        <v>0</v>
      </c>
      <c r="AA29" s="556">
        <f t="shared" si="44"/>
        <v>0</v>
      </c>
      <c r="AB29" s="556">
        <f t="shared" si="44"/>
        <v>0</v>
      </c>
      <c r="AC29" s="556">
        <f t="shared" si="44"/>
        <v>0</v>
      </c>
      <c r="AD29" s="556">
        <f t="shared" si="44"/>
        <v>0</v>
      </c>
      <c r="AE29" s="556">
        <f t="shared" si="44"/>
        <v>0</v>
      </c>
      <c r="AF29" s="556">
        <f t="shared" si="44"/>
        <v>0</v>
      </c>
      <c r="AG29" s="556">
        <f t="shared" si="44"/>
        <v>0</v>
      </c>
      <c r="AH29" s="556">
        <f t="shared" si="44"/>
        <v>0</v>
      </c>
      <c r="AI29" s="556">
        <f t="shared" si="44"/>
        <v>0</v>
      </c>
      <c r="AJ29" s="557">
        <f t="shared" si="44"/>
        <v>0</v>
      </c>
      <c r="AK29" s="557">
        <f t="shared" si="44"/>
        <v>0</v>
      </c>
      <c r="AL29" s="557">
        <f t="shared" si="44"/>
        <v>0</v>
      </c>
      <c r="AM29" s="557">
        <f t="shared" si="44"/>
        <v>0</v>
      </c>
      <c r="AN29" s="557">
        <f t="shared" si="44"/>
        <v>0</v>
      </c>
      <c r="AO29" s="557">
        <f t="shared" si="44"/>
        <v>0</v>
      </c>
      <c r="AP29" s="557">
        <f t="shared" si="44"/>
        <v>0</v>
      </c>
      <c r="AQ29" s="557">
        <f t="shared" si="44"/>
        <v>0</v>
      </c>
      <c r="AR29" s="557">
        <f t="shared" si="44"/>
        <v>0</v>
      </c>
      <c r="AS29" s="557">
        <f t="shared" si="44"/>
        <v>0</v>
      </c>
      <c r="AT29" s="307">
        <f t="shared" si="44"/>
        <v>0</v>
      </c>
      <c r="AU29" s="564">
        <f t="shared" si="44"/>
        <v>13331011</v>
      </c>
      <c r="AV29" s="556">
        <f t="shared" si="44"/>
        <v>9746606</v>
      </c>
      <c r="AW29" s="556">
        <f t="shared" si="44"/>
        <v>38300</v>
      </c>
      <c r="AX29" s="556">
        <f t="shared" si="44"/>
        <v>3307298</v>
      </c>
      <c r="AY29" s="556">
        <f t="shared" si="44"/>
        <v>194932</v>
      </c>
      <c r="AZ29" s="556">
        <f t="shared" si="44"/>
        <v>43875</v>
      </c>
      <c r="BA29" s="557">
        <f t="shared" si="44"/>
        <v>17.829099999999997</v>
      </c>
      <c r="BB29" s="557">
        <f t="shared" si="44"/>
        <v>16.1372</v>
      </c>
      <c r="BC29" s="307">
        <f t="shared" si="44"/>
        <v>1.6919</v>
      </c>
    </row>
    <row r="30" spans="1:55" ht="12.95" customHeight="1" x14ac:dyDescent="0.25">
      <c r="A30" s="309">
        <v>5</v>
      </c>
      <c r="B30" s="349">
        <v>5401</v>
      </c>
      <c r="C30" s="350">
        <v>600098397</v>
      </c>
      <c r="D30" s="349">
        <v>70983615</v>
      </c>
      <c r="E30" s="377" t="s">
        <v>439</v>
      </c>
      <c r="F30" s="349">
        <v>3111</v>
      </c>
      <c r="G30" s="373" t="s">
        <v>325</v>
      </c>
      <c r="H30" s="312" t="s">
        <v>277</v>
      </c>
      <c r="I30" s="477">
        <v>1053592</v>
      </c>
      <c r="J30" s="472">
        <v>757251</v>
      </c>
      <c r="K30" s="472">
        <v>19500</v>
      </c>
      <c r="L30" s="472">
        <v>255963</v>
      </c>
      <c r="M30" s="472">
        <v>15145</v>
      </c>
      <c r="N30" s="472">
        <v>5733</v>
      </c>
      <c r="O30" s="473">
        <v>1.0949</v>
      </c>
      <c r="P30" s="474">
        <v>0.84000000000000008</v>
      </c>
      <c r="Q30" s="483">
        <v>0.25489999999999996</v>
      </c>
      <c r="R30" s="485">
        <f t="shared" ref="R30:R31" si="45">Y30*-1</f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ref="AB30:AB31" si="46">SUM(Y30:AA30)</f>
        <v>0</v>
      </c>
      <c r="AC30" s="475">
        <f t="shared" ref="AC30:AC31" si="47">X30+AB30</f>
        <v>0</v>
      </c>
      <c r="AD30" s="70">
        <f t="shared" ref="AD30:AD31" si="48">ROUND((X30+Y30+Z30)*33.8%,0)</f>
        <v>0</v>
      </c>
      <c r="AE30" s="70">
        <f t="shared" ref="AE30:AE31" si="49">ROUND(X30*2%,0)</f>
        <v>0</v>
      </c>
      <c r="AF30" s="475">
        <v>0</v>
      </c>
      <c r="AG30" s="475">
        <v>0</v>
      </c>
      <c r="AH30" s="475">
        <f t="shared" ref="AH30:AH31" si="50">SUM(AF30:AG30)</f>
        <v>0</v>
      </c>
      <c r="AI30" s="475">
        <f t="shared" ref="AI30:AI31" si="51">AC30+AD30+AE30+AH30</f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ref="AT30:AT31" si="52">SUM(AR30:AS30)</f>
        <v>0</v>
      </c>
      <c r="AU30" s="484">
        <f>I30+AI30</f>
        <v>1053592</v>
      </c>
      <c r="AV30" s="475">
        <f>J30+X30</f>
        <v>757251</v>
      </c>
      <c r="AW30" s="475">
        <f t="shared" ref="AW30:AW31" si="53">K30+AB30</f>
        <v>19500</v>
      </c>
      <c r="AX30" s="475">
        <f>L30+AD30</f>
        <v>255963</v>
      </c>
      <c r="AY30" s="475">
        <f>M30+AE30</f>
        <v>15145</v>
      </c>
      <c r="AZ30" s="475">
        <f>N30+AH30</f>
        <v>5733</v>
      </c>
      <c r="BA30" s="476">
        <f>O30+AT30</f>
        <v>1.0949</v>
      </c>
      <c r="BB30" s="476">
        <f>P30+AR30</f>
        <v>0.84000000000000008</v>
      </c>
      <c r="BC30" s="478">
        <f>Q30+AS30</f>
        <v>0.25489999999999996</v>
      </c>
    </row>
    <row r="31" spans="1:55" ht="12.95" customHeight="1" x14ac:dyDescent="0.25">
      <c r="A31" s="309">
        <v>5</v>
      </c>
      <c r="B31" s="349">
        <v>5401</v>
      </c>
      <c r="C31" s="350">
        <v>600098397</v>
      </c>
      <c r="D31" s="349">
        <v>70983615</v>
      </c>
      <c r="E31" s="377" t="s">
        <v>439</v>
      </c>
      <c r="F31" s="349">
        <v>3141</v>
      </c>
      <c r="G31" s="373" t="s">
        <v>315</v>
      </c>
      <c r="H31" s="312" t="s">
        <v>278</v>
      </c>
      <c r="I31" s="477">
        <v>43509</v>
      </c>
      <c r="J31" s="472">
        <v>33659</v>
      </c>
      <c r="K31" s="472">
        <v>0</v>
      </c>
      <c r="L31" s="472">
        <v>9036</v>
      </c>
      <c r="M31" s="472">
        <v>673</v>
      </c>
      <c r="N31" s="472">
        <v>141</v>
      </c>
      <c r="O31" s="473">
        <v>0.21000000000000002</v>
      </c>
      <c r="P31" s="474">
        <v>0</v>
      </c>
      <c r="Q31" s="483">
        <v>0.21000000000000002</v>
      </c>
      <c r="R31" s="485">
        <f t="shared" si="45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si="46"/>
        <v>0</v>
      </c>
      <c r="AC31" s="475">
        <f t="shared" si="47"/>
        <v>0</v>
      </c>
      <c r="AD31" s="70">
        <f t="shared" si="48"/>
        <v>0</v>
      </c>
      <c r="AE31" s="70">
        <f t="shared" si="49"/>
        <v>0</v>
      </c>
      <c r="AF31" s="475">
        <v>0</v>
      </c>
      <c r="AG31" s="475">
        <v>0</v>
      </c>
      <c r="AH31" s="475">
        <f t="shared" si="50"/>
        <v>0</v>
      </c>
      <c r="AI31" s="475">
        <f t="shared" si="51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si="52"/>
        <v>0</v>
      </c>
      <c r="AU31" s="484">
        <f>I31+AI31</f>
        <v>43509</v>
      </c>
      <c r="AV31" s="475">
        <f>J31+X31</f>
        <v>33659</v>
      </c>
      <c r="AW31" s="475">
        <f t="shared" si="53"/>
        <v>0</v>
      </c>
      <c r="AX31" s="475">
        <f>L31+AD31</f>
        <v>9036</v>
      </c>
      <c r="AY31" s="475">
        <f>M31+AE31</f>
        <v>673</v>
      </c>
      <c r="AZ31" s="475">
        <f>N31+AH31</f>
        <v>141</v>
      </c>
      <c r="BA31" s="476">
        <f>O31+AT31</f>
        <v>0.21000000000000002</v>
      </c>
      <c r="BB31" s="476">
        <f>P31+AR31</f>
        <v>0</v>
      </c>
      <c r="BC31" s="478">
        <f>Q31+AS31</f>
        <v>0.21000000000000002</v>
      </c>
    </row>
    <row r="32" spans="1:55" ht="12.95" customHeight="1" x14ac:dyDescent="0.25">
      <c r="A32" s="319">
        <v>5</v>
      </c>
      <c r="B32" s="353">
        <v>5401</v>
      </c>
      <c r="C32" s="354">
        <v>600098397</v>
      </c>
      <c r="D32" s="353">
        <v>70983615</v>
      </c>
      <c r="E32" s="378" t="s">
        <v>440</v>
      </c>
      <c r="F32" s="353"/>
      <c r="G32" s="379"/>
      <c r="H32" s="380"/>
      <c r="I32" s="560">
        <v>1097101</v>
      </c>
      <c r="J32" s="556">
        <v>790910</v>
      </c>
      <c r="K32" s="556">
        <v>19500</v>
      </c>
      <c r="L32" s="556">
        <v>264999</v>
      </c>
      <c r="M32" s="556">
        <v>15818</v>
      </c>
      <c r="N32" s="556">
        <v>5874</v>
      </c>
      <c r="O32" s="557">
        <v>1.3048999999999999</v>
      </c>
      <c r="P32" s="557">
        <v>0.84000000000000008</v>
      </c>
      <c r="Q32" s="562">
        <v>0.46489999999999998</v>
      </c>
      <c r="R32" s="560">
        <f t="shared" ref="R32:BC32" si="54">SUM(R30:R31)</f>
        <v>0</v>
      </c>
      <c r="S32" s="556">
        <f t="shared" si="54"/>
        <v>0</v>
      </c>
      <c r="T32" s="556">
        <f t="shared" si="54"/>
        <v>0</v>
      </c>
      <c r="U32" s="556">
        <f t="shared" si="54"/>
        <v>0</v>
      </c>
      <c r="V32" s="556">
        <f t="shared" si="54"/>
        <v>0</v>
      </c>
      <c r="W32" s="556">
        <f t="shared" si="54"/>
        <v>0</v>
      </c>
      <c r="X32" s="556">
        <f t="shared" si="54"/>
        <v>0</v>
      </c>
      <c r="Y32" s="556">
        <f t="shared" si="54"/>
        <v>0</v>
      </c>
      <c r="Z32" s="556">
        <f t="shared" si="54"/>
        <v>0</v>
      </c>
      <c r="AA32" s="556">
        <f t="shared" si="54"/>
        <v>0</v>
      </c>
      <c r="AB32" s="556">
        <f t="shared" si="54"/>
        <v>0</v>
      </c>
      <c r="AC32" s="556">
        <f t="shared" si="54"/>
        <v>0</v>
      </c>
      <c r="AD32" s="556">
        <f t="shared" si="54"/>
        <v>0</v>
      </c>
      <c r="AE32" s="556">
        <f t="shared" si="54"/>
        <v>0</v>
      </c>
      <c r="AF32" s="556">
        <f t="shared" si="54"/>
        <v>0</v>
      </c>
      <c r="AG32" s="556">
        <f t="shared" si="54"/>
        <v>0</v>
      </c>
      <c r="AH32" s="556">
        <f t="shared" si="54"/>
        <v>0</v>
      </c>
      <c r="AI32" s="556">
        <f t="shared" si="54"/>
        <v>0</v>
      </c>
      <c r="AJ32" s="557">
        <f t="shared" si="54"/>
        <v>0</v>
      </c>
      <c r="AK32" s="557">
        <f t="shared" si="54"/>
        <v>0</v>
      </c>
      <c r="AL32" s="557">
        <f t="shared" si="54"/>
        <v>0</v>
      </c>
      <c r="AM32" s="557">
        <f t="shared" si="54"/>
        <v>0</v>
      </c>
      <c r="AN32" s="557">
        <f t="shared" si="54"/>
        <v>0</v>
      </c>
      <c r="AO32" s="557">
        <f t="shared" si="54"/>
        <v>0</v>
      </c>
      <c r="AP32" s="557">
        <f t="shared" si="54"/>
        <v>0</v>
      </c>
      <c r="AQ32" s="557">
        <f t="shared" si="54"/>
        <v>0</v>
      </c>
      <c r="AR32" s="557">
        <f t="shared" si="54"/>
        <v>0</v>
      </c>
      <c r="AS32" s="557">
        <f t="shared" si="54"/>
        <v>0</v>
      </c>
      <c r="AT32" s="307">
        <f t="shared" si="54"/>
        <v>0</v>
      </c>
      <c r="AU32" s="564">
        <f t="shared" si="54"/>
        <v>1097101</v>
      </c>
      <c r="AV32" s="556">
        <f t="shared" si="54"/>
        <v>790910</v>
      </c>
      <c r="AW32" s="556">
        <f t="shared" si="54"/>
        <v>19500</v>
      </c>
      <c r="AX32" s="556">
        <f t="shared" si="54"/>
        <v>264999</v>
      </c>
      <c r="AY32" s="556">
        <f t="shared" si="54"/>
        <v>15818</v>
      </c>
      <c r="AZ32" s="556">
        <f t="shared" si="54"/>
        <v>5874</v>
      </c>
      <c r="BA32" s="557">
        <f t="shared" si="54"/>
        <v>1.3048999999999999</v>
      </c>
      <c r="BB32" s="557">
        <f t="shared" si="54"/>
        <v>0.84000000000000008</v>
      </c>
      <c r="BC32" s="307">
        <f t="shared" si="54"/>
        <v>0.46489999999999998</v>
      </c>
    </row>
    <row r="33" spans="1:55" x14ac:dyDescent="0.25">
      <c r="A33" s="309">
        <v>6</v>
      </c>
      <c r="B33" s="349">
        <v>5402</v>
      </c>
      <c r="C33" s="350">
        <v>600098958</v>
      </c>
      <c r="D33" s="349">
        <v>70983623</v>
      </c>
      <c r="E33" s="377" t="s">
        <v>846</v>
      </c>
      <c r="F33" s="349">
        <v>3111</v>
      </c>
      <c r="G33" s="373" t="s">
        <v>325</v>
      </c>
      <c r="H33" s="312" t="s">
        <v>277</v>
      </c>
      <c r="I33" s="477">
        <v>770682</v>
      </c>
      <c r="J33" s="472">
        <v>535138</v>
      </c>
      <c r="K33" s="472">
        <v>25500</v>
      </c>
      <c r="L33" s="472">
        <v>196074</v>
      </c>
      <c r="M33" s="472">
        <v>10703</v>
      </c>
      <c r="N33" s="472">
        <v>3267</v>
      </c>
      <c r="O33" s="473">
        <v>1.5</v>
      </c>
      <c r="P33" s="474">
        <v>1.1599999999999999</v>
      </c>
      <c r="Q33" s="483">
        <v>0.34</v>
      </c>
      <c r="R33" s="485">
        <f t="shared" ref="R33:R39" si="55">Y33*-1</f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ref="X33:X39" si="56">SUM(R33:W33)</f>
        <v>0</v>
      </c>
      <c r="Y33" s="475">
        <v>0</v>
      </c>
      <c r="Z33" s="475">
        <v>0</v>
      </c>
      <c r="AA33" s="475">
        <v>0</v>
      </c>
      <c r="AB33" s="475">
        <f t="shared" ref="AB33:AB39" si="57">SUM(Y33:AA33)</f>
        <v>0</v>
      </c>
      <c r="AC33" s="475">
        <f t="shared" ref="AC33:AC39" si="58">X33+AB33</f>
        <v>0</v>
      </c>
      <c r="AD33" s="70">
        <f t="shared" ref="AD33:AD39" si="59">ROUND((X33+Y33+Z33)*33.8%,0)</f>
        <v>0</v>
      </c>
      <c r="AE33" s="70">
        <f t="shared" ref="AE33:AE39" si="60">ROUND(X33*2%,0)</f>
        <v>0</v>
      </c>
      <c r="AF33" s="475">
        <v>0</v>
      </c>
      <c r="AG33" s="475">
        <v>0</v>
      </c>
      <c r="AH33" s="475">
        <f t="shared" ref="AH33:AH39" si="61">SUM(AF33:AG33)</f>
        <v>0</v>
      </c>
      <c r="AI33" s="475">
        <f t="shared" ref="AI33:AI39" si="62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ref="AR33:AR39" si="63">AJ33+AL33+AM33+AO33+AP33</f>
        <v>0</v>
      </c>
      <c r="AS33" s="476">
        <f t="shared" ref="AS33:AS39" si="64">AK33+AN33+AQ33</f>
        <v>0</v>
      </c>
      <c r="AT33" s="478">
        <f t="shared" ref="AT33:AT39" si="65">SUM(AR33:AS33)</f>
        <v>0</v>
      </c>
      <c r="AU33" s="484">
        <f t="shared" ref="AU33:AU34" si="66">I33+AI33</f>
        <v>770682</v>
      </c>
      <c r="AV33" s="475">
        <f t="shared" ref="AV33:AV34" si="67">J33+X33</f>
        <v>535138</v>
      </c>
      <c r="AW33" s="475">
        <f t="shared" ref="AW33:AW39" si="68">K33+AB33</f>
        <v>25500</v>
      </c>
      <c r="AX33" s="475">
        <f t="shared" ref="AX33:AY39" si="69">L33+AD33</f>
        <v>196074</v>
      </c>
      <c r="AY33" s="475">
        <f t="shared" si="69"/>
        <v>10703</v>
      </c>
      <c r="AZ33" s="475">
        <f t="shared" ref="AZ33:AZ34" si="70">N33+AH33</f>
        <v>3267</v>
      </c>
      <c r="BA33" s="476">
        <f t="shared" ref="BA33:BA34" si="71">O33+AT33</f>
        <v>1.5</v>
      </c>
      <c r="BB33" s="476">
        <f t="shared" ref="BB33:BC39" si="72">P33+AR33</f>
        <v>1.1599999999999999</v>
      </c>
      <c r="BC33" s="478">
        <f t="shared" si="72"/>
        <v>0.34</v>
      </c>
    </row>
    <row r="34" spans="1:55" ht="12.95" customHeight="1" x14ac:dyDescent="0.25">
      <c r="A34" s="309">
        <v>6</v>
      </c>
      <c r="B34" s="349">
        <v>5402</v>
      </c>
      <c r="C34" s="350">
        <v>600098958</v>
      </c>
      <c r="D34" s="349">
        <v>70983623</v>
      </c>
      <c r="E34" s="377" t="s">
        <v>846</v>
      </c>
      <c r="F34" s="349">
        <v>3141</v>
      </c>
      <c r="G34" s="373" t="s">
        <v>315</v>
      </c>
      <c r="H34" s="312" t="s">
        <v>278</v>
      </c>
      <c r="I34" s="770">
        <v>97196</v>
      </c>
      <c r="J34" s="771">
        <v>69393</v>
      </c>
      <c r="K34" s="771">
        <v>0</v>
      </c>
      <c r="L34" s="771">
        <v>25796</v>
      </c>
      <c r="M34" s="771">
        <v>1388</v>
      </c>
      <c r="N34" s="771">
        <v>619</v>
      </c>
      <c r="O34" s="772">
        <v>0.11</v>
      </c>
      <c r="P34" s="661">
        <v>0</v>
      </c>
      <c r="Q34" s="773">
        <v>0.11</v>
      </c>
      <c r="R34" s="774">
        <f t="shared" si="55"/>
        <v>0</v>
      </c>
      <c r="S34" s="775">
        <v>0</v>
      </c>
      <c r="T34" s="775">
        <v>0</v>
      </c>
      <c r="U34" s="775">
        <v>0</v>
      </c>
      <c r="V34" s="775">
        <v>0</v>
      </c>
      <c r="W34" s="775">
        <v>0</v>
      </c>
      <c r="X34" s="775">
        <f t="shared" si="56"/>
        <v>0</v>
      </c>
      <c r="Y34" s="775">
        <v>0</v>
      </c>
      <c r="Z34" s="775">
        <v>0</v>
      </c>
      <c r="AA34" s="775">
        <v>0</v>
      </c>
      <c r="AB34" s="775">
        <f t="shared" si="57"/>
        <v>0</v>
      </c>
      <c r="AC34" s="775">
        <f t="shared" si="58"/>
        <v>0</v>
      </c>
      <c r="AD34" s="776">
        <f t="shared" si="59"/>
        <v>0</v>
      </c>
      <c r="AE34" s="776">
        <f t="shared" si="60"/>
        <v>0</v>
      </c>
      <c r="AF34" s="775">
        <v>0</v>
      </c>
      <c r="AG34" s="775">
        <v>0</v>
      </c>
      <c r="AH34" s="775">
        <f t="shared" si="61"/>
        <v>0</v>
      </c>
      <c r="AI34" s="775">
        <f t="shared" si="62"/>
        <v>0</v>
      </c>
      <c r="AJ34" s="777">
        <v>0</v>
      </c>
      <c r="AK34" s="777">
        <v>0</v>
      </c>
      <c r="AL34" s="777">
        <v>0</v>
      </c>
      <c r="AM34" s="777">
        <v>0</v>
      </c>
      <c r="AN34" s="777">
        <v>0</v>
      </c>
      <c r="AO34" s="476">
        <v>0</v>
      </c>
      <c r="AP34" s="476">
        <v>0</v>
      </c>
      <c r="AQ34" s="476">
        <v>0</v>
      </c>
      <c r="AR34" s="476">
        <f t="shared" si="63"/>
        <v>0</v>
      </c>
      <c r="AS34" s="476">
        <f t="shared" si="64"/>
        <v>0</v>
      </c>
      <c r="AT34" s="478">
        <f t="shared" si="65"/>
        <v>0</v>
      </c>
      <c r="AU34" s="484">
        <f t="shared" si="66"/>
        <v>97196</v>
      </c>
      <c r="AV34" s="475">
        <f t="shared" si="67"/>
        <v>69393</v>
      </c>
      <c r="AW34" s="475">
        <f t="shared" si="68"/>
        <v>0</v>
      </c>
      <c r="AX34" s="475">
        <f t="shared" si="69"/>
        <v>25796</v>
      </c>
      <c r="AY34" s="475">
        <f t="shared" si="69"/>
        <v>1388</v>
      </c>
      <c r="AZ34" s="475">
        <f t="shared" si="70"/>
        <v>619</v>
      </c>
      <c r="BA34" s="476">
        <f t="shared" si="71"/>
        <v>0.11</v>
      </c>
      <c r="BB34" s="476">
        <f t="shared" si="72"/>
        <v>0</v>
      </c>
      <c r="BC34" s="478">
        <f t="shared" si="72"/>
        <v>0.11</v>
      </c>
    </row>
    <row r="35" spans="1:55" ht="12.95" customHeight="1" x14ac:dyDescent="0.25">
      <c r="A35" s="309">
        <v>6</v>
      </c>
      <c r="B35" s="349">
        <v>5402</v>
      </c>
      <c r="C35" s="350">
        <v>600098958</v>
      </c>
      <c r="D35" s="349">
        <v>70983623</v>
      </c>
      <c r="E35" s="377" t="s">
        <v>844</v>
      </c>
      <c r="F35" s="349">
        <v>3117</v>
      </c>
      <c r="G35" s="373" t="s">
        <v>329</v>
      </c>
      <c r="H35" s="312" t="s">
        <v>277</v>
      </c>
      <c r="I35" s="477">
        <v>4812630</v>
      </c>
      <c r="J35" s="472">
        <v>3474654</v>
      </c>
      <c r="K35" s="472">
        <v>0</v>
      </c>
      <c r="L35" s="472">
        <v>1174433</v>
      </c>
      <c r="M35" s="472">
        <v>69493</v>
      </c>
      <c r="N35" s="472">
        <v>94050</v>
      </c>
      <c r="O35" s="473">
        <v>6.8465999999999996</v>
      </c>
      <c r="P35" s="474">
        <v>4.7696999999999994</v>
      </c>
      <c r="Q35" s="483">
        <v>2.0769000000000002</v>
      </c>
      <c r="R35" s="485">
        <f t="shared" si="55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56"/>
        <v>0</v>
      </c>
      <c r="Y35" s="475">
        <v>0</v>
      </c>
      <c r="Z35" s="475">
        <v>0</v>
      </c>
      <c r="AA35" s="475">
        <v>0</v>
      </c>
      <c r="AB35" s="475">
        <f t="shared" si="57"/>
        <v>0</v>
      </c>
      <c r="AC35" s="475">
        <f t="shared" si="58"/>
        <v>0</v>
      </c>
      <c r="AD35" s="70">
        <f t="shared" si="59"/>
        <v>0</v>
      </c>
      <c r="AE35" s="70">
        <f t="shared" si="60"/>
        <v>0</v>
      </c>
      <c r="AF35" s="475">
        <v>0</v>
      </c>
      <c r="AG35" s="475">
        <v>0</v>
      </c>
      <c r="AH35" s="475">
        <f t="shared" si="61"/>
        <v>0</v>
      </c>
      <c r="AI35" s="475">
        <f t="shared" si="62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476">
        <f t="shared" si="63"/>
        <v>0</v>
      </c>
      <c r="AS35" s="476">
        <f t="shared" si="64"/>
        <v>0</v>
      </c>
      <c r="AT35" s="478">
        <f t="shared" si="65"/>
        <v>0</v>
      </c>
      <c r="AU35" s="484">
        <f>I35+AI35</f>
        <v>4812630</v>
      </c>
      <c r="AV35" s="475">
        <f>J35+X35</f>
        <v>3474654</v>
      </c>
      <c r="AW35" s="475">
        <f t="shared" si="68"/>
        <v>0</v>
      </c>
      <c r="AX35" s="475">
        <f t="shared" si="69"/>
        <v>1174433</v>
      </c>
      <c r="AY35" s="475">
        <f t="shared" si="69"/>
        <v>69493</v>
      </c>
      <c r="AZ35" s="475">
        <f>N35+AH35</f>
        <v>94050</v>
      </c>
      <c r="BA35" s="476">
        <f>O35+AT35</f>
        <v>6.8465999999999996</v>
      </c>
      <c r="BB35" s="476">
        <f t="shared" si="72"/>
        <v>4.7696999999999994</v>
      </c>
      <c r="BC35" s="478">
        <f t="shared" si="72"/>
        <v>2.0769000000000002</v>
      </c>
    </row>
    <row r="36" spans="1:55" ht="12.95" customHeight="1" x14ac:dyDescent="0.25">
      <c r="A36" s="309">
        <v>6</v>
      </c>
      <c r="B36" s="349">
        <v>5402</v>
      </c>
      <c r="C36" s="350">
        <v>600098958</v>
      </c>
      <c r="D36" s="349">
        <v>70983623</v>
      </c>
      <c r="E36" s="377" t="s">
        <v>844</v>
      </c>
      <c r="F36" s="349">
        <v>3117</v>
      </c>
      <c r="G36" s="312" t="s">
        <v>312</v>
      </c>
      <c r="H36" s="312" t="s">
        <v>278</v>
      </c>
      <c r="I36" s="477">
        <v>521872</v>
      </c>
      <c r="J36" s="472">
        <v>384294</v>
      </c>
      <c r="K36" s="472">
        <v>0</v>
      </c>
      <c r="L36" s="472">
        <v>129892</v>
      </c>
      <c r="M36" s="472">
        <v>7686</v>
      </c>
      <c r="N36" s="472">
        <v>0</v>
      </c>
      <c r="O36" s="473">
        <v>1.18</v>
      </c>
      <c r="P36" s="474">
        <v>1.18</v>
      </c>
      <c r="Q36" s="483">
        <v>0</v>
      </c>
      <c r="R36" s="485">
        <f t="shared" si="55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56"/>
        <v>0</v>
      </c>
      <c r="Y36" s="475">
        <v>0</v>
      </c>
      <c r="Z36" s="475">
        <v>0</v>
      </c>
      <c r="AA36" s="475">
        <v>0</v>
      </c>
      <c r="AB36" s="475">
        <f t="shared" si="57"/>
        <v>0</v>
      </c>
      <c r="AC36" s="475">
        <f t="shared" si="58"/>
        <v>0</v>
      </c>
      <c r="AD36" s="70">
        <f t="shared" si="59"/>
        <v>0</v>
      </c>
      <c r="AE36" s="70">
        <f t="shared" si="60"/>
        <v>0</v>
      </c>
      <c r="AF36" s="475">
        <v>0</v>
      </c>
      <c r="AG36" s="475">
        <v>0</v>
      </c>
      <c r="AH36" s="475">
        <f t="shared" si="61"/>
        <v>0</v>
      </c>
      <c r="AI36" s="475">
        <f t="shared" si="62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si="63"/>
        <v>0</v>
      </c>
      <c r="AS36" s="476">
        <f t="shared" si="64"/>
        <v>0</v>
      </c>
      <c r="AT36" s="478">
        <f t="shared" si="65"/>
        <v>0</v>
      </c>
      <c r="AU36" s="484">
        <f>I36+AI36</f>
        <v>521872</v>
      </c>
      <c r="AV36" s="475">
        <f>J36+X36</f>
        <v>384294</v>
      </c>
      <c r="AW36" s="475">
        <f t="shared" si="68"/>
        <v>0</v>
      </c>
      <c r="AX36" s="475">
        <f t="shared" si="69"/>
        <v>129892</v>
      </c>
      <c r="AY36" s="475">
        <f t="shared" si="69"/>
        <v>7686</v>
      </c>
      <c r="AZ36" s="475">
        <f>N36+AH36</f>
        <v>0</v>
      </c>
      <c r="BA36" s="476">
        <f>O36+AT36</f>
        <v>1.18</v>
      </c>
      <c r="BB36" s="476">
        <f t="shared" si="72"/>
        <v>1.18</v>
      </c>
      <c r="BC36" s="478">
        <f t="shared" si="72"/>
        <v>0</v>
      </c>
    </row>
    <row r="37" spans="1:55" ht="12.95" customHeight="1" x14ac:dyDescent="0.25">
      <c r="A37" s="309">
        <v>6</v>
      </c>
      <c r="B37" s="349">
        <v>5402</v>
      </c>
      <c r="C37" s="350">
        <v>600098958</v>
      </c>
      <c r="D37" s="349">
        <v>70983623</v>
      </c>
      <c r="E37" s="377" t="s">
        <v>844</v>
      </c>
      <c r="F37" s="349">
        <v>3141</v>
      </c>
      <c r="G37" s="373" t="s">
        <v>315</v>
      </c>
      <c r="H37" s="312" t="s">
        <v>278</v>
      </c>
      <c r="I37" s="477">
        <v>864366</v>
      </c>
      <c r="J37" s="472">
        <v>626736</v>
      </c>
      <c r="K37" s="472">
        <v>7000</v>
      </c>
      <c r="L37" s="472">
        <v>214203</v>
      </c>
      <c r="M37" s="472">
        <v>12535</v>
      </c>
      <c r="N37" s="472">
        <v>3892</v>
      </c>
      <c r="O37" s="473">
        <v>1.99</v>
      </c>
      <c r="P37" s="474">
        <v>0</v>
      </c>
      <c r="Q37" s="483">
        <v>1.99</v>
      </c>
      <c r="R37" s="485">
        <f t="shared" si="55"/>
        <v>0</v>
      </c>
      <c r="S37" s="475">
        <v>0</v>
      </c>
      <c r="T37" s="475">
        <f>-5916-5915</f>
        <v>-11831</v>
      </c>
      <c r="U37" s="475">
        <v>0</v>
      </c>
      <c r="V37" s="475">
        <v>0</v>
      </c>
      <c r="W37" s="475">
        <v>0</v>
      </c>
      <c r="X37" s="475">
        <f t="shared" si="56"/>
        <v>-11831</v>
      </c>
      <c r="Y37" s="475">
        <v>0</v>
      </c>
      <c r="Z37" s="475">
        <v>0</v>
      </c>
      <c r="AA37" s="475">
        <v>0</v>
      </c>
      <c r="AB37" s="475">
        <f t="shared" si="57"/>
        <v>0</v>
      </c>
      <c r="AC37" s="475">
        <f t="shared" si="58"/>
        <v>-11831</v>
      </c>
      <c r="AD37" s="70">
        <f t="shared" si="59"/>
        <v>-3999</v>
      </c>
      <c r="AE37" s="70">
        <f t="shared" si="60"/>
        <v>-237</v>
      </c>
      <c r="AF37" s="475">
        <v>0</v>
      </c>
      <c r="AG37" s="475">
        <v>0</v>
      </c>
      <c r="AH37" s="475">
        <f t="shared" si="61"/>
        <v>0</v>
      </c>
      <c r="AI37" s="475">
        <f t="shared" si="62"/>
        <v>-16067</v>
      </c>
      <c r="AJ37" s="476">
        <v>0</v>
      </c>
      <c r="AK37" s="476">
        <v>0</v>
      </c>
      <c r="AL37" s="476">
        <v>0</v>
      </c>
      <c r="AM37" s="476">
        <v>0</v>
      </c>
      <c r="AN37" s="476">
        <v>-0.03</v>
      </c>
      <c r="AO37" s="476">
        <v>0</v>
      </c>
      <c r="AP37" s="476">
        <v>0</v>
      </c>
      <c r="AQ37" s="476">
        <v>0</v>
      </c>
      <c r="AR37" s="476">
        <f t="shared" si="63"/>
        <v>0</v>
      </c>
      <c r="AS37" s="476">
        <f t="shared" si="64"/>
        <v>-0.03</v>
      </c>
      <c r="AT37" s="478">
        <f t="shared" si="65"/>
        <v>-0.03</v>
      </c>
      <c r="AU37" s="484">
        <f>I37+AI37</f>
        <v>848299</v>
      </c>
      <c r="AV37" s="475">
        <f>J37+X37</f>
        <v>614905</v>
      </c>
      <c r="AW37" s="475">
        <f t="shared" si="68"/>
        <v>7000</v>
      </c>
      <c r="AX37" s="475">
        <f t="shared" si="69"/>
        <v>210204</v>
      </c>
      <c r="AY37" s="475">
        <f t="shared" si="69"/>
        <v>12298</v>
      </c>
      <c r="AZ37" s="475">
        <f>N37+AH37</f>
        <v>3892</v>
      </c>
      <c r="BA37" s="476">
        <f>O37+AT37</f>
        <v>1.96</v>
      </c>
      <c r="BB37" s="476">
        <f t="shared" si="72"/>
        <v>0</v>
      </c>
      <c r="BC37" s="478">
        <f t="shared" si="72"/>
        <v>1.96</v>
      </c>
    </row>
    <row r="38" spans="1:55" ht="12.95" customHeight="1" x14ac:dyDescent="0.25">
      <c r="A38" s="309">
        <v>6</v>
      </c>
      <c r="B38" s="349">
        <v>5402</v>
      </c>
      <c r="C38" s="350">
        <v>600098958</v>
      </c>
      <c r="D38" s="349">
        <v>70983623</v>
      </c>
      <c r="E38" s="377" t="s">
        <v>844</v>
      </c>
      <c r="F38" s="349">
        <v>3143</v>
      </c>
      <c r="G38" s="312" t="s">
        <v>626</v>
      </c>
      <c r="H38" s="312" t="s">
        <v>277</v>
      </c>
      <c r="I38" s="477">
        <v>1350034</v>
      </c>
      <c r="J38" s="472">
        <v>994134</v>
      </c>
      <c r="K38" s="472">
        <v>0</v>
      </c>
      <c r="L38" s="472">
        <v>336017</v>
      </c>
      <c r="M38" s="472">
        <v>19883</v>
      </c>
      <c r="N38" s="472">
        <v>0</v>
      </c>
      <c r="O38" s="473">
        <v>2.0177999999999998</v>
      </c>
      <c r="P38" s="474">
        <v>2.0177999999999998</v>
      </c>
      <c r="Q38" s="483">
        <v>0</v>
      </c>
      <c r="R38" s="485">
        <f t="shared" si="55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56"/>
        <v>0</v>
      </c>
      <c r="Y38" s="475">
        <v>0</v>
      </c>
      <c r="Z38" s="475">
        <v>0</v>
      </c>
      <c r="AA38" s="475">
        <v>0</v>
      </c>
      <c r="AB38" s="475">
        <f t="shared" si="57"/>
        <v>0</v>
      </c>
      <c r="AC38" s="475">
        <f t="shared" si="58"/>
        <v>0</v>
      </c>
      <c r="AD38" s="70">
        <f t="shared" si="59"/>
        <v>0</v>
      </c>
      <c r="AE38" s="70">
        <f t="shared" si="60"/>
        <v>0</v>
      </c>
      <c r="AF38" s="475">
        <v>0</v>
      </c>
      <c r="AG38" s="475">
        <v>0</v>
      </c>
      <c r="AH38" s="475">
        <f t="shared" si="61"/>
        <v>0</v>
      </c>
      <c r="AI38" s="475">
        <f t="shared" si="62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 t="shared" si="63"/>
        <v>0</v>
      </c>
      <c r="AS38" s="476">
        <f t="shared" si="64"/>
        <v>0</v>
      </c>
      <c r="AT38" s="478">
        <f t="shared" si="65"/>
        <v>0</v>
      </c>
      <c r="AU38" s="484">
        <f>I38+AI38</f>
        <v>1350034</v>
      </c>
      <c r="AV38" s="475">
        <f>J38+X38</f>
        <v>994134</v>
      </c>
      <c r="AW38" s="475">
        <f t="shared" si="68"/>
        <v>0</v>
      </c>
      <c r="AX38" s="475">
        <f t="shared" si="69"/>
        <v>336017</v>
      </c>
      <c r="AY38" s="475">
        <f t="shared" si="69"/>
        <v>19883</v>
      </c>
      <c r="AZ38" s="475">
        <f>N38+AH38</f>
        <v>0</v>
      </c>
      <c r="BA38" s="476">
        <f>O38+AT38</f>
        <v>2.0177999999999998</v>
      </c>
      <c r="BB38" s="476">
        <f t="shared" si="72"/>
        <v>2.0177999999999998</v>
      </c>
      <c r="BC38" s="478">
        <f t="shared" si="72"/>
        <v>0</v>
      </c>
    </row>
    <row r="39" spans="1:55" ht="12.95" customHeight="1" x14ac:dyDescent="0.25">
      <c r="A39" s="309">
        <v>6</v>
      </c>
      <c r="B39" s="349">
        <v>5402</v>
      </c>
      <c r="C39" s="350">
        <v>600098958</v>
      </c>
      <c r="D39" s="349">
        <v>70983623</v>
      </c>
      <c r="E39" s="377" t="s">
        <v>844</v>
      </c>
      <c r="F39" s="349">
        <v>3143</v>
      </c>
      <c r="G39" s="312" t="s">
        <v>627</v>
      </c>
      <c r="H39" s="312" t="s">
        <v>278</v>
      </c>
      <c r="I39" s="477">
        <v>40824</v>
      </c>
      <c r="J39" s="472">
        <v>28869</v>
      </c>
      <c r="K39" s="472">
        <v>0</v>
      </c>
      <c r="L39" s="472">
        <v>9758</v>
      </c>
      <c r="M39" s="472">
        <v>577</v>
      </c>
      <c r="N39" s="472">
        <v>1620</v>
      </c>
      <c r="O39" s="473">
        <v>0.11</v>
      </c>
      <c r="P39" s="474">
        <v>0</v>
      </c>
      <c r="Q39" s="483">
        <v>0.11</v>
      </c>
      <c r="R39" s="485">
        <f t="shared" si="55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56"/>
        <v>0</v>
      </c>
      <c r="Y39" s="475">
        <v>0</v>
      </c>
      <c r="Z39" s="475">
        <v>0</v>
      </c>
      <c r="AA39" s="475">
        <v>0</v>
      </c>
      <c r="AB39" s="475">
        <f t="shared" si="57"/>
        <v>0</v>
      </c>
      <c r="AC39" s="475">
        <f t="shared" si="58"/>
        <v>0</v>
      </c>
      <c r="AD39" s="70">
        <f t="shared" si="59"/>
        <v>0</v>
      </c>
      <c r="AE39" s="70">
        <f t="shared" si="60"/>
        <v>0</v>
      </c>
      <c r="AF39" s="475">
        <v>0</v>
      </c>
      <c r="AG39" s="475">
        <v>0</v>
      </c>
      <c r="AH39" s="475">
        <f t="shared" si="61"/>
        <v>0</v>
      </c>
      <c r="AI39" s="475">
        <f t="shared" si="62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476">
        <f t="shared" si="63"/>
        <v>0</v>
      </c>
      <c r="AS39" s="476">
        <f t="shared" si="64"/>
        <v>0</v>
      </c>
      <c r="AT39" s="478">
        <f t="shared" si="65"/>
        <v>0</v>
      </c>
      <c r="AU39" s="484">
        <f>I39+AI39</f>
        <v>40824</v>
      </c>
      <c r="AV39" s="475">
        <f>J39+X39</f>
        <v>28869</v>
      </c>
      <c r="AW39" s="475">
        <f t="shared" si="68"/>
        <v>0</v>
      </c>
      <c r="AX39" s="475">
        <f t="shared" si="69"/>
        <v>9758</v>
      </c>
      <c r="AY39" s="475">
        <f t="shared" si="69"/>
        <v>577</v>
      </c>
      <c r="AZ39" s="475">
        <f>N39+AH39</f>
        <v>1620</v>
      </c>
      <c r="BA39" s="476">
        <f>O39+AT39</f>
        <v>0.11</v>
      </c>
      <c r="BB39" s="476">
        <f t="shared" si="72"/>
        <v>0</v>
      </c>
      <c r="BC39" s="478">
        <f t="shared" si="72"/>
        <v>0.11</v>
      </c>
    </row>
    <row r="40" spans="1:55" ht="12.95" customHeight="1" x14ac:dyDescent="0.25">
      <c r="A40" s="319">
        <v>6</v>
      </c>
      <c r="B40" s="353">
        <v>5402</v>
      </c>
      <c r="C40" s="354">
        <v>600098958</v>
      </c>
      <c r="D40" s="353">
        <v>70983623</v>
      </c>
      <c r="E40" s="378" t="s">
        <v>845</v>
      </c>
      <c r="F40" s="353"/>
      <c r="G40" s="379"/>
      <c r="H40" s="380"/>
      <c r="I40" s="592">
        <v>8457604</v>
      </c>
      <c r="J40" s="590">
        <v>6113218</v>
      </c>
      <c r="K40" s="590">
        <v>32500</v>
      </c>
      <c r="L40" s="590">
        <v>2086173</v>
      </c>
      <c r="M40" s="590">
        <v>122265</v>
      </c>
      <c r="N40" s="590">
        <v>103448</v>
      </c>
      <c r="O40" s="591">
        <v>13.754399999999999</v>
      </c>
      <c r="P40" s="591">
        <v>9.1274999999999995</v>
      </c>
      <c r="Q40" s="593">
        <v>4.6269000000000009</v>
      </c>
      <c r="R40" s="592">
        <f t="shared" ref="R40:BC40" si="73">SUM(R33:R39)</f>
        <v>0</v>
      </c>
      <c r="S40" s="590">
        <f t="shared" si="73"/>
        <v>0</v>
      </c>
      <c r="T40" s="590">
        <f t="shared" si="73"/>
        <v>-11831</v>
      </c>
      <c r="U40" s="590">
        <f t="shared" si="73"/>
        <v>0</v>
      </c>
      <c r="V40" s="590">
        <f t="shared" si="73"/>
        <v>0</v>
      </c>
      <c r="W40" s="590">
        <f t="shared" si="73"/>
        <v>0</v>
      </c>
      <c r="X40" s="590">
        <f t="shared" si="73"/>
        <v>-11831</v>
      </c>
      <c r="Y40" s="590">
        <f t="shared" si="73"/>
        <v>0</v>
      </c>
      <c r="Z40" s="590">
        <f t="shared" si="73"/>
        <v>0</v>
      </c>
      <c r="AA40" s="590">
        <f t="shared" si="73"/>
        <v>0</v>
      </c>
      <c r="AB40" s="590">
        <f t="shared" si="73"/>
        <v>0</v>
      </c>
      <c r="AC40" s="590">
        <f t="shared" si="73"/>
        <v>-11831</v>
      </c>
      <c r="AD40" s="590">
        <f t="shared" si="73"/>
        <v>-3999</v>
      </c>
      <c r="AE40" s="590">
        <f t="shared" si="73"/>
        <v>-237</v>
      </c>
      <c r="AF40" s="590">
        <f t="shared" si="73"/>
        <v>0</v>
      </c>
      <c r="AG40" s="590">
        <f t="shared" si="73"/>
        <v>0</v>
      </c>
      <c r="AH40" s="590">
        <f t="shared" si="73"/>
        <v>0</v>
      </c>
      <c r="AI40" s="590">
        <f t="shared" si="73"/>
        <v>-16067</v>
      </c>
      <c r="AJ40" s="591">
        <f t="shared" si="73"/>
        <v>0</v>
      </c>
      <c r="AK40" s="591">
        <f t="shared" si="73"/>
        <v>0</v>
      </c>
      <c r="AL40" s="591">
        <f t="shared" si="73"/>
        <v>0</v>
      </c>
      <c r="AM40" s="591">
        <f t="shared" si="73"/>
        <v>0</v>
      </c>
      <c r="AN40" s="591">
        <f t="shared" si="73"/>
        <v>-0.03</v>
      </c>
      <c r="AO40" s="591">
        <f t="shared" si="73"/>
        <v>0</v>
      </c>
      <c r="AP40" s="591">
        <f t="shared" si="73"/>
        <v>0</v>
      </c>
      <c r="AQ40" s="591">
        <f t="shared" si="73"/>
        <v>0</v>
      </c>
      <c r="AR40" s="591">
        <f t="shared" si="73"/>
        <v>0</v>
      </c>
      <c r="AS40" s="591">
        <f t="shared" si="73"/>
        <v>-0.03</v>
      </c>
      <c r="AT40" s="381">
        <f t="shared" si="73"/>
        <v>-0.03</v>
      </c>
      <c r="AU40" s="594">
        <f t="shared" si="73"/>
        <v>8441537</v>
      </c>
      <c r="AV40" s="590">
        <f t="shared" si="73"/>
        <v>6101387</v>
      </c>
      <c r="AW40" s="590">
        <f t="shared" si="73"/>
        <v>32500</v>
      </c>
      <c r="AX40" s="590">
        <f t="shared" si="73"/>
        <v>2082174</v>
      </c>
      <c r="AY40" s="590">
        <f t="shared" si="73"/>
        <v>122028</v>
      </c>
      <c r="AZ40" s="590">
        <f t="shared" si="73"/>
        <v>103448</v>
      </c>
      <c r="BA40" s="591">
        <f t="shared" si="73"/>
        <v>13.724399999999997</v>
      </c>
      <c r="BB40" s="591">
        <f t="shared" si="73"/>
        <v>9.1274999999999995</v>
      </c>
      <c r="BC40" s="381">
        <f t="shared" si="73"/>
        <v>4.5969000000000007</v>
      </c>
    </row>
    <row r="41" spans="1:55" ht="12.95" customHeight="1" x14ac:dyDescent="0.25">
      <c r="A41" s="309">
        <v>7</v>
      </c>
      <c r="B41" s="309">
        <v>5405</v>
      </c>
      <c r="C41" s="358">
        <v>600099121</v>
      </c>
      <c r="D41" s="309">
        <v>70695521</v>
      </c>
      <c r="E41" s="311" t="s">
        <v>441</v>
      </c>
      <c r="F41" s="309">
        <v>3111</v>
      </c>
      <c r="G41" s="373" t="s">
        <v>325</v>
      </c>
      <c r="H41" s="312" t="s">
        <v>277</v>
      </c>
      <c r="I41" s="477">
        <v>1590063</v>
      </c>
      <c r="J41" s="472">
        <v>1162933</v>
      </c>
      <c r="K41" s="472">
        <v>0</v>
      </c>
      <c r="L41" s="472">
        <v>393071</v>
      </c>
      <c r="M41" s="472">
        <v>23259</v>
      </c>
      <c r="N41" s="472">
        <v>10800</v>
      </c>
      <c r="O41" s="473">
        <v>2.4464000000000001</v>
      </c>
      <c r="P41" s="474">
        <v>1.9355</v>
      </c>
      <c r="Q41" s="483">
        <v>0.51090000000000002</v>
      </c>
      <c r="R41" s="485">
        <f t="shared" ref="R41:R46" si="74">Y41*-1</f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ref="X41:X46" si="75">SUM(R41:W41)</f>
        <v>0</v>
      </c>
      <c r="Y41" s="475">
        <v>0</v>
      </c>
      <c r="Z41" s="475">
        <v>0</v>
      </c>
      <c r="AA41" s="475">
        <v>0</v>
      </c>
      <c r="AB41" s="475">
        <f t="shared" ref="AB41:AB46" si="76">SUM(Y41:AA41)</f>
        <v>0</v>
      </c>
      <c r="AC41" s="475">
        <f t="shared" ref="AC41:AC46" si="77">X41+AB41</f>
        <v>0</v>
      </c>
      <c r="AD41" s="70">
        <f t="shared" ref="AD41:AD46" si="78">ROUND((X41+Y41+Z41)*33.8%,0)</f>
        <v>0</v>
      </c>
      <c r="AE41" s="70">
        <f t="shared" ref="AE41:AE46" si="79">ROUND(X41*2%,0)</f>
        <v>0</v>
      </c>
      <c r="AF41" s="475">
        <v>0</v>
      </c>
      <c r="AG41" s="475">
        <v>0</v>
      </c>
      <c r="AH41" s="475">
        <f t="shared" ref="AH41:AH46" si="80">SUM(AF41:AG41)</f>
        <v>0</v>
      </c>
      <c r="AI41" s="475">
        <f t="shared" ref="AI41:AI46" si="81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 t="shared" ref="AR41:AR46" si="82">AJ41+AL41+AM41+AO41+AP41</f>
        <v>0</v>
      </c>
      <c r="AS41" s="476">
        <f t="shared" ref="AS41:AS46" si="83">AK41+AN41+AQ41</f>
        <v>0</v>
      </c>
      <c r="AT41" s="478">
        <f t="shared" ref="AT41:AT46" si="84">SUM(AR41:AS41)</f>
        <v>0</v>
      </c>
      <c r="AU41" s="484">
        <f t="shared" ref="AU41:AU46" si="85">I41+AI41</f>
        <v>1590063</v>
      </c>
      <c r="AV41" s="475">
        <f t="shared" ref="AV41:AV46" si="86">J41+X41</f>
        <v>1162933</v>
      </c>
      <c r="AW41" s="475">
        <f t="shared" ref="AW41:AW46" si="87">K41+AB41</f>
        <v>0</v>
      </c>
      <c r="AX41" s="475">
        <f t="shared" ref="AX41:AY46" si="88">L41+AD41</f>
        <v>393071</v>
      </c>
      <c r="AY41" s="475">
        <f t="shared" si="88"/>
        <v>23259</v>
      </c>
      <c r="AZ41" s="475">
        <f t="shared" ref="AZ41:AZ46" si="89">N41+AH41</f>
        <v>10800</v>
      </c>
      <c r="BA41" s="476">
        <f t="shared" ref="BA41:BA46" si="90">O41+AT41</f>
        <v>2.4464000000000001</v>
      </c>
      <c r="BB41" s="476">
        <f t="shared" ref="BB41:BC46" si="91">P41+AR41</f>
        <v>1.9355</v>
      </c>
      <c r="BC41" s="478">
        <f t="shared" si="91"/>
        <v>0.51090000000000002</v>
      </c>
    </row>
    <row r="42" spans="1:55" ht="12.95" customHeight="1" x14ac:dyDescent="0.25">
      <c r="A42" s="309">
        <v>7</v>
      </c>
      <c r="B42" s="349">
        <v>5405</v>
      </c>
      <c r="C42" s="350">
        <v>600099121</v>
      </c>
      <c r="D42" s="309">
        <v>70695521</v>
      </c>
      <c r="E42" s="377" t="s">
        <v>441</v>
      </c>
      <c r="F42" s="349">
        <v>3113</v>
      </c>
      <c r="G42" s="373" t="s">
        <v>329</v>
      </c>
      <c r="H42" s="312" t="s">
        <v>277</v>
      </c>
      <c r="I42" s="477">
        <v>7306491</v>
      </c>
      <c r="J42" s="472">
        <v>5260936</v>
      </c>
      <c r="K42" s="472">
        <v>0</v>
      </c>
      <c r="L42" s="472">
        <v>1778196</v>
      </c>
      <c r="M42" s="472">
        <v>105219</v>
      </c>
      <c r="N42" s="472">
        <v>162140</v>
      </c>
      <c r="O42" s="473">
        <v>10.973100000000001</v>
      </c>
      <c r="P42" s="474">
        <v>8.3161000000000005</v>
      </c>
      <c r="Q42" s="483">
        <v>2.657</v>
      </c>
      <c r="R42" s="485">
        <f t="shared" si="74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75"/>
        <v>0</v>
      </c>
      <c r="Y42" s="475">
        <v>0</v>
      </c>
      <c r="Z42" s="475">
        <v>0</v>
      </c>
      <c r="AA42" s="475">
        <v>0</v>
      </c>
      <c r="AB42" s="475">
        <f t="shared" si="76"/>
        <v>0</v>
      </c>
      <c r="AC42" s="475">
        <f t="shared" si="77"/>
        <v>0</v>
      </c>
      <c r="AD42" s="70">
        <f t="shared" si="78"/>
        <v>0</v>
      </c>
      <c r="AE42" s="70">
        <f t="shared" si="79"/>
        <v>0</v>
      </c>
      <c r="AF42" s="475">
        <v>0</v>
      </c>
      <c r="AG42" s="475">
        <v>0</v>
      </c>
      <c r="AH42" s="475">
        <f t="shared" si="80"/>
        <v>0</v>
      </c>
      <c r="AI42" s="475">
        <f t="shared" si="81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476">
        <f t="shared" si="82"/>
        <v>0</v>
      </c>
      <c r="AS42" s="476">
        <f t="shared" si="83"/>
        <v>0</v>
      </c>
      <c r="AT42" s="478">
        <f t="shared" si="84"/>
        <v>0</v>
      </c>
      <c r="AU42" s="484">
        <f t="shared" si="85"/>
        <v>7306491</v>
      </c>
      <c r="AV42" s="475">
        <f t="shared" si="86"/>
        <v>5260936</v>
      </c>
      <c r="AW42" s="475">
        <f t="shared" si="87"/>
        <v>0</v>
      </c>
      <c r="AX42" s="475">
        <f t="shared" si="88"/>
        <v>1778196</v>
      </c>
      <c r="AY42" s="475">
        <f t="shared" si="88"/>
        <v>105219</v>
      </c>
      <c r="AZ42" s="475">
        <f t="shared" si="89"/>
        <v>162140</v>
      </c>
      <c r="BA42" s="476">
        <f t="shared" si="90"/>
        <v>10.973100000000001</v>
      </c>
      <c r="BB42" s="476">
        <f t="shared" si="91"/>
        <v>8.3161000000000005</v>
      </c>
      <c r="BC42" s="478">
        <f t="shared" si="91"/>
        <v>2.657</v>
      </c>
    </row>
    <row r="43" spans="1:55" ht="12.95" customHeight="1" x14ac:dyDescent="0.25">
      <c r="A43" s="309">
        <v>7</v>
      </c>
      <c r="B43" s="349">
        <v>5405</v>
      </c>
      <c r="C43" s="350">
        <v>600099121</v>
      </c>
      <c r="D43" s="309">
        <v>70695521</v>
      </c>
      <c r="E43" s="377" t="s">
        <v>441</v>
      </c>
      <c r="F43" s="349">
        <v>3113</v>
      </c>
      <c r="G43" s="312" t="s">
        <v>312</v>
      </c>
      <c r="H43" s="312" t="s">
        <v>278</v>
      </c>
      <c r="I43" s="477">
        <v>2119789</v>
      </c>
      <c r="J43" s="472">
        <v>1560964</v>
      </c>
      <c r="K43" s="472">
        <v>0</v>
      </c>
      <c r="L43" s="472">
        <v>527606</v>
      </c>
      <c r="M43" s="472">
        <v>31219</v>
      </c>
      <c r="N43" s="472">
        <v>0</v>
      </c>
      <c r="O43" s="473">
        <v>4.58</v>
      </c>
      <c r="P43" s="474">
        <v>4.58</v>
      </c>
      <c r="Q43" s="483">
        <v>0</v>
      </c>
      <c r="R43" s="485">
        <f t="shared" si="74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75"/>
        <v>0</v>
      </c>
      <c r="Y43" s="475">
        <v>0</v>
      </c>
      <c r="Z43" s="475">
        <v>0</v>
      </c>
      <c r="AA43" s="475">
        <v>0</v>
      </c>
      <c r="AB43" s="475">
        <f t="shared" si="76"/>
        <v>0</v>
      </c>
      <c r="AC43" s="475">
        <f t="shared" si="77"/>
        <v>0</v>
      </c>
      <c r="AD43" s="70">
        <f t="shared" si="78"/>
        <v>0</v>
      </c>
      <c r="AE43" s="70">
        <f t="shared" si="79"/>
        <v>0</v>
      </c>
      <c r="AF43" s="475">
        <v>0</v>
      </c>
      <c r="AG43" s="475">
        <v>0</v>
      </c>
      <c r="AH43" s="475">
        <f t="shared" si="80"/>
        <v>0</v>
      </c>
      <c r="AI43" s="475">
        <f t="shared" si="81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si="82"/>
        <v>0</v>
      </c>
      <c r="AS43" s="476">
        <f t="shared" si="83"/>
        <v>0</v>
      </c>
      <c r="AT43" s="478">
        <f t="shared" si="84"/>
        <v>0</v>
      </c>
      <c r="AU43" s="484">
        <f t="shared" si="85"/>
        <v>2119789</v>
      </c>
      <c r="AV43" s="475">
        <f t="shared" si="86"/>
        <v>1560964</v>
      </c>
      <c r="AW43" s="475">
        <f t="shared" si="87"/>
        <v>0</v>
      </c>
      <c r="AX43" s="475">
        <f t="shared" si="88"/>
        <v>527606</v>
      </c>
      <c r="AY43" s="475">
        <f t="shared" si="88"/>
        <v>31219</v>
      </c>
      <c r="AZ43" s="475">
        <f t="shared" si="89"/>
        <v>0</v>
      </c>
      <c r="BA43" s="476">
        <f t="shared" si="90"/>
        <v>4.58</v>
      </c>
      <c r="BB43" s="476">
        <f t="shared" si="91"/>
        <v>4.58</v>
      </c>
      <c r="BC43" s="478">
        <f t="shared" si="91"/>
        <v>0</v>
      </c>
    </row>
    <row r="44" spans="1:55" ht="12.95" customHeight="1" x14ac:dyDescent="0.25">
      <c r="A44" s="309">
        <v>7</v>
      </c>
      <c r="B44" s="349">
        <v>5405</v>
      </c>
      <c r="C44" s="350">
        <v>600099121</v>
      </c>
      <c r="D44" s="309">
        <v>70695521</v>
      </c>
      <c r="E44" s="377" t="s">
        <v>441</v>
      </c>
      <c r="F44" s="349">
        <v>3141</v>
      </c>
      <c r="G44" s="373" t="s">
        <v>315</v>
      </c>
      <c r="H44" s="312" t="s">
        <v>278</v>
      </c>
      <c r="I44" s="477">
        <v>1101666</v>
      </c>
      <c r="J44" s="472">
        <v>807056</v>
      </c>
      <c r="K44" s="472">
        <v>0</v>
      </c>
      <c r="L44" s="472">
        <v>272785</v>
      </c>
      <c r="M44" s="472">
        <v>16141</v>
      </c>
      <c r="N44" s="472">
        <v>5684</v>
      </c>
      <c r="O44" s="473">
        <v>2.54</v>
      </c>
      <c r="P44" s="474">
        <v>0</v>
      </c>
      <c r="Q44" s="483">
        <v>2.54</v>
      </c>
      <c r="R44" s="485">
        <f t="shared" si="74"/>
        <v>0</v>
      </c>
      <c r="S44" s="475">
        <v>0</v>
      </c>
      <c r="T44" s="475">
        <v>-8209</v>
      </c>
      <c r="U44" s="475">
        <v>0</v>
      </c>
      <c r="V44" s="475">
        <v>0</v>
      </c>
      <c r="W44" s="475">
        <v>0</v>
      </c>
      <c r="X44" s="475">
        <f t="shared" si="75"/>
        <v>-8209</v>
      </c>
      <c r="Y44" s="475">
        <v>0</v>
      </c>
      <c r="Z44" s="475">
        <v>0</v>
      </c>
      <c r="AA44" s="475">
        <v>0</v>
      </c>
      <c r="AB44" s="475">
        <f t="shared" si="76"/>
        <v>0</v>
      </c>
      <c r="AC44" s="475">
        <f t="shared" si="77"/>
        <v>-8209</v>
      </c>
      <c r="AD44" s="70">
        <f t="shared" si="78"/>
        <v>-2775</v>
      </c>
      <c r="AE44" s="70">
        <f t="shared" si="79"/>
        <v>-164</v>
      </c>
      <c r="AF44" s="475">
        <v>0</v>
      </c>
      <c r="AG44" s="475">
        <v>0</v>
      </c>
      <c r="AH44" s="475">
        <f t="shared" si="80"/>
        <v>0</v>
      </c>
      <c r="AI44" s="475">
        <f t="shared" si="81"/>
        <v>-11148</v>
      </c>
      <c r="AJ44" s="476">
        <v>0</v>
      </c>
      <c r="AK44" s="476">
        <v>0</v>
      </c>
      <c r="AL44" s="476">
        <v>0</v>
      </c>
      <c r="AM44" s="476">
        <v>0</v>
      </c>
      <c r="AN44" s="476">
        <v>-0.03</v>
      </c>
      <c r="AO44" s="476">
        <v>0</v>
      </c>
      <c r="AP44" s="476">
        <v>0</v>
      </c>
      <c r="AQ44" s="476">
        <v>0</v>
      </c>
      <c r="AR44" s="476">
        <f t="shared" si="82"/>
        <v>0</v>
      </c>
      <c r="AS44" s="476">
        <f t="shared" si="83"/>
        <v>-0.03</v>
      </c>
      <c r="AT44" s="478">
        <f t="shared" si="84"/>
        <v>-0.03</v>
      </c>
      <c r="AU44" s="484">
        <f t="shared" si="85"/>
        <v>1090518</v>
      </c>
      <c r="AV44" s="475">
        <f t="shared" si="86"/>
        <v>798847</v>
      </c>
      <c r="AW44" s="475">
        <f t="shared" si="87"/>
        <v>0</v>
      </c>
      <c r="AX44" s="475">
        <f t="shared" si="88"/>
        <v>270010</v>
      </c>
      <c r="AY44" s="475">
        <f t="shared" si="88"/>
        <v>15977</v>
      </c>
      <c r="AZ44" s="475">
        <f t="shared" si="89"/>
        <v>5684</v>
      </c>
      <c r="BA44" s="476">
        <f t="shared" si="90"/>
        <v>2.5100000000000002</v>
      </c>
      <c r="BB44" s="476">
        <f t="shared" si="91"/>
        <v>0</v>
      </c>
      <c r="BC44" s="478">
        <f t="shared" si="91"/>
        <v>2.5100000000000002</v>
      </c>
    </row>
    <row r="45" spans="1:55" ht="12.95" customHeight="1" x14ac:dyDescent="0.25">
      <c r="A45" s="309">
        <v>7</v>
      </c>
      <c r="B45" s="349">
        <v>5405</v>
      </c>
      <c r="C45" s="350">
        <v>600099121</v>
      </c>
      <c r="D45" s="309">
        <v>70695521</v>
      </c>
      <c r="E45" s="377" t="s">
        <v>441</v>
      </c>
      <c r="F45" s="349">
        <v>3143</v>
      </c>
      <c r="G45" s="312" t="s">
        <v>626</v>
      </c>
      <c r="H45" s="312" t="s">
        <v>277</v>
      </c>
      <c r="I45" s="477">
        <v>623626</v>
      </c>
      <c r="J45" s="472">
        <v>459224</v>
      </c>
      <c r="K45" s="472">
        <v>0</v>
      </c>
      <c r="L45" s="472">
        <v>155218</v>
      </c>
      <c r="M45" s="472">
        <v>9184</v>
      </c>
      <c r="N45" s="472">
        <v>0</v>
      </c>
      <c r="O45" s="473">
        <v>1</v>
      </c>
      <c r="P45" s="474">
        <v>1</v>
      </c>
      <c r="Q45" s="483">
        <v>0</v>
      </c>
      <c r="R45" s="485">
        <f t="shared" si="74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75"/>
        <v>0</v>
      </c>
      <c r="Y45" s="475">
        <v>0</v>
      </c>
      <c r="Z45" s="475">
        <v>0</v>
      </c>
      <c r="AA45" s="475">
        <v>0</v>
      </c>
      <c r="AB45" s="475">
        <f t="shared" si="76"/>
        <v>0</v>
      </c>
      <c r="AC45" s="475">
        <f t="shared" si="77"/>
        <v>0</v>
      </c>
      <c r="AD45" s="70">
        <f t="shared" si="78"/>
        <v>0</v>
      </c>
      <c r="AE45" s="70">
        <f t="shared" si="79"/>
        <v>0</v>
      </c>
      <c r="AF45" s="475">
        <v>0</v>
      </c>
      <c r="AG45" s="475">
        <v>0</v>
      </c>
      <c r="AH45" s="475">
        <f t="shared" si="80"/>
        <v>0</v>
      </c>
      <c r="AI45" s="475">
        <f t="shared" si="81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 t="shared" si="82"/>
        <v>0</v>
      </c>
      <c r="AS45" s="476">
        <f t="shared" si="83"/>
        <v>0</v>
      </c>
      <c r="AT45" s="478">
        <f t="shared" si="84"/>
        <v>0</v>
      </c>
      <c r="AU45" s="484">
        <f t="shared" si="85"/>
        <v>623626</v>
      </c>
      <c r="AV45" s="475">
        <f t="shared" si="86"/>
        <v>459224</v>
      </c>
      <c r="AW45" s="475">
        <f t="shared" si="87"/>
        <v>0</v>
      </c>
      <c r="AX45" s="475">
        <f t="shared" si="88"/>
        <v>155218</v>
      </c>
      <c r="AY45" s="475">
        <f t="shared" si="88"/>
        <v>9184</v>
      </c>
      <c r="AZ45" s="475">
        <f t="shared" si="89"/>
        <v>0</v>
      </c>
      <c r="BA45" s="476">
        <f t="shared" si="90"/>
        <v>1</v>
      </c>
      <c r="BB45" s="476">
        <f t="shared" si="91"/>
        <v>1</v>
      </c>
      <c r="BC45" s="478">
        <f t="shared" si="91"/>
        <v>0</v>
      </c>
    </row>
    <row r="46" spans="1:55" ht="12.95" customHeight="1" x14ac:dyDescent="0.25">
      <c r="A46" s="309">
        <v>7</v>
      </c>
      <c r="B46" s="349">
        <v>5405</v>
      </c>
      <c r="C46" s="350">
        <v>600099121</v>
      </c>
      <c r="D46" s="309">
        <v>70695521</v>
      </c>
      <c r="E46" s="377" t="s">
        <v>441</v>
      </c>
      <c r="F46" s="349">
        <v>3143</v>
      </c>
      <c r="G46" s="312" t="s">
        <v>627</v>
      </c>
      <c r="H46" s="312" t="s">
        <v>278</v>
      </c>
      <c r="I46" s="477">
        <v>18899</v>
      </c>
      <c r="J46" s="472">
        <v>13365</v>
      </c>
      <c r="K46" s="472">
        <v>0</v>
      </c>
      <c r="L46" s="472">
        <v>4517</v>
      </c>
      <c r="M46" s="472">
        <v>267</v>
      </c>
      <c r="N46" s="472">
        <v>750</v>
      </c>
      <c r="O46" s="473">
        <v>0.05</v>
      </c>
      <c r="P46" s="474">
        <v>0</v>
      </c>
      <c r="Q46" s="483">
        <v>0.05</v>
      </c>
      <c r="R46" s="485">
        <f t="shared" si="74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75"/>
        <v>0</v>
      </c>
      <c r="Y46" s="475">
        <v>0</v>
      </c>
      <c r="Z46" s="475">
        <v>0</v>
      </c>
      <c r="AA46" s="475">
        <v>0</v>
      </c>
      <c r="AB46" s="475">
        <f t="shared" si="76"/>
        <v>0</v>
      </c>
      <c r="AC46" s="475">
        <f t="shared" si="77"/>
        <v>0</v>
      </c>
      <c r="AD46" s="70">
        <f t="shared" si="78"/>
        <v>0</v>
      </c>
      <c r="AE46" s="70">
        <f t="shared" si="79"/>
        <v>0</v>
      </c>
      <c r="AF46" s="475">
        <v>0</v>
      </c>
      <c r="AG46" s="475">
        <v>0</v>
      </c>
      <c r="AH46" s="475">
        <f t="shared" si="80"/>
        <v>0</v>
      </c>
      <c r="AI46" s="475">
        <f t="shared" si="81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 t="shared" si="82"/>
        <v>0</v>
      </c>
      <c r="AS46" s="476">
        <f t="shared" si="83"/>
        <v>0</v>
      </c>
      <c r="AT46" s="478">
        <f t="shared" si="84"/>
        <v>0</v>
      </c>
      <c r="AU46" s="484">
        <f t="shared" si="85"/>
        <v>18899</v>
      </c>
      <c r="AV46" s="475">
        <f t="shared" si="86"/>
        <v>13365</v>
      </c>
      <c r="AW46" s="475">
        <f t="shared" si="87"/>
        <v>0</v>
      </c>
      <c r="AX46" s="475">
        <f t="shared" si="88"/>
        <v>4517</v>
      </c>
      <c r="AY46" s="475">
        <f t="shared" si="88"/>
        <v>267</v>
      </c>
      <c r="AZ46" s="475">
        <f t="shared" si="89"/>
        <v>750</v>
      </c>
      <c r="BA46" s="476">
        <f t="shared" si="90"/>
        <v>0.05</v>
      </c>
      <c r="BB46" s="476">
        <f t="shared" si="91"/>
        <v>0</v>
      </c>
      <c r="BC46" s="478">
        <f t="shared" si="91"/>
        <v>0.05</v>
      </c>
    </row>
    <row r="47" spans="1:55" ht="12.95" customHeight="1" x14ac:dyDescent="0.25">
      <c r="A47" s="319">
        <v>7</v>
      </c>
      <c r="B47" s="382">
        <v>5405</v>
      </c>
      <c r="C47" s="360">
        <v>600099121</v>
      </c>
      <c r="D47" s="382">
        <v>70695521</v>
      </c>
      <c r="E47" s="378" t="s">
        <v>442</v>
      </c>
      <c r="F47" s="382"/>
      <c r="G47" s="383"/>
      <c r="H47" s="384"/>
      <c r="I47" s="592">
        <v>12760534</v>
      </c>
      <c r="J47" s="590">
        <v>9264478</v>
      </c>
      <c r="K47" s="590">
        <v>0</v>
      </c>
      <c r="L47" s="590">
        <v>3131393</v>
      </c>
      <c r="M47" s="590">
        <v>185289</v>
      </c>
      <c r="N47" s="590">
        <v>179374</v>
      </c>
      <c r="O47" s="591">
        <v>21.589500000000001</v>
      </c>
      <c r="P47" s="591">
        <v>15.8316</v>
      </c>
      <c r="Q47" s="593">
        <v>5.7579000000000002</v>
      </c>
      <c r="R47" s="592">
        <f t="shared" ref="R47:BC47" si="92">SUM(R41:R46)</f>
        <v>0</v>
      </c>
      <c r="S47" s="590">
        <f t="shared" si="92"/>
        <v>0</v>
      </c>
      <c r="T47" s="590">
        <f t="shared" si="92"/>
        <v>-8209</v>
      </c>
      <c r="U47" s="590">
        <f t="shared" si="92"/>
        <v>0</v>
      </c>
      <c r="V47" s="590">
        <f t="shared" si="92"/>
        <v>0</v>
      </c>
      <c r="W47" s="590">
        <f t="shared" si="92"/>
        <v>0</v>
      </c>
      <c r="X47" s="590">
        <f t="shared" si="92"/>
        <v>-8209</v>
      </c>
      <c r="Y47" s="590">
        <f t="shared" si="92"/>
        <v>0</v>
      </c>
      <c r="Z47" s="590">
        <f t="shared" si="92"/>
        <v>0</v>
      </c>
      <c r="AA47" s="590">
        <f t="shared" si="92"/>
        <v>0</v>
      </c>
      <c r="AB47" s="590">
        <f t="shared" si="92"/>
        <v>0</v>
      </c>
      <c r="AC47" s="590">
        <f t="shared" si="92"/>
        <v>-8209</v>
      </c>
      <c r="AD47" s="590">
        <f t="shared" si="92"/>
        <v>-2775</v>
      </c>
      <c r="AE47" s="590">
        <f t="shared" si="92"/>
        <v>-164</v>
      </c>
      <c r="AF47" s="590">
        <f t="shared" si="92"/>
        <v>0</v>
      </c>
      <c r="AG47" s="590">
        <f t="shared" si="92"/>
        <v>0</v>
      </c>
      <c r="AH47" s="590">
        <f t="shared" si="92"/>
        <v>0</v>
      </c>
      <c r="AI47" s="590">
        <f t="shared" si="92"/>
        <v>-11148</v>
      </c>
      <c r="AJ47" s="591">
        <f t="shared" si="92"/>
        <v>0</v>
      </c>
      <c r="AK47" s="591">
        <f t="shared" si="92"/>
        <v>0</v>
      </c>
      <c r="AL47" s="591">
        <f t="shared" si="92"/>
        <v>0</v>
      </c>
      <c r="AM47" s="591">
        <f t="shared" si="92"/>
        <v>0</v>
      </c>
      <c r="AN47" s="591">
        <f t="shared" si="92"/>
        <v>-0.03</v>
      </c>
      <c r="AO47" s="591">
        <f t="shared" si="92"/>
        <v>0</v>
      </c>
      <c r="AP47" s="591">
        <f t="shared" si="92"/>
        <v>0</v>
      </c>
      <c r="AQ47" s="591">
        <f t="shared" si="92"/>
        <v>0</v>
      </c>
      <c r="AR47" s="591">
        <f t="shared" si="92"/>
        <v>0</v>
      </c>
      <c r="AS47" s="591">
        <f t="shared" si="92"/>
        <v>-0.03</v>
      </c>
      <c r="AT47" s="381">
        <f t="shared" si="92"/>
        <v>-0.03</v>
      </c>
      <c r="AU47" s="594">
        <f t="shared" si="92"/>
        <v>12749386</v>
      </c>
      <c r="AV47" s="590">
        <f t="shared" si="92"/>
        <v>9256269</v>
      </c>
      <c r="AW47" s="590">
        <f t="shared" si="92"/>
        <v>0</v>
      </c>
      <c r="AX47" s="590">
        <f t="shared" si="92"/>
        <v>3128618</v>
      </c>
      <c r="AY47" s="590">
        <f t="shared" si="92"/>
        <v>185125</v>
      </c>
      <c r="AZ47" s="590">
        <f t="shared" si="92"/>
        <v>179374</v>
      </c>
      <c r="BA47" s="591">
        <f t="shared" si="92"/>
        <v>21.559500000000003</v>
      </c>
      <c r="BB47" s="591">
        <f t="shared" si="92"/>
        <v>15.8316</v>
      </c>
      <c r="BC47" s="381">
        <f t="shared" si="92"/>
        <v>5.7279</v>
      </c>
    </row>
    <row r="48" spans="1:55" ht="12.95" customHeight="1" x14ac:dyDescent="0.25">
      <c r="A48" s="309">
        <v>8</v>
      </c>
      <c r="B48" s="349">
        <v>5410</v>
      </c>
      <c r="C48" s="350">
        <v>600099318</v>
      </c>
      <c r="D48" s="309">
        <v>854778</v>
      </c>
      <c r="E48" s="377" t="s">
        <v>443</v>
      </c>
      <c r="F48" s="349">
        <v>3111</v>
      </c>
      <c r="G48" s="373" t="s">
        <v>325</v>
      </c>
      <c r="H48" s="312" t="s">
        <v>277</v>
      </c>
      <c r="I48" s="477">
        <v>3564031</v>
      </c>
      <c r="J48" s="472">
        <v>2565177</v>
      </c>
      <c r="K48" s="472">
        <v>40000</v>
      </c>
      <c r="L48" s="472">
        <v>880550</v>
      </c>
      <c r="M48" s="472">
        <v>51304</v>
      </c>
      <c r="N48" s="472">
        <v>27000</v>
      </c>
      <c r="O48" s="473">
        <v>6.1128</v>
      </c>
      <c r="P48" s="474">
        <v>4.7300000000000004</v>
      </c>
      <c r="Q48" s="483">
        <v>1.3828</v>
      </c>
      <c r="R48" s="485">
        <f t="shared" ref="R48:R53" si="93">Y48*-1</f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ref="X48:X53" si="94">SUM(R48:W48)</f>
        <v>0</v>
      </c>
      <c r="Y48" s="475">
        <v>0</v>
      </c>
      <c r="Z48" s="475">
        <v>0</v>
      </c>
      <c r="AA48" s="475">
        <v>0</v>
      </c>
      <c r="AB48" s="475">
        <f t="shared" ref="AB48:AB53" si="95">SUM(Y48:AA48)</f>
        <v>0</v>
      </c>
      <c r="AC48" s="475">
        <f t="shared" ref="AC48:AC53" si="96">X48+AB48</f>
        <v>0</v>
      </c>
      <c r="AD48" s="70">
        <f t="shared" ref="AD48:AD53" si="97">ROUND((X48+Y48+Z48)*33.8%,0)</f>
        <v>0</v>
      </c>
      <c r="AE48" s="70">
        <f t="shared" ref="AE48:AE53" si="98">ROUND(X48*2%,0)</f>
        <v>0</v>
      </c>
      <c r="AF48" s="475">
        <v>0</v>
      </c>
      <c r="AG48" s="475">
        <v>0</v>
      </c>
      <c r="AH48" s="475">
        <f t="shared" ref="AH48:AH53" si="99">SUM(AF48:AG48)</f>
        <v>0</v>
      </c>
      <c r="AI48" s="475">
        <f t="shared" ref="AI48:AI53" si="100">AC48+AD48+AE48+AH48</f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ref="AR48:AR53" si="101">AJ48+AL48+AM48+AO48+AP48</f>
        <v>0</v>
      </c>
      <c r="AS48" s="476">
        <f t="shared" ref="AS48:AS53" si="102">AK48+AN48+AQ48</f>
        <v>0</v>
      </c>
      <c r="AT48" s="478">
        <f t="shared" ref="AT48:AT53" si="103">SUM(AR48:AS48)</f>
        <v>0</v>
      </c>
      <c r="AU48" s="484">
        <f t="shared" ref="AU48:AU53" si="104">I48+AI48</f>
        <v>3564031</v>
      </c>
      <c r="AV48" s="475">
        <f t="shared" ref="AV48:AV53" si="105">J48+X48</f>
        <v>2565177</v>
      </c>
      <c r="AW48" s="475">
        <f t="shared" ref="AW48:AW53" si="106">K48+AB48</f>
        <v>40000</v>
      </c>
      <c r="AX48" s="475">
        <f t="shared" ref="AX48:AY53" si="107">L48+AD48</f>
        <v>880550</v>
      </c>
      <c r="AY48" s="475">
        <f t="shared" si="107"/>
        <v>51304</v>
      </c>
      <c r="AZ48" s="475">
        <f t="shared" ref="AZ48:AZ53" si="108">N48+AH48</f>
        <v>27000</v>
      </c>
      <c r="BA48" s="476">
        <f t="shared" ref="BA48:BA53" si="109">O48+AT48</f>
        <v>6.1128</v>
      </c>
      <c r="BB48" s="476">
        <f t="shared" ref="BB48:BC53" si="110">P48+AR48</f>
        <v>4.7300000000000004</v>
      </c>
      <c r="BC48" s="478">
        <f t="shared" si="110"/>
        <v>1.3828</v>
      </c>
    </row>
    <row r="49" spans="1:55" ht="12.95" customHeight="1" x14ac:dyDescent="0.25">
      <c r="A49" s="309">
        <v>8</v>
      </c>
      <c r="B49" s="349">
        <v>5410</v>
      </c>
      <c r="C49" s="350">
        <v>600099318</v>
      </c>
      <c r="D49" s="309">
        <v>854778</v>
      </c>
      <c r="E49" s="377" t="s">
        <v>443</v>
      </c>
      <c r="F49" s="349">
        <v>3113</v>
      </c>
      <c r="G49" s="373" t="s">
        <v>329</v>
      </c>
      <c r="H49" s="312" t="s">
        <v>277</v>
      </c>
      <c r="I49" s="477">
        <v>13125748</v>
      </c>
      <c r="J49" s="472">
        <v>9470661</v>
      </c>
      <c r="K49" s="472">
        <v>20000</v>
      </c>
      <c r="L49" s="472">
        <v>3207844</v>
      </c>
      <c r="M49" s="472">
        <v>189413</v>
      </c>
      <c r="N49" s="472">
        <v>237830</v>
      </c>
      <c r="O49" s="473">
        <v>18.424299999999999</v>
      </c>
      <c r="P49" s="474">
        <v>12.8866</v>
      </c>
      <c r="Q49" s="483">
        <v>5.5377000000000001</v>
      </c>
      <c r="R49" s="485">
        <f t="shared" si="93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94"/>
        <v>0</v>
      </c>
      <c r="Y49" s="475">
        <v>0</v>
      </c>
      <c r="Z49" s="475">
        <v>0</v>
      </c>
      <c r="AA49" s="475">
        <v>0</v>
      </c>
      <c r="AB49" s="475">
        <f t="shared" si="95"/>
        <v>0</v>
      </c>
      <c r="AC49" s="475">
        <f t="shared" si="96"/>
        <v>0</v>
      </c>
      <c r="AD49" s="70">
        <f t="shared" si="97"/>
        <v>0</v>
      </c>
      <c r="AE49" s="70">
        <f t="shared" si="98"/>
        <v>0</v>
      </c>
      <c r="AF49" s="475">
        <v>0</v>
      </c>
      <c r="AG49" s="475">
        <v>0</v>
      </c>
      <c r="AH49" s="475">
        <f t="shared" si="99"/>
        <v>0</v>
      </c>
      <c r="AI49" s="475">
        <f t="shared" si="100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 t="shared" si="101"/>
        <v>0</v>
      </c>
      <c r="AS49" s="476">
        <f t="shared" si="102"/>
        <v>0</v>
      </c>
      <c r="AT49" s="478">
        <f t="shared" si="103"/>
        <v>0</v>
      </c>
      <c r="AU49" s="484">
        <f t="shared" si="104"/>
        <v>13125748</v>
      </c>
      <c r="AV49" s="475">
        <f t="shared" si="105"/>
        <v>9470661</v>
      </c>
      <c r="AW49" s="475">
        <f t="shared" si="106"/>
        <v>20000</v>
      </c>
      <c r="AX49" s="475">
        <f t="shared" si="107"/>
        <v>3207844</v>
      </c>
      <c r="AY49" s="475">
        <f t="shared" si="107"/>
        <v>189413</v>
      </c>
      <c r="AZ49" s="475">
        <f t="shared" si="108"/>
        <v>237830</v>
      </c>
      <c r="BA49" s="476">
        <f t="shared" si="109"/>
        <v>18.424299999999999</v>
      </c>
      <c r="BB49" s="476">
        <f t="shared" si="110"/>
        <v>12.8866</v>
      </c>
      <c r="BC49" s="478">
        <f t="shared" si="110"/>
        <v>5.5377000000000001</v>
      </c>
    </row>
    <row r="50" spans="1:55" ht="12.95" customHeight="1" x14ac:dyDescent="0.25">
      <c r="A50" s="309">
        <v>8</v>
      </c>
      <c r="B50" s="349">
        <v>5410</v>
      </c>
      <c r="C50" s="350">
        <v>600099318</v>
      </c>
      <c r="D50" s="309">
        <v>854778</v>
      </c>
      <c r="E50" s="377" t="s">
        <v>443</v>
      </c>
      <c r="F50" s="349">
        <v>3113</v>
      </c>
      <c r="G50" s="312" t="s">
        <v>312</v>
      </c>
      <c r="H50" s="312" t="s">
        <v>278</v>
      </c>
      <c r="I50" s="477">
        <v>381855</v>
      </c>
      <c r="J50" s="472">
        <v>281190</v>
      </c>
      <c r="K50" s="472">
        <v>0</v>
      </c>
      <c r="L50" s="472">
        <v>95042</v>
      </c>
      <c r="M50" s="472">
        <v>5623</v>
      </c>
      <c r="N50" s="472">
        <v>0</v>
      </c>
      <c r="O50" s="473">
        <v>0.73</v>
      </c>
      <c r="P50" s="474">
        <v>0.73</v>
      </c>
      <c r="Q50" s="483">
        <v>0</v>
      </c>
      <c r="R50" s="485">
        <f t="shared" si="93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94"/>
        <v>0</v>
      </c>
      <c r="Y50" s="475">
        <v>0</v>
      </c>
      <c r="Z50" s="475">
        <v>0</v>
      </c>
      <c r="AA50" s="475">
        <v>0</v>
      </c>
      <c r="AB50" s="475">
        <f t="shared" si="95"/>
        <v>0</v>
      </c>
      <c r="AC50" s="475">
        <f t="shared" si="96"/>
        <v>0</v>
      </c>
      <c r="AD50" s="70">
        <f t="shared" si="97"/>
        <v>0</v>
      </c>
      <c r="AE50" s="70">
        <f t="shared" si="98"/>
        <v>0</v>
      </c>
      <c r="AF50" s="475">
        <v>0</v>
      </c>
      <c r="AG50" s="475">
        <v>0</v>
      </c>
      <c r="AH50" s="475">
        <f t="shared" si="99"/>
        <v>0</v>
      </c>
      <c r="AI50" s="475">
        <f t="shared" si="100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si="101"/>
        <v>0</v>
      </c>
      <c r="AS50" s="476">
        <f t="shared" si="102"/>
        <v>0</v>
      </c>
      <c r="AT50" s="478">
        <f t="shared" si="103"/>
        <v>0</v>
      </c>
      <c r="AU50" s="484">
        <f t="shared" si="104"/>
        <v>381855</v>
      </c>
      <c r="AV50" s="475">
        <f t="shared" si="105"/>
        <v>281190</v>
      </c>
      <c r="AW50" s="475">
        <f t="shared" si="106"/>
        <v>0</v>
      </c>
      <c r="AX50" s="475">
        <f t="shared" si="107"/>
        <v>95042</v>
      </c>
      <c r="AY50" s="475">
        <f t="shared" si="107"/>
        <v>5623</v>
      </c>
      <c r="AZ50" s="475">
        <f t="shared" si="108"/>
        <v>0</v>
      </c>
      <c r="BA50" s="476">
        <f t="shared" si="109"/>
        <v>0.73</v>
      </c>
      <c r="BB50" s="476">
        <f t="shared" si="110"/>
        <v>0.73</v>
      </c>
      <c r="BC50" s="478">
        <f t="shared" si="110"/>
        <v>0</v>
      </c>
    </row>
    <row r="51" spans="1:55" ht="12.95" customHeight="1" x14ac:dyDescent="0.25">
      <c r="A51" s="309">
        <v>8</v>
      </c>
      <c r="B51" s="349">
        <v>5410</v>
      </c>
      <c r="C51" s="350">
        <v>600099318</v>
      </c>
      <c r="D51" s="309">
        <v>854778</v>
      </c>
      <c r="E51" s="377" t="s">
        <v>443</v>
      </c>
      <c r="F51" s="349">
        <v>3141</v>
      </c>
      <c r="G51" s="373" t="s">
        <v>315</v>
      </c>
      <c r="H51" s="312" t="s">
        <v>278</v>
      </c>
      <c r="I51" s="477">
        <v>2118102</v>
      </c>
      <c r="J51" s="472">
        <v>1549560</v>
      </c>
      <c r="K51" s="472">
        <v>0</v>
      </c>
      <c r="L51" s="472">
        <v>523751</v>
      </c>
      <c r="M51" s="472">
        <v>30991</v>
      </c>
      <c r="N51" s="472">
        <v>13800</v>
      </c>
      <c r="O51" s="473">
        <v>4.8899999999999997</v>
      </c>
      <c r="P51" s="474">
        <v>0</v>
      </c>
      <c r="Q51" s="483">
        <v>4.8899999999999997</v>
      </c>
      <c r="R51" s="485">
        <f t="shared" si="93"/>
        <v>0</v>
      </c>
      <c r="S51" s="475">
        <v>0</v>
      </c>
      <c r="T51" s="475">
        <f>-14748-2492</f>
        <v>-17240</v>
      </c>
      <c r="U51" s="475">
        <v>0</v>
      </c>
      <c r="V51" s="475">
        <v>0</v>
      </c>
      <c r="W51" s="475">
        <v>0</v>
      </c>
      <c r="X51" s="475">
        <f t="shared" si="94"/>
        <v>-17240</v>
      </c>
      <c r="Y51" s="475">
        <v>0</v>
      </c>
      <c r="Z51" s="475">
        <v>0</v>
      </c>
      <c r="AA51" s="475">
        <v>0</v>
      </c>
      <c r="AB51" s="475">
        <f t="shared" si="95"/>
        <v>0</v>
      </c>
      <c r="AC51" s="475">
        <f t="shared" si="96"/>
        <v>-17240</v>
      </c>
      <c r="AD51" s="70">
        <f t="shared" si="97"/>
        <v>-5827</v>
      </c>
      <c r="AE51" s="70">
        <f t="shared" si="98"/>
        <v>-345</v>
      </c>
      <c r="AF51" s="475">
        <v>0</v>
      </c>
      <c r="AG51" s="475">
        <v>0</v>
      </c>
      <c r="AH51" s="475">
        <f t="shared" si="99"/>
        <v>0</v>
      </c>
      <c r="AI51" s="475">
        <f t="shared" si="100"/>
        <v>-23412</v>
      </c>
      <c r="AJ51" s="476">
        <v>0</v>
      </c>
      <c r="AK51" s="476">
        <v>0</v>
      </c>
      <c r="AL51" s="476">
        <v>0</v>
      </c>
      <c r="AM51" s="476">
        <v>0</v>
      </c>
      <c r="AN51" s="476">
        <f>-0.05-0.01</f>
        <v>-6.0000000000000005E-2</v>
      </c>
      <c r="AO51" s="476">
        <v>0</v>
      </c>
      <c r="AP51" s="476">
        <v>0</v>
      </c>
      <c r="AQ51" s="476">
        <v>0</v>
      </c>
      <c r="AR51" s="476">
        <f t="shared" si="101"/>
        <v>0</v>
      </c>
      <c r="AS51" s="476">
        <f t="shared" si="102"/>
        <v>-6.0000000000000005E-2</v>
      </c>
      <c r="AT51" s="478">
        <f t="shared" si="103"/>
        <v>-6.0000000000000005E-2</v>
      </c>
      <c r="AU51" s="484">
        <f t="shared" si="104"/>
        <v>2094690</v>
      </c>
      <c r="AV51" s="475">
        <f t="shared" si="105"/>
        <v>1532320</v>
      </c>
      <c r="AW51" s="475">
        <f t="shared" si="106"/>
        <v>0</v>
      </c>
      <c r="AX51" s="475">
        <f t="shared" si="107"/>
        <v>517924</v>
      </c>
      <c r="AY51" s="475">
        <f t="shared" si="107"/>
        <v>30646</v>
      </c>
      <c r="AZ51" s="475">
        <f t="shared" si="108"/>
        <v>13800</v>
      </c>
      <c r="BA51" s="476">
        <f t="shared" si="109"/>
        <v>4.83</v>
      </c>
      <c r="BB51" s="476">
        <f t="shared" si="110"/>
        <v>0</v>
      </c>
      <c r="BC51" s="478">
        <f t="shared" si="110"/>
        <v>4.83</v>
      </c>
    </row>
    <row r="52" spans="1:55" ht="12.95" customHeight="1" x14ac:dyDescent="0.25">
      <c r="A52" s="309">
        <v>8</v>
      </c>
      <c r="B52" s="349">
        <v>5410</v>
      </c>
      <c r="C52" s="350">
        <v>600099318</v>
      </c>
      <c r="D52" s="309">
        <v>854778</v>
      </c>
      <c r="E52" s="377" t="s">
        <v>443</v>
      </c>
      <c r="F52" s="349">
        <v>3143</v>
      </c>
      <c r="G52" s="312" t="s">
        <v>626</v>
      </c>
      <c r="H52" s="312" t="s">
        <v>277</v>
      </c>
      <c r="I52" s="477">
        <v>807215</v>
      </c>
      <c r="J52" s="472">
        <v>594415</v>
      </c>
      <c r="K52" s="472">
        <v>0</v>
      </c>
      <c r="L52" s="472">
        <v>200912</v>
      </c>
      <c r="M52" s="472">
        <v>11888</v>
      </c>
      <c r="N52" s="472">
        <v>0</v>
      </c>
      <c r="O52" s="473">
        <v>1.2942</v>
      </c>
      <c r="P52" s="474">
        <v>1.2942</v>
      </c>
      <c r="Q52" s="483">
        <v>0</v>
      </c>
      <c r="R52" s="485">
        <f t="shared" si="93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94"/>
        <v>0</v>
      </c>
      <c r="Y52" s="475">
        <v>0</v>
      </c>
      <c r="Z52" s="475">
        <v>0</v>
      </c>
      <c r="AA52" s="475">
        <v>0</v>
      </c>
      <c r="AB52" s="475">
        <f t="shared" si="95"/>
        <v>0</v>
      </c>
      <c r="AC52" s="475">
        <f t="shared" si="96"/>
        <v>0</v>
      </c>
      <c r="AD52" s="70">
        <f t="shared" si="97"/>
        <v>0</v>
      </c>
      <c r="AE52" s="70">
        <f t="shared" si="98"/>
        <v>0</v>
      </c>
      <c r="AF52" s="475">
        <v>0</v>
      </c>
      <c r="AG52" s="475">
        <v>0</v>
      </c>
      <c r="AH52" s="475">
        <f t="shared" si="99"/>
        <v>0</v>
      </c>
      <c r="AI52" s="475">
        <f t="shared" si="100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 t="shared" si="101"/>
        <v>0</v>
      </c>
      <c r="AS52" s="476">
        <f t="shared" si="102"/>
        <v>0</v>
      </c>
      <c r="AT52" s="478">
        <f t="shared" si="103"/>
        <v>0</v>
      </c>
      <c r="AU52" s="484">
        <f t="shared" si="104"/>
        <v>807215</v>
      </c>
      <c r="AV52" s="475">
        <f t="shared" si="105"/>
        <v>594415</v>
      </c>
      <c r="AW52" s="475">
        <f t="shared" si="106"/>
        <v>0</v>
      </c>
      <c r="AX52" s="475">
        <f t="shared" si="107"/>
        <v>200912</v>
      </c>
      <c r="AY52" s="475">
        <f t="shared" si="107"/>
        <v>11888</v>
      </c>
      <c r="AZ52" s="475">
        <f t="shared" si="108"/>
        <v>0</v>
      </c>
      <c r="BA52" s="476">
        <f t="shared" si="109"/>
        <v>1.2942</v>
      </c>
      <c r="BB52" s="476">
        <f t="shared" si="110"/>
        <v>1.2942</v>
      </c>
      <c r="BC52" s="478">
        <f t="shared" si="110"/>
        <v>0</v>
      </c>
    </row>
    <row r="53" spans="1:55" ht="12.95" customHeight="1" x14ac:dyDescent="0.25">
      <c r="A53" s="309">
        <v>8</v>
      </c>
      <c r="B53" s="349">
        <v>5410</v>
      </c>
      <c r="C53" s="350">
        <v>600099318</v>
      </c>
      <c r="D53" s="309">
        <v>854778</v>
      </c>
      <c r="E53" s="377" t="s">
        <v>443</v>
      </c>
      <c r="F53" s="349">
        <v>3143</v>
      </c>
      <c r="G53" s="312" t="s">
        <v>627</v>
      </c>
      <c r="H53" s="312" t="s">
        <v>278</v>
      </c>
      <c r="I53" s="477">
        <v>24948</v>
      </c>
      <c r="J53" s="472">
        <v>17642</v>
      </c>
      <c r="K53" s="472">
        <v>0</v>
      </c>
      <c r="L53" s="472">
        <v>5963</v>
      </c>
      <c r="M53" s="472">
        <v>353</v>
      </c>
      <c r="N53" s="472">
        <v>990</v>
      </c>
      <c r="O53" s="473">
        <v>7.0000000000000007E-2</v>
      </c>
      <c r="P53" s="474">
        <v>0</v>
      </c>
      <c r="Q53" s="483">
        <v>7.0000000000000007E-2</v>
      </c>
      <c r="R53" s="485">
        <f t="shared" si="93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94"/>
        <v>0</v>
      </c>
      <c r="Y53" s="475">
        <v>0</v>
      </c>
      <c r="Z53" s="475">
        <v>0</v>
      </c>
      <c r="AA53" s="475">
        <v>0</v>
      </c>
      <c r="AB53" s="475">
        <f t="shared" si="95"/>
        <v>0</v>
      </c>
      <c r="AC53" s="475">
        <f t="shared" si="96"/>
        <v>0</v>
      </c>
      <c r="AD53" s="70">
        <f t="shared" si="97"/>
        <v>0</v>
      </c>
      <c r="AE53" s="70">
        <f t="shared" si="98"/>
        <v>0</v>
      </c>
      <c r="AF53" s="475">
        <v>0</v>
      </c>
      <c r="AG53" s="475">
        <v>0</v>
      </c>
      <c r="AH53" s="475">
        <f t="shared" si="99"/>
        <v>0</v>
      </c>
      <c r="AI53" s="475">
        <f t="shared" si="100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 t="shared" si="101"/>
        <v>0</v>
      </c>
      <c r="AS53" s="476">
        <f t="shared" si="102"/>
        <v>0</v>
      </c>
      <c r="AT53" s="478">
        <f t="shared" si="103"/>
        <v>0</v>
      </c>
      <c r="AU53" s="484">
        <f t="shared" si="104"/>
        <v>24948</v>
      </c>
      <c r="AV53" s="475">
        <f t="shared" si="105"/>
        <v>17642</v>
      </c>
      <c r="AW53" s="475">
        <f t="shared" si="106"/>
        <v>0</v>
      </c>
      <c r="AX53" s="475">
        <f t="shared" si="107"/>
        <v>5963</v>
      </c>
      <c r="AY53" s="475">
        <f t="shared" si="107"/>
        <v>353</v>
      </c>
      <c r="AZ53" s="475">
        <f t="shared" si="108"/>
        <v>990</v>
      </c>
      <c r="BA53" s="476">
        <f t="shared" si="109"/>
        <v>7.0000000000000007E-2</v>
      </c>
      <c r="BB53" s="476">
        <f t="shared" si="110"/>
        <v>0</v>
      </c>
      <c r="BC53" s="478">
        <f t="shared" si="110"/>
        <v>7.0000000000000007E-2</v>
      </c>
    </row>
    <row r="54" spans="1:55" ht="12.95" customHeight="1" x14ac:dyDescent="0.25">
      <c r="A54" s="319">
        <v>8</v>
      </c>
      <c r="B54" s="353">
        <v>5410</v>
      </c>
      <c r="C54" s="354">
        <v>600099318</v>
      </c>
      <c r="D54" s="353">
        <v>854778</v>
      </c>
      <c r="E54" s="378" t="s">
        <v>444</v>
      </c>
      <c r="F54" s="353"/>
      <c r="G54" s="379"/>
      <c r="H54" s="380"/>
      <c r="I54" s="560">
        <v>20021899</v>
      </c>
      <c r="J54" s="556">
        <v>14478645</v>
      </c>
      <c r="K54" s="556">
        <v>60000</v>
      </c>
      <c r="L54" s="556">
        <v>4914062</v>
      </c>
      <c r="M54" s="556">
        <v>289572</v>
      </c>
      <c r="N54" s="556">
        <v>279620</v>
      </c>
      <c r="O54" s="557">
        <v>31.5213</v>
      </c>
      <c r="P54" s="557">
        <v>19.640799999999999</v>
      </c>
      <c r="Q54" s="562">
        <v>11.880500000000001</v>
      </c>
      <c r="R54" s="560">
        <f t="shared" ref="R54:BC54" si="111">SUM(R48:R53)</f>
        <v>0</v>
      </c>
      <c r="S54" s="556">
        <f t="shared" si="111"/>
        <v>0</v>
      </c>
      <c r="T54" s="556">
        <f t="shared" si="111"/>
        <v>-17240</v>
      </c>
      <c r="U54" s="556">
        <f t="shared" si="111"/>
        <v>0</v>
      </c>
      <c r="V54" s="556">
        <f t="shared" si="111"/>
        <v>0</v>
      </c>
      <c r="W54" s="556">
        <f t="shared" si="111"/>
        <v>0</v>
      </c>
      <c r="X54" s="556">
        <f t="shared" si="111"/>
        <v>-17240</v>
      </c>
      <c r="Y54" s="556">
        <f t="shared" si="111"/>
        <v>0</v>
      </c>
      <c r="Z54" s="556">
        <f t="shared" si="111"/>
        <v>0</v>
      </c>
      <c r="AA54" s="556">
        <f t="shared" si="111"/>
        <v>0</v>
      </c>
      <c r="AB54" s="556">
        <f t="shared" si="111"/>
        <v>0</v>
      </c>
      <c r="AC54" s="556">
        <f t="shared" si="111"/>
        <v>-17240</v>
      </c>
      <c r="AD54" s="556">
        <f t="shared" si="111"/>
        <v>-5827</v>
      </c>
      <c r="AE54" s="556">
        <f t="shared" si="111"/>
        <v>-345</v>
      </c>
      <c r="AF54" s="556">
        <f t="shared" si="111"/>
        <v>0</v>
      </c>
      <c r="AG54" s="556">
        <f t="shared" si="111"/>
        <v>0</v>
      </c>
      <c r="AH54" s="556">
        <f t="shared" si="111"/>
        <v>0</v>
      </c>
      <c r="AI54" s="556">
        <f t="shared" si="111"/>
        <v>-23412</v>
      </c>
      <c r="AJ54" s="557">
        <f t="shared" si="111"/>
        <v>0</v>
      </c>
      <c r="AK54" s="557">
        <f t="shared" si="111"/>
        <v>0</v>
      </c>
      <c r="AL54" s="557">
        <f t="shared" si="111"/>
        <v>0</v>
      </c>
      <c r="AM54" s="557">
        <f t="shared" si="111"/>
        <v>0</v>
      </c>
      <c r="AN54" s="557">
        <f t="shared" si="111"/>
        <v>-6.0000000000000005E-2</v>
      </c>
      <c r="AO54" s="557">
        <f t="shared" si="111"/>
        <v>0</v>
      </c>
      <c r="AP54" s="557">
        <f t="shared" si="111"/>
        <v>0</v>
      </c>
      <c r="AQ54" s="557">
        <f t="shared" si="111"/>
        <v>0</v>
      </c>
      <c r="AR54" s="557">
        <f t="shared" si="111"/>
        <v>0</v>
      </c>
      <c r="AS54" s="557">
        <f t="shared" si="111"/>
        <v>-6.0000000000000005E-2</v>
      </c>
      <c r="AT54" s="307">
        <f t="shared" si="111"/>
        <v>-6.0000000000000005E-2</v>
      </c>
      <c r="AU54" s="564">
        <f t="shared" si="111"/>
        <v>19998487</v>
      </c>
      <c r="AV54" s="556">
        <f t="shared" si="111"/>
        <v>14461405</v>
      </c>
      <c r="AW54" s="556">
        <f t="shared" si="111"/>
        <v>60000</v>
      </c>
      <c r="AX54" s="556">
        <f t="shared" si="111"/>
        <v>4908235</v>
      </c>
      <c r="AY54" s="556">
        <f t="shared" si="111"/>
        <v>289227</v>
      </c>
      <c r="AZ54" s="556">
        <f t="shared" si="111"/>
        <v>279620</v>
      </c>
      <c r="BA54" s="557">
        <f t="shared" si="111"/>
        <v>31.461299999999998</v>
      </c>
      <c r="BB54" s="557">
        <f t="shared" si="111"/>
        <v>19.640799999999999</v>
      </c>
      <c r="BC54" s="307">
        <f t="shared" si="111"/>
        <v>11.820500000000001</v>
      </c>
    </row>
    <row r="55" spans="1:55" ht="12.95" customHeight="1" x14ac:dyDescent="0.25">
      <c r="A55" s="309">
        <v>9</v>
      </c>
      <c r="B55" s="349">
        <v>5476</v>
      </c>
      <c r="C55" s="350">
        <v>650046072</v>
      </c>
      <c r="D55" s="309">
        <v>71002723</v>
      </c>
      <c r="E55" s="377" t="s">
        <v>445</v>
      </c>
      <c r="F55" s="349">
        <v>3111</v>
      </c>
      <c r="G55" s="373" t="s">
        <v>325</v>
      </c>
      <c r="H55" s="312" t="s">
        <v>277</v>
      </c>
      <c r="I55" s="477">
        <v>2963352</v>
      </c>
      <c r="J55" s="472">
        <v>2152122</v>
      </c>
      <c r="K55" s="472">
        <v>15000</v>
      </c>
      <c r="L55" s="472">
        <v>732488</v>
      </c>
      <c r="M55" s="472">
        <v>43042</v>
      </c>
      <c r="N55" s="472">
        <v>20700</v>
      </c>
      <c r="O55" s="473">
        <v>4.5617999999999999</v>
      </c>
      <c r="P55" s="474">
        <v>3.54</v>
      </c>
      <c r="Q55" s="483">
        <v>1.0218</v>
      </c>
      <c r="R55" s="485">
        <f t="shared" ref="R55:R61" si="112">Y55*-1</f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ref="X55:X61" si="113">SUM(R55:W55)</f>
        <v>0</v>
      </c>
      <c r="Y55" s="475">
        <v>0</v>
      </c>
      <c r="Z55" s="475">
        <v>0</v>
      </c>
      <c r="AA55" s="475">
        <v>0</v>
      </c>
      <c r="AB55" s="475">
        <f t="shared" ref="AB55:AB61" si="114">SUM(Y55:AA55)</f>
        <v>0</v>
      </c>
      <c r="AC55" s="475">
        <f t="shared" ref="AC55:AC61" si="115">X55+AB55</f>
        <v>0</v>
      </c>
      <c r="AD55" s="70">
        <f t="shared" ref="AD55:AD61" si="116">ROUND((X55+Y55+Z55)*33.8%,0)</f>
        <v>0</v>
      </c>
      <c r="AE55" s="70">
        <f t="shared" ref="AE55:AE61" si="117">ROUND(X55*2%,0)</f>
        <v>0</v>
      </c>
      <c r="AF55" s="475">
        <v>0</v>
      </c>
      <c r="AG55" s="475">
        <v>0</v>
      </c>
      <c r="AH55" s="475">
        <f t="shared" ref="AH55:AH61" si="118">SUM(AF55:AG55)</f>
        <v>0</v>
      </c>
      <c r="AI55" s="475">
        <f t="shared" ref="AI55:AI61" si="119">AC55+AD55+AE55+AH55</f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 t="shared" ref="AR55:AR61" si="120">AJ55+AL55+AM55+AO55+AP55</f>
        <v>0</v>
      </c>
      <c r="AS55" s="476">
        <f t="shared" ref="AS55:AS61" si="121">AK55+AN55+AQ55</f>
        <v>0</v>
      </c>
      <c r="AT55" s="478">
        <f t="shared" ref="AT55:AT61" si="122">SUM(AR55:AS55)</f>
        <v>0</v>
      </c>
      <c r="AU55" s="484">
        <f t="shared" ref="AU55:AU61" si="123">I55+AI55</f>
        <v>2963352</v>
      </c>
      <c r="AV55" s="475">
        <f t="shared" ref="AV55:AV61" si="124">J55+X55</f>
        <v>2152122</v>
      </c>
      <c r="AW55" s="475">
        <f t="shared" ref="AW55:AW61" si="125">K55+AB55</f>
        <v>15000</v>
      </c>
      <c r="AX55" s="475">
        <f t="shared" ref="AX55:AY61" si="126">L55+AD55</f>
        <v>732488</v>
      </c>
      <c r="AY55" s="475">
        <f t="shared" si="126"/>
        <v>43042</v>
      </c>
      <c r="AZ55" s="475">
        <f t="shared" ref="AZ55:AZ61" si="127">N55+AH55</f>
        <v>20700</v>
      </c>
      <c r="BA55" s="476">
        <f t="shared" ref="BA55:BA61" si="128">O55+AT55</f>
        <v>4.5617999999999999</v>
      </c>
      <c r="BB55" s="476">
        <f t="shared" ref="BB55:BC61" si="129">P55+AR55</f>
        <v>3.54</v>
      </c>
      <c r="BC55" s="478">
        <f t="shared" si="129"/>
        <v>1.0218</v>
      </c>
    </row>
    <row r="56" spans="1:55" ht="12.95" customHeight="1" x14ac:dyDescent="0.25">
      <c r="A56" s="309">
        <v>9</v>
      </c>
      <c r="B56" s="349">
        <v>5476</v>
      </c>
      <c r="C56" s="350">
        <v>650046072</v>
      </c>
      <c r="D56" s="309">
        <v>71002723</v>
      </c>
      <c r="E56" s="377" t="s">
        <v>445</v>
      </c>
      <c r="F56" s="349">
        <v>3113</v>
      </c>
      <c r="G56" s="373" t="s">
        <v>329</v>
      </c>
      <c r="H56" s="312" t="s">
        <v>277</v>
      </c>
      <c r="I56" s="477">
        <v>12512648</v>
      </c>
      <c r="J56" s="472">
        <v>9022259</v>
      </c>
      <c r="K56" s="472">
        <v>45000</v>
      </c>
      <c r="L56" s="472">
        <v>3064734</v>
      </c>
      <c r="M56" s="472">
        <v>180445</v>
      </c>
      <c r="N56" s="472">
        <v>200210</v>
      </c>
      <c r="O56" s="473">
        <v>17.143700000000003</v>
      </c>
      <c r="P56" s="474">
        <v>12.836500000000001</v>
      </c>
      <c r="Q56" s="483">
        <v>4.3071999999999999</v>
      </c>
      <c r="R56" s="485">
        <f t="shared" si="112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13"/>
        <v>0</v>
      </c>
      <c r="Y56" s="475">
        <v>0</v>
      </c>
      <c r="Z56" s="475">
        <v>0</v>
      </c>
      <c r="AA56" s="475">
        <v>0</v>
      </c>
      <c r="AB56" s="475">
        <f t="shared" si="114"/>
        <v>0</v>
      </c>
      <c r="AC56" s="475">
        <f t="shared" si="115"/>
        <v>0</v>
      </c>
      <c r="AD56" s="70">
        <f t="shared" si="116"/>
        <v>0</v>
      </c>
      <c r="AE56" s="70">
        <f t="shared" si="117"/>
        <v>0</v>
      </c>
      <c r="AF56" s="475">
        <v>0</v>
      </c>
      <c r="AG56" s="475">
        <v>0</v>
      </c>
      <c r="AH56" s="475">
        <f t="shared" si="118"/>
        <v>0</v>
      </c>
      <c r="AI56" s="475">
        <f t="shared" si="119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 t="shared" si="120"/>
        <v>0</v>
      </c>
      <c r="AS56" s="476">
        <f t="shared" si="121"/>
        <v>0</v>
      </c>
      <c r="AT56" s="478">
        <f t="shared" si="122"/>
        <v>0</v>
      </c>
      <c r="AU56" s="484">
        <f t="shared" si="123"/>
        <v>12512648</v>
      </c>
      <c r="AV56" s="475">
        <f t="shared" si="124"/>
        <v>9022259</v>
      </c>
      <c r="AW56" s="475">
        <f t="shared" si="125"/>
        <v>45000</v>
      </c>
      <c r="AX56" s="475">
        <f t="shared" si="126"/>
        <v>3064734</v>
      </c>
      <c r="AY56" s="475">
        <f t="shared" si="126"/>
        <v>180445</v>
      </c>
      <c r="AZ56" s="475">
        <f t="shared" si="127"/>
        <v>200210</v>
      </c>
      <c r="BA56" s="476">
        <f t="shared" si="128"/>
        <v>17.143700000000003</v>
      </c>
      <c r="BB56" s="476">
        <f t="shared" si="129"/>
        <v>12.836500000000001</v>
      </c>
      <c r="BC56" s="478">
        <f t="shared" si="129"/>
        <v>4.3071999999999999</v>
      </c>
    </row>
    <row r="57" spans="1:55" ht="12.95" customHeight="1" x14ac:dyDescent="0.25">
      <c r="A57" s="309">
        <v>9</v>
      </c>
      <c r="B57" s="349">
        <v>5476</v>
      </c>
      <c r="C57" s="350">
        <v>650046072</v>
      </c>
      <c r="D57" s="309">
        <v>71002723</v>
      </c>
      <c r="E57" s="377" t="s">
        <v>445</v>
      </c>
      <c r="F57" s="349">
        <v>3113</v>
      </c>
      <c r="G57" s="312" t="s">
        <v>312</v>
      </c>
      <c r="H57" s="312" t="s">
        <v>278</v>
      </c>
      <c r="I57" s="477">
        <v>417135</v>
      </c>
      <c r="J57" s="472">
        <v>305916</v>
      </c>
      <c r="K57" s="472">
        <v>0</v>
      </c>
      <c r="L57" s="472">
        <v>103400</v>
      </c>
      <c r="M57" s="472">
        <v>6119</v>
      </c>
      <c r="N57" s="472">
        <v>1700</v>
      </c>
      <c r="O57" s="473">
        <v>0.8</v>
      </c>
      <c r="P57" s="474">
        <v>0.8</v>
      </c>
      <c r="Q57" s="483">
        <v>0</v>
      </c>
      <c r="R57" s="485">
        <f t="shared" si="112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13"/>
        <v>0</v>
      </c>
      <c r="Y57" s="475">
        <v>0</v>
      </c>
      <c r="Z57" s="475">
        <v>0</v>
      </c>
      <c r="AA57" s="475">
        <v>0</v>
      </c>
      <c r="AB57" s="475">
        <f t="shared" si="114"/>
        <v>0</v>
      </c>
      <c r="AC57" s="475">
        <f t="shared" si="115"/>
        <v>0</v>
      </c>
      <c r="AD57" s="70">
        <f t="shared" si="116"/>
        <v>0</v>
      </c>
      <c r="AE57" s="70">
        <f t="shared" si="117"/>
        <v>0</v>
      </c>
      <c r="AF57" s="475">
        <v>0</v>
      </c>
      <c r="AG57" s="475">
        <v>0</v>
      </c>
      <c r="AH57" s="475">
        <f t="shared" si="118"/>
        <v>0</v>
      </c>
      <c r="AI57" s="475">
        <f t="shared" si="119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si="120"/>
        <v>0</v>
      </c>
      <c r="AS57" s="476">
        <f t="shared" si="121"/>
        <v>0</v>
      </c>
      <c r="AT57" s="478">
        <f t="shared" si="122"/>
        <v>0</v>
      </c>
      <c r="AU57" s="484">
        <f t="shared" si="123"/>
        <v>417135</v>
      </c>
      <c r="AV57" s="475">
        <f t="shared" si="124"/>
        <v>305916</v>
      </c>
      <c r="AW57" s="475">
        <f t="shared" si="125"/>
        <v>0</v>
      </c>
      <c r="AX57" s="475">
        <f t="shared" si="126"/>
        <v>103400</v>
      </c>
      <c r="AY57" s="475">
        <f t="shared" si="126"/>
        <v>6119</v>
      </c>
      <c r="AZ57" s="475">
        <f t="shared" si="127"/>
        <v>1700</v>
      </c>
      <c r="BA57" s="476">
        <f t="shared" si="128"/>
        <v>0.8</v>
      </c>
      <c r="BB57" s="476">
        <f t="shared" si="129"/>
        <v>0.8</v>
      </c>
      <c r="BC57" s="478">
        <f t="shared" si="129"/>
        <v>0</v>
      </c>
    </row>
    <row r="58" spans="1:55" ht="12.95" customHeight="1" x14ac:dyDescent="0.25">
      <c r="A58" s="309">
        <v>9</v>
      </c>
      <c r="B58" s="349">
        <v>5476</v>
      </c>
      <c r="C58" s="350">
        <v>650046072</v>
      </c>
      <c r="D58" s="309">
        <v>71002723</v>
      </c>
      <c r="E58" s="377" t="s">
        <v>445</v>
      </c>
      <c r="F58" s="349">
        <v>3141</v>
      </c>
      <c r="G58" s="373" t="s">
        <v>315</v>
      </c>
      <c r="H58" s="312" t="s">
        <v>278</v>
      </c>
      <c r="I58" s="477">
        <v>1800790</v>
      </c>
      <c r="J58" s="472">
        <v>1318074</v>
      </c>
      <c r="K58" s="472">
        <v>0</v>
      </c>
      <c r="L58" s="472">
        <v>445509</v>
      </c>
      <c r="M58" s="472">
        <v>26361</v>
      </c>
      <c r="N58" s="472">
        <v>10846</v>
      </c>
      <c r="O58" s="473">
        <v>4.1500000000000004</v>
      </c>
      <c r="P58" s="474">
        <v>0</v>
      </c>
      <c r="Q58" s="483">
        <v>4.1500000000000004</v>
      </c>
      <c r="R58" s="485">
        <f t="shared" si="112"/>
        <v>0</v>
      </c>
      <c r="S58" s="475">
        <v>0</v>
      </c>
      <c r="T58" s="475">
        <f>-9318-17247</f>
        <v>-26565</v>
      </c>
      <c r="U58" s="475">
        <v>0</v>
      </c>
      <c r="V58" s="475">
        <v>0</v>
      </c>
      <c r="W58" s="475">
        <v>0</v>
      </c>
      <c r="X58" s="475">
        <f t="shared" si="113"/>
        <v>-26565</v>
      </c>
      <c r="Y58" s="475">
        <v>0</v>
      </c>
      <c r="Z58" s="475">
        <v>0</v>
      </c>
      <c r="AA58" s="475">
        <v>0</v>
      </c>
      <c r="AB58" s="475">
        <f t="shared" si="114"/>
        <v>0</v>
      </c>
      <c r="AC58" s="475">
        <f t="shared" si="115"/>
        <v>-26565</v>
      </c>
      <c r="AD58" s="70">
        <f t="shared" si="116"/>
        <v>-8979</v>
      </c>
      <c r="AE58" s="70">
        <f t="shared" si="117"/>
        <v>-531</v>
      </c>
      <c r="AF58" s="475">
        <v>0</v>
      </c>
      <c r="AG58" s="475">
        <v>0</v>
      </c>
      <c r="AH58" s="475">
        <f t="shared" si="118"/>
        <v>0</v>
      </c>
      <c r="AI58" s="475">
        <f t="shared" si="119"/>
        <v>-36075</v>
      </c>
      <c r="AJ58" s="476">
        <v>0</v>
      </c>
      <c r="AK58" s="476">
        <v>0</v>
      </c>
      <c r="AL58" s="476">
        <v>0</v>
      </c>
      <c r="AM58" s="476">
        <v>0</v>
      </c>
      <c r="AN58" s="476">
        <f>-0.03-0.05</f>
        <v>-0.08</v>
      </c>
      <c r="AO58" s="476">
        <v>0</v>
      </c>
      <c r="AP58" s="476">
        <v>0</v>
      </c>
      <c r="AQ58" s="476">
        <v>0</v>
      </c>
      <c r="AR58" s="476">
        <f t="shared" si="120"/>
        <v>0</v>
      </c>
      <c r="AS58" s="476">
        <f t="shared" si="121"/>
        <v>-0.08</v>
      </c>
      <c r="AT58" s="478">
        <f t="shared" si="122"/>
        <v>-0.08</v>
      </c>
      <c r="AU58" s="484">
        <f t="shared" si="123"/>
        <v>1764715</v>
      </c>
      <c r="AV58" s="475">
        <f t="shared" si="124"/>
        <v>1291509</v>
      </c>
      <c r="AW58" s="475">
        <f t="shared" si="125"/>
        <v>0</v>
      </c>
      <c r="AX58" s="475">
        <f t="shared" si="126"/>
        <v>436530</v>
      </c>
      <c r="AY58" s="475">
        <f t="shared" si="126"/>
        <v>25830</v>
      </c>
      <c r="AZ58" s="475">
        <f t="shared" si="127"/>
        <v>10846</v>
      </c>
      <c r="BA58" s="476">
        <f t="shared" si="128"/>
        <v>4.07</v>
      </c>
      <c r="BB58" s="476">
        <f t="shared" si="129"/>
        <v>0</v>
      </c>
      <c r="BC58" s="478">
        <f t="shared" si="129"/>
        <v>4.07</v>
      </c>
    </row>
    <row r="59" spans="1:55" ht="12.95" customHeight="1" x14ac:dyDescent="0.25">
      <c r="A59" s="309">
        <v>9</v>
      </c>
      <c r="B59" s="349">
        <v>5476</v>
      </c>
      <c r="C59" s="350">
        <v>650046072</v>
      </c>
      <c r="D59" s="309">
        <v>71002723</v>
      </c>
      <c r="E59" s="377" t="s">
        <v>445</v>
      </c>
      <c r="F59" s="349">
        <v>3143</v>
      </c>
      <c r="G59" s="312" t="s">
        <v>626</v>
      </c>
      <c r="H59" s="312" t="s">
        <v>277</v>
      </c>
      <c r="I59" s="477">
        <v>770565</v>
      </c>
      <c r="J59" s="472">
        <v>562500</v>
      </c>
      <c r="K59" s="472">
        <v>5000</v>
      </c>
      <c r="L59" s="472">
        <v>191815</v>
      </c>
      <c r="M59" s="472">
        <v>11250</v>
      </c>
      <c r="N59" s="472">
        <v>0</v>
      </c>
      <c r="O59" s="473">
        <v>1.3</v>
      </c>
      <c r="P59" s="474">
        <v>1.3</v>
      </c>
      <c r="Q59" s="483">
        <v>0</v>
      </c>
      <c r="R59" s="485">
        <f t="shared" si="112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13"/>
        <v>0</v>
      </c>
      <c r="Y59" s="475">
        <v>0</v>
      </c>
      <c r="Z59" s="475">
        <v>0</v>
      </c>
      <c r="AA59" s="475">
        <v>0</v>
      </c>
      <c r="AB59" s="475">
        <f t="shared" si="114"/>
        <v>0</v>
      </c>
      <c r="AC59" s="475">
        <f t="shared" si="115"/>
        <v>0</v>
      </c>
      <c r="AD59" s="70">
        <f t="shared" si="116"/>
        <v>0</v>
      </c>
      <c r="AE59" s="70">
        <f t="shared" si="117"/>
        <v>0</v>
      </c>
      <c r="AF59" s="475">
        <v>0</v>
      </c>
      <c r="AG59" s="475">
        <v>0</v>
      </c>
      <c r="AH59" s="475">
        <f t="shared" si="118"/>
        <v>0</v>
      </c>
      <c r="AI59" s="475">
        <f t="shared" si="119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20"/>
        <v>0</v>
      </c>
      <c r="AS59" s="476">
        <f t="shared" si="121"/>
        <v>0</v>
      </c>
      <c r="AT59" s="478">
        <f t="shared" si="122"/>
        <v>0</v>
      </c>
      <c r="AU59" s="484">
        <f t="shared" si="123"/>
        <v>770565</v>
      </c>
      <c r="AV59" s="475">
        <f t="shared" si="124"/>
        <v>562500</v>
      </c>
      <c r="AW59" s="475">
        <f t="shared" si="125"/>
        <v>5000</v>
      </c>
      <c r="AX59" s="475">
        <f t="shared" si="126"/>
        <v>191815</v>
      </c>
      <c r="AY59" s="475">
        <f t="shared" si="126"/>
        <v>11250</v>
      </c>
      <c r="AZ59" s="475">
        <f t="shared" si="127"/>
        <v>0</v>
      </c>
      <c r="BA59" s="476">
        <f t="shared" si="128"/>
        <v>1.3</v>
      </c>
      <c r="BB59" s="476">
        <f t="shared" si="129"/>
        <v>1.3</v>
      </c>
      <c r="BC59" s="478">
        <f t="shared" si="129"/>
        <v>0</v>
      </c>
    </row>
    <row r="60" spans="1:55" ht="12.95" customHeight="1" x14ac:dyDescent="0.25">
      <c r="A60" s="309">
        <v>9</v>
      </c>
      <c r="B60" s="349">
        <v>5476</v>
      </c>
      <c r="C60" s="350">
        <v>650046072</v>
      </c>
      <c r="D60" s="309">
        <v>71002723</v>
      </c>
      <c r="E60" s="377" t="s">
        <v>445</v>
      </c>
      <c r="F60" s="349">
        <v>3143</v>
      </c>
      <c r="G60" s="312" t="s">
        <v>627</v>
      </c>
      <c r="H60" s="312" t="s">
        <v>278</v>
      </c>
      <c r="I60" s="477">
        <v>27973</v>
      </c>
      <c r="J60" s="472">
        <v>19781</v>
      </c>
      <c r="K60" s="472">
        <v>0</v>
      </c>
      <c r="L60" s="472">
        <v>6686</v>
      </c>
      <c r="M60" s="472">
        <v>396</v>
      </c>
      <c r="N60" s="472">
        <v>1110</v>
      </c>
      <c r="O60" s="473">
        <v>0.08</v>
      </c>
      <c r="P60" s="474">
        <v>0</v>
      </c>
      <c r="Q60" s="483">
        <v>0.08</v>
      </c>
      <c r="R60" s="485">
        <f t="shared" si="112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13"/>
        <v>0</v>
      </c>
      <c r="Y60" s="475">
        <v>0</v>
      </c>
      <c r="Z60" s="475">
        <v>0</v>
      </c>
      <c r="AA60" s="475">
        <v>0</v>
      </c>
      <c r="AB60" s="475">
        <f t="shared" si="114"/>
        <v>0</v>
      </c>
      <c r="AC60" s="475">
        <f t="shared" si="115"/>
        <v>0</v>
      </c>
      <c r="AD60" s="70">
        <f t="shared" si="116"/>
        <v>0</v>
      </c>
      <c r="AE60" s="70">
        <f t="shared" si="117"/>
        <v>0</v>
      </c>
      <c r="AF60" s="475">
        <v>0</v>
      </c>
      <c r="AG60" s="475">
        <v>0</v>
      </c>
      <c r="AH60" s="475">
        <f t="shared" si="118"/>
        <v>0</v>
      </c>
      <c r="AI60" s="475">
        <f t="shared" si="119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20"/>
        <v>0</v>
      </c>
      <c r="AS60" s="476">
        <f t="shared" si="121"/>
        <v>0</v>
      </c>
      <c r="AT60" s="478">
        <f t="shared" si="122"/>
        <v>0</v>
      </c>
      <c r="AU60" s="484">
        <f t="shared" si="123"/>
        <v>27973</v>
      </c>
      <c r="AV60" s="475">
        <f t="shared" si="124"/>
        <v>19781</v>
      </c>
      <c r="AW60" s="475">
        <f t="shared" si="125"/>
        <v>0</v>
      </c>
      <c r="AX60" s="475">
        <f t="shared" si="126"/>
        <v>6686</v>
      </c>
      <c r="AY60" s="475">
        <f t="shared" si="126"/>
        <v>396</v>
      </c>
      <c r="AZ60" s="475">
        <f t="shared" si="127"/>
        <v>1110</v>
      </c>
      <c r="BA60" s="476">
        <f t="shared" si="128"/>
        <v>0.08</v>
      </c>
      <c r="BB60" s="476">
        <f t="shared" si="129"/>
        <v>0</v>
      </c>
      <c r="BC60" s="478">
        <f t="shared" si="129"/>
        <v>0.08</v>
      </c>
    </row>
    <row r="61" spans="1:55" ht="12.95" customHeight="1" x14ac:dyDescent="0.25">
      <c r="A61" s="309">
        <v>9</v>
      </c>
      <c r="B61" s="349">
        <v>5476</v>
      </c>
      <c r="C61" s="350">
        <v>650046072</v>
      </c>
      <c r="D61" s="309">
        <v>71002723</v>
      </c>
      <c r="E61" s="377" t="s">
        <v>445</v>
      </c>
      <c r="F61" s="349">
        <v>3231</v>
      </c>
      <c r="G61" s="373" t="s">
        <v>316</v>
      </c>
      <c r="H61" s="312" t="s">
        <v>277</v>
      </c>
      <c r="I61" s="477">
        <v>6587444</v>
      </c>
      <c r="J61" s="472">
        <v>4827790</v>
      </c>
      <c r="K61" s="472">
        <v>5000</v>
      </c>
      <c r="L61" s="472">
        <v>1633483</v>
      </c>
      <c r="M61" s="472">
        <v>96556</v>
      </c>
      <c r="N61" s="472">
        <v>24615</v>
      </c>
      <c r="O61" s="473">
        <v>9.0091000000000001</v>
      </c>
      <c r="P61" s="474">
        <v>7.9215</v>
      </c>
      <c r="Q61" s="483">
        <v>1.0875999999999999</v>
      </c>
      <c r="R61" s="485">
        <f t="shared" si="112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13"/>
        <v>0</v>
      </c>
      <c r="Y61" s="475">
        <v>0</v>
      </c>
      <c r="Z61" s="475">
        <v>0</v>
      </c>
      <c r="AA61" s="475">
        <v>0</v>
      </c>
      <c r="AB61" s="475">
        <f t="shared" si="114"/>
        <v>0</v>
      </c>
      <c r="AC61" s="475">
        <f t="shared" si="115"/>
        <v>0</v>
      </c>
      <c r="AD61" s="70">
        <f t="shared" si="116"/>
        <v>0</v>
      </c>
      <c r="AE61" s="70">
        <f t="shared" si="117"/>
        <v>0</v>
      </c>
      <c r="AF61" s="475">
        <v>0</v>
      </c>
      <c r="AG61" s="475">
        <v>0</v>
      </c>
      <c r="AH61" s="475">
        <f t="shared" si="118"/>
        <v>0</v>
      </c>
      <c r="AI61" s="475">
        <f t="shared" si="119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20"/>
        <v>0</v>
      </c>
      <c r="AS61" s="476">
        <f t="shared" si="121"/>
        <v>0</v>
      </c>
      <c r="AT61" s="478">
        <f t="shared" si="122"/>
        <v>0</v>
      </c>
      <c r="AU61" s="484">
        <f t="shared" si="123"/>
        <v>6587444</v>
      </c>
      <c r="AV61" s="475">
        <f t="shared" si="124"/>
        <v>4827790</v>
      </c>
      <c r="AW61" s="475">
        <f t="shared" si="125"/>
        <v>5000</v>
      </c>
      <c r="AX61" s="475">
        <f t="shared" si="126"/>
        <v>1633483</v>
      </c>
      <c r="AY61" s="475">
        <f t="shared" si="126"/>
        <v>96556</v>
      </c>
      <c r="AZ61" s="475">
        <f t="shared" si="127"/>
        <v>24615</v>
      </c>
      <c r="BA61" s="476">
        <f t="shared" si="128"/>
        <v>9.0091000000000001</v>
      </c>
      <c r="BB61" s="476">
        <f t="shared" si="129"/>
        <v>7.9215</v>
      </c>
      <c r="BC61" s="478">
        <f t="shared" si="129"/>
        <v>1.0875999999999999</v>
      </c>
    </row>
    <row r="62" spans="1:55" ht="12.95" customHeight="1" x14ac:dyDescent="0.25">
      <c r="A62" s="319">
        <v>9</v>
      </c>
      <c r="B62" s="353">
        <v>5476</v>
      </c>
      <c r="C62" s="354">
        <v>650046072</v>
      </c>
      <c r="D62" s="353">
        <v>71002723</v>
      </c>
      <c r="E62" s="378" t="s">
        <v>446</v>
      </c>
      <c r="F62" s="353"/>
      <c r="G62" s="379"/>
      <c r="H62" s="380"/>
      <c r="I62" s="560">
        <v>25079907</v>
      </c>
      <c r="J62" s="556">
        <v>18208442</v>
      </c>
      <c r="K62" s="556">
        <v>70000</v>
      </c>
      <c r="L62" s="556">
        <v>6178115</v>
      </c>
      <c r="M62" s="556">
        <v>364169</v>
      </c>
      <c r="N62" s="556">
        <v>259181</v>
      </c>
      <c r="O62" s="557">
        <v>37.044600000000003</v>
      </c>
      <c r="P62" s="557">
        <v>26.398000000000003</v>
      </c>
      <c r="Q62" s="562">
        <v>10.646599999999999</v>
      </c>
      <c r="R62" s="560">
        <f t="shared" ref="R62:BC62" si="130">SUM(R55:R61)</f>
        <v>0</v>
      </c>
      <c r="S62" s="556">
        <f t="shared" si="130"/>
        <v>0</v>
      </c>
      <c r="T62" s="556">
        <f t="shared" si="130"/>
        <v>-26565</v>
      </c>
      <c r="U62" s="556">
        <f t="shared" si="130"/>
        <v>0</v>
      </c>
      <c r="V62" s="556">
        <f t="shared" si="130"/>
        <v>0</v>
      </c>
      <c r="W62" s="556">
        <f t="shared" si="130"/>
        <v>0</v>
      </c>
      <c r="X62" s="556">
        <f t="shared" si="130"/>
        <v>-26565</v>
      </c>
      <c r="Y62" s="556">
        <f t="shared" si="130"/>
        <v>0</v>
      </c>
      <c r="Z62" s="556">
        <f t="shared" si="130"/>
        <v>0</v>
      </c>
      <c r="AA62" s="556">
        <f t="shared" si="130"/>
        <v>0</v>
      </c>
      <c r="AB62" s="556">
        <f t="shared" si="130"/>
        <v>0</v>
      </c>
      <c r="AC62" s="556">
        <f t="shared" si="130"/>
        <v>-26565</v>
      </c>
      <c r="AD62" s="556">
        <f t="shared" si="130"/>
        <v>-8979</v>
      </c>
      <c r="AE62" s="556">
        <f t="shared" si="130"/>
        <v>-531</v>
      </c>
      <c r="AF62" s="556">
        <f t="shared" si="130"/>
        <v>0</v>
      </c>
      <c r="AG62" s="556">
        <f t="shared" si="130"/>
        <v>0</v>
      </c>
      <c r="AH62" s="556">
        <f t="shared" si="130"/>
        <v>0</v>
      </c>
      <c r="AI62" s="556">
        <f t="shared" si="130"/>
        <v>-36075</v>
      </c>
      <c r="AJ62" s="557">
        <f t="shared" si="130"/>
        <v>0</v>
      </c>
      <c r="AK62" s="557">
        <f t="shared" si="130"/>
        <v>0</v>
      </c>
      <c r="AL62" s="557">
        <f t="shared" si="130"/>
        <v>0</v>
      </c>
      <c r="AM62" s="557">
        <f t="shared" si="130"/>
        <v>0</v>
      </c>
      <c r="AN62" s="557">
        <f t="shared" si="130"/>
        <v>-0.08</v>
      </c>
      <c r="AO62" s="557">
        <f t="shared" si="130"/>
        <v>0</v>
      </c>
      <c r="AP62" s="557">
        <f t="shared" si="130"/>
        <v>0</v>
      </c>
      <c r="AQ62" s="557">
        <f t="shared" si="130"/>
        <v>0</v>
      </c>
      <c r="AR62" s="557">
        <f t="shared" si="130"/>
        <v>0</v>
      </c>
      <c r="AS62" s="557">
        <f t="shared" si="130"/>
        <v>-0.08</v>
      </c>
      <c r="AT62" s="307">
        <f t="shared" si="130"/>
        <v>-0.08</v>
      </c>
      <c r="AU62" s="564">
        <f t="shared" si="130"/>
        <v>25043832</v>
      </c>
      <c r="AV62" s="556">
        <f t="shared" si="130"/>
        <v>18181877</v>
      </c>
      <c r="AW62" s="556">
        <f t="shared" si="130"/>
        <v>70000</v>
      </c>
      <c r="AX62" s="556">
        <f t="shared" si="130"/>
        <v>6169136</v>
      </c>
      <c r="AY62" s="556">
        <f t="shared" si="130"/>
        <v>363638</v>
      </c>
      <c r="AZ62" s="556">
        <f t="shared" si="130"/>
        <v>259181</v>
      </c>
      <c r="BA62" s="557">
        <f t="shared" si="130"/>
        <v>36.964600000000004</v>
      </c>
      <c r="BB62" s="557">
        <f t="shared" si="130"/>
        <v>26.398000000000003</v>
      </c>
      <c r="BC62" s="307">
        <f t="shared" si="130"/>
        <v>10.566600000000001</v>
      </c>
    </row>
    <row r="63" spans="1:55" ht="12.95" customHeight="1" x14ac:dyDescent="0.25">
      <c r="A63" s="309">
        <v>10</v>
      </c>
      <c r="B63" s="349">
        <v>5414</v>
      </c>
      <c r="C63" s="350">
        <v>600099008</v>
      </c>
      <c r="D63" s="309">
        <v>70695555</v>
      </c>
      <c r="E63" s="377" t="s">
        <v>447</v>
      </c>
      <c r="F63" s="349">
        <v>3111</v>
      </c>
      <c r="G63" s="373" t="s">
        <v>325</v>
      </c>
      <c r="H63" s="312" t="s">
        <v>277</v>
      </c>
      <c r="I63" s="477">
        <v>1878831</v>
      </c>
      <c r="J63" s="472">
        <v>1375575</v>
      </c>
      <c r="K63" s="472">
        <v>0</v>
      </c>
      <c r="L63" s="472">
        <v>464944</v>
      </c>
      <c r="M63" s="472">
        <v>27512</v>
      </c>
      <c r="N63" s="472">
        <v>10800</v>
      </c>
      <c r="O63" s="473">
        <v>2.83</v>
      </c>
      <c r="P63" s="474">
        <v>2</v>
      </c>
      <c r="Q63" s="483">
        <v>0.83</v>
      </c>
      <c r="R63" s="485">
        <f t="shared" ref="R63:R64" si="131">Y63*-1</f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ref="AB63:AB64" si="132">SUM(Y63:AA63)</f>
        <v>0</v>
      </c>
      <c r="AC63" s="475">
        <f t="shared" ref="AC63:AC64" si="133">X63+AB63</f>
        <v>0</v>
      </c>
      <c r="AD63" s="70">
        <f t="shared" ref="AD63:AD64" si="134">ROUND((X63+Y63+Z63)*33.8%,0)</f>
        <v>0</v>
      </c>
      <c r="AE63" s="70">
        <f t="shared" ref="AE63:AE64" si="135">ROUND(X63*2%,0)</f>
        <v>0</v>
      </c>
      <c r="AF63" s="475">
        <v>0</v>
      </c>
      <c r="AG63" s="475">
        <v>0</v>
      </c>
      <c r="AH63" s="475">
        <f t="shared" ref="AH63:AH64" si="136">SUM(AF63:AG63)</f>
        <v>0</v>
      </c>
      <c r="AI63" s="475">
        <f t="shared" ref="AI63:AI64" si="137">AC63+AD63+AE63+AH63</f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ref="AT63:AT64" si="138">SUM(AR63:AS63)</f>
        <v>0</v>
      </c>
      <c r="AU63" s="484">
        <f>I63+AI63</f>
        <v>1878831</v>
      </c>
      <c r="AV63" s="475">
        <f>J63+X63</f>
        <v>1375575</v>
      </c>
      <c r="AW63" s="475">
        <f t="shared" ref="AW63:AW64" si="139">K63+AB63</f>
        <v>0</v>
      </c>
      <c r="AX63" s="475">
        <f>L63+AD63</f>
        <v>464944</v>
      </c>
      <c r="AY63" s="475">
        <f>M63+AE63</f>
        <v>27512</v>
      </c>
      <c r="AZ63" s="475">
        <f>N63+AH63</f>
        <v>10800</v>
      </c>
      <c r="BA63" s="476">
        <f>O63+AT63</f>
        <v>2.83</v>
      </c>
      <c r="BB63" s="476">
        <f>P63+AR63</f>
        <v>2</v>
      </c>
      <c r="BC63" s="478">
        <f>Q63+AS63</f>
        <v>0.83</v>
      </c>
    </row>
    <row r="64" spans="1:55" ht="12.95" customHeight="1" x14ac:dyDescent="0.25">
      <c r="A64" s="309">
        <v>10</v>
      </c>
      <c r="B64" s="349">
        <v>5414</v>
      </c>
      <c r="C64" s="350">
        <v>600099008</v>
      </c>
      <c r="D64" s="309">
        <v>70695555</v>
      </c>
      <c r="E64" s="377" t="s">
        <v>447</v>
      </c>
      <c r="F64" s="349">
        <v>3141</v>
      </c>
      <c r="G64" s="373" t="s">
        <v>315</v>
      </c>
      <c r="H64" s="312" t="s">
        <v>278</v>
      </c>
      <c r="I64" s="477">
        <v>162257</v>
      </c>
      <c r="J64" s="472">
        <v>118811</v>
      </c>
      <c r="K64" s="472">
        <v>0</v>
      </c>
      <c r="L64" s="472">
        <v>40158</v>
      </c>
      <c r="M64" s="472">
        <v>2376</v>
      </c>
      <c r="N64" s="472">
        <v>912</v>
      </c>
      <c r="O64" s="473">
        <v>0.37</v>
      </c>
      <c r="P64" s="474">
        <v>0</v>
      </c>
      <c r="Q64" s="483">
        <v>0.37</v>
      </c>
      <c r="R64" s="485">
        <f t="shared" si="131"/>
        <v>0</v>
      </c>
      <c r="S64" s="475">
        <v>0</v>
      </c>
      <c r="T64" s="475">
        <v>-1279</v>
      </c>
      <c r="U64" s="475">
        <v>0</v>
      </c>
      <c r="V64" s="475">
        <v>0</v>
      </c>
      <c r="W64" s="475">
        <v>0</v>
      </c>
      <c r="X64" s="475">
        <f>SUM(R64:W64)</f>
        <v>-1279</v>
      </c>
      <c r="Y64" s="475">
        <v>0</v>
      </c>
      <c r="Z64" s="475">
        <v>0</v>
      </c>
      <c r="AA64" s="475">
        <v>0</v>
      </c>
      <c r="AB64" s="475">
        <f t="shared" si="132"/>
        <v>0</v>
      </c>
      <c r="AC64" s="475">
        <f t="shared" si="133"/>
        <v>-1279</v>
      </c>
      <c r="AD64" s="70">
        <f t="shared" si="134"/>
        <v>-432</v>
      </c>
      <c r="AE64" s="70">
        <f t="shared" si="135"/>
        <v>-26</v>
      </c>
      <c r="AF64" s="475">
        <v>0</v>
      </c>
      <c r="AG64" s="475">
        <v>0</v>
      </c>
      <c r="AH64" s="475">
        <f t="shared" si="136"/>
        <v>0</v>
      </c>
      <c r="AI64" s="475">
        <f t="shared" si="137"/>
        <v>-1737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si="138"/>
        <v>0</v>
      </c>
      <c r="AU64" s="484">
        <f>I64+AI64</f>
        <v>160520</v>
      </c>
      <c r="AV64" s="475">
        <f>J64+X64</f>
        <v>117532</v>
      </c>
      <c r="AW64" s="475">
        <f t="shared" si="139"/>
        <v>0</v>
      </c>
      <c r="AX64" s="475">
        <f>L64+AD64</f>
        <v>39726</v>
      </c>
      <c r="AY64" s="475">
        <f>M64+AE64</f>
        <v>2350</v>
      </c>
      <c r="AZ64" s="475">
        <f>N64+AH64</f>
        <v>912</v>
      </c>
      <c r="BA64" s="476">
        <f>O64+AT64</f>
        <v>0.37</v>
      </c>
      <c r="BB64" s="476">
        <f>P64+AR64</f>
        <v>0</v>
      </c>
      <c r="BC64" s="478">
        <f>Q64+AS64</f>
        <v>0.37</v>
      </c>
    </row>
    <row r="65" spans="1:55" ht="12.95" customHeight="1" x14ac:dyDescent="0.25">
      <c r="A65" s="382">
        <v>10</v>
      </c>
      <c r="B65" s="353">
        <v>5414</v>
      </c>
      <c r="C65" s="354">
        <v>600099008</v>
      </c>
      <c r="D65" s="353">
        <v>70695555</v>
      </c>
      <c r="E65" s="378" t="s">
        <v>448</v>
      </c>
      <c r="F65" s="353"/>
      <c r="G65" s="379"/>
      <c r="H65" s="380"/>
      <c r="I65" s="560">
        <v>2041088</v>
      </c>
      <c r="J65" s="556">
        <v>1494386</v>
      </c>
      <c r="K65" s="556">
        <v>0</v>
      </c>
      <c r="L65" s="556">
        <v>505102</v>
      </c>
      <c r="M65" s="556">
        <v>29888</v>
      </c>
      <c r="N65" s="556">
        <v>11712</v>
      </c>
      <c r="O65" s="557">
        <v>3.2</v>
      </c>
      <c r="P65" s="557">
        <v>2</v>
      </c>
      <c r="Q65" s="562">
        <v>1.2</v>
      </c>
      <c r="R65" s="560">
        <f t="shared" ref="R65:BC65" si="140">SUM(R63:R64)</f>
        <v>0</v>
      </c>
      <c r="S65" s="556">
        <f t="shared" si="140"/>
        <v>0</v>
      </c>
      <c r="T65" s="556">
        <f t="shared" si="140"/>
        <v>-1279</v>
      </c>
      <c r="U65" s="556">
        <f t="shared" si="140"/>
        <v>0</v>
      </c>
      <c r="V65" s="556">
        <f t="shared" si="140"/>
        <v>0</v>
      </c>
      <c r="W65" s="556">
        <f t="shared" si="140"/>
        <v>0</v>
      </c>
      <c r="X65" s="556">
        <f t="shared" si="140"/>
        <v>-1279</v>
      </c>
      <c r="Y65" s="556">
        <f t="shared" si="140"/>
        <v>0</v>
      </c>
      <c r="Z65" s="556">
        <f t="shared" si="140"/>
        <v>0</v>
      </c>
      <c r="AA65" s="556">
        <f t="shared" si="140"/>
        <v>0</v>
      </c>
      <c r="AB65" s="556">
        <f t="shared" si="140"/>
        <v>0</v>
      </c>
      <c r="AC65" s="556">
        <f t="shared" si="140"/>
        <v>-1279</v>
      </c>
      <c r="AD65" s="556">
        <f t="shared" si="140"/>
        <v>-432</v>
      </c>
      <c r="AE65" s="556">
        <f t="shared" si="140"/>
        <v>-26</v>
      </c>
      <c r="AF65" s="556">
        <f t="shared" si="140"/>
        <v>0</v>
      </c>
      <c r="AG65" s="556">
        <f t="shared" si="140"/>
        <v>0</v>
      </c>
      <c r="AH65" s="556">
        <f t="shared" si="140"/>
        <v>0</v>
      </c>
      <c r="AI65" s="556">
        <f t="shared" si="140"/>
        <v>-1737</v>
      </c>
      <c r="AJ65" s="557">
        <f t="shared" si="140"/>
        <v>0</v>
      </c>
      <c r="AK65" s="557">
        <f t="shared" si="140"/>
        <v>0</v>
      </c>
      <c r="AL65" s="557">
        <f t="shared" si="140"/>
        <v>0</v>
      </c>
      <c r="AM65" s="557">
        <f t="shared" si="140"/>
        <v>0</v>
      </c>
      <c r="AN65" s="557">
        <f t="shared" si="140"/>
        <v>0</v>
      </c>
      <c r="AO65" s="557">
        <f t="shared" si="140"/>
        <v>0</v>
      </c>
      <c r="AP65" s="557">
        <f t="shared" si="140"/>
        <v>0</v>
      </c>
      <c r="AQ65" s="557">
        <f t="shared" si="140"/>
        <v>0</v>
      </c>
      <c r="AR65" s="557">
        <f t="shared" si="140"/>
        <v>0</v>
      </c>
      <c r="AS65" s="557">
        <f t="shared" si="140"/>
        <v>0</v>
      </c>
      <c r="AT65" s="307">
        <f t="shared" si="140"/>
        <v>0</v>
      </c>
      <c r="AU65" s="564">
        <f t="shared" si="140"/>
        <v>2039351</v>
      </c>
      <c r="AV65" s="556">
        <f t="shared" si="140"/>
        <v>1493107</v>
      </c>
      <c r="AW65" s="556">
        <f t="shared" si="140"/>
        <v>0</v>
      </c>
      <c r="AX65" s="556">
        <f t="shared" si="140"/>
        <v>504670</v>
      </c>
      <c r="AY65" s="556">
        <f t="shared" si="140"/>
        <v>29862</v>
      </c>
      <c r="AZ65" s="556">
        <f t="shared" si="140"/>
        <v>11712</v>
      </c>
      <c r="BA65" s="557">
        <f t="shared" si="140"/>
        <v>3.2</v>
      </c>
      <c r="BB65" s="557">
        <f t="shared" si="140"/>
        <v>2</v>
      </c>
      <c r="BC65" s="307">
        <f t="shared" si="140"/>
        <v>1.2</v>
      </c>
    </row>
    <row r="66" spans="1:55" ht="12.95" customHeight="1" x14ac:dyDescent="0.25">
      <c r="A66" s="309">
        <v>11</v>
      </c>
      <c r="B66" s="349">
        <v>5483</v>
      </c>
      <c r="C66" s="350">
        <v>600098460</v>
      </c>
      <c r="D66" s="309">
        <v>72745207</v>
      </c>
      <c r="E66" s="377" t="s">
        <v>449</v>
      </c>
      <c r="F66" s="349">
        <v>3111</v>
      </c>
      <c r="G66" s="373" t="s">
        <v>325</v>
      </c>
      <c r="H66" s="312" t="s">
        <v>277</v>
      </c>
      <c r="I66" s="477">
        <v>1903400</v>
      </c>
      <c r="J66" s="472">
        <v>1332849</v>
      </c>
      <c r="K66" s="472">
        <v>62400</v>
      </c>
      <c r="L66" s="472">
        <v>471594</v>
      </c>
      <c r="M66" s="472">
        <v>26657</v>
      </c>
      <c r="N66" s="472">
        <v>9900</v>
      </c>
      <c r="O66" s="473">
        <v>2.9418000000000002</v>
      </c>
      <c r="P66" s="474">
        <v>2.1718000000000002</v>
      </c>
      <c r="Q66" s="483">
        <v>0.76999999999999991</v>
      </c>
      <c r="R66" s="485">
        <f t="shared" ref="R66:R68" si="141">Y66*-1</f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ref="AB66:AB68" si="142">SUM(Y66:AA66)</f>
        <v>0</v>
      </c>
      <c r="AC66" s="475">
        <f t="shared" ref="AC66:AC68" si="143">X66+AB66</f>
        <v>0</v>
      </c>
      <c r="AD66" s="70">
        <f t="shared" ref="AD66:AD68" si="144">ROUND((X66+Y66+Z66)*33.8%,0)</f>
        <v>0</v>
      </c>
      <c r="AE66" s="70">
        <f t="shared" ref="AE66:AE68" si="145">ROUND(X66*2%,0)</f>
        <v>0</v>
      </c>
      <c r="AF66" s="475">
        <v>0</v>
      </c>
      <c r="AG66" s="475">
        <v>0</v>
      </c>
      <c r="AH66" s="475">
        <f t="shared" ref="AH66:AH68" si="146">SUM(AF66:AG66)</f>
        <v>0</v>
      </c>
      <c r="AI66" s="475">
        <f t="shared" ref="AI66:AI68" si="147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ref="AT66:AT68" si="148">SUM(AR66:AS66)</f>
        <v>0</v>
      </c>
      <c r="AU66" s="484">
        <f>I66+AI66</f>
        <v>1903400</v>
      </c>
      <c r="AV66" s="475">
        <f>J66+X66</f>
        <v>1332849</v>
      </c>
      <c r="AW66" s="475">
        <f t="shared" ref="AW66:AW68" si="149">K66+AB66</f>
        <v>62400</v>
      </c>
      <c r="AX66" s="475">
        <f t="shared" ref="AX66:AY68" si="150">L66+AD66</f>
        <v>471594</v>
      </c>
      <c r="AY66" s="475">
        <f t="shared" si="150"/>
        <v>26657</v>
      </c>
      <c r="AZ66" s="475">
        <f>N66+AH66</f>
        <v>9900</v>
      </c>
      <c r="BA66" s="476">
        <f>O66+AT66</f>
        <v>2.9418000000000002</v>
      </c>
      <c r="BB66" s="476">
        <f t="shared" ref="BB66:BC68" si="151">P66+AR66</f>
        <v>2.1718000000000002</v>
      </c>
      <c r="BC66" s="478">
        <f t="shared" si="151"/>
        <v>0.76999999999999991</v>
      </c>
    </row>
    <row r="67" spans="1:55" ht="12.95" customHeight="1" x14ac:dyDescent="0.25">
      <c r="A67" s="309">
        <v>11</v>
      </c>
      <c r="B67" s="349">
        <v>5483</v>
      </c>
      <c r="C67" s="350">
        <v>600098460</v>
      </c>
      <c r="D67" s="309">
        <v>72745207</v>
      </c>
      <c r="E67" s="377" t="s">
        <v>449</v>
      </c>
      <c r="F67" s="349">
        <v>3111</v>
      </c>
      <c r="G67" s="312" t="s">
        <v>312</v>
      </c>
      <c r="H67" s="312" t="s">
        <v>278</v>
      </c>
      <c r="I67" s="477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3">
        <v>0</v>
      </c>
      <c r="P67" s="474">
        <v>0</v>
      </c>
      <c r="Q67" s="483">
        <v>0</v>
      </c>
      <c r="R67" s="485">
        <f t="shared" si="141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>SUM(R67:W67)</f>
        <v>0</v>
      </c>
      <c r="Y67" s="475">
        <v>0</v>
      </c>
      <c r="Z67" s="475">
        <v>0</v>
      </c>
      <c r="AA67" s="475">
        <v>0</v>
      </c>
      <c r="AB67" s="475">
        <f t="shared" si="142"/>
        <v>0</v>
      </c>
      <c r="AC67" s="475">
        <f t="shared" si="143"/>
        <v>0</v>
      </c>
      <c r="AD67" s="70">
        <f t="shared" si="144"/>
        <v>0</v>
      </c>
      <c r="AE67" s="70">
        <f t="shared" si="145"/>
        <v>0</v>
      </c>
      <c r="AF67" s="475">
        <v>0</v>
      </c>
      <c r="AG67" s="475">
        <v>0</v>
      </c>
      <c r="AH67" s="475">
        <f t="shared" si="146"/>
        <v>0</v>
      </c>
      <c r="AI67" s="475">
        <f t="shared" si="147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>AJ67+AL67+AM67+AO67+AP67</f>
        <v>0</v>
      </c>
      <c r="AS67" s="476">
        <f>AK67+AN67+AQ67</f>
        <v>0</v>
      </c>
      <c r="AT67" s="478">
        <f t="shared" si="148"/>
        <v>0</v>
      </c>
      <c r="AU67" s="484">
        <f>I67+AI67</f>
        <v>0</v>
      </c>
      <c r="AV67" s="475">
        <f>J67+X67</f>
        <v>0</v>
      </c>
      <c r="AW67" s="475">
        <f t="shared" si="149"/>
        <v>0</v>
      </c>
      <c r="AX67" s="475">
        <f t="shared" si="150"/>
        <v>0</v>
      </c>
      <c r="AY67" s="475">
        <f t="shared" si="150"/>
        <v>0</v>
      </c>
      <c r="AZ67" s="475">
        <f>N67+AH67</f>
        <v>0</v>
      </c>
      <c r="BA67" s="476">
        <f>O67+AT67</f>
        <v>0</v>
      </c>
      <c r="BB67" s="476">
        <f t="shared" si="151"/>
        <v>0</v>
      </c>
      <c r="BC67" s="478">
        <f t="shared" si="151"/>
        <v>0</v>
      </c>
    </row>
    <row r="68" spans="1:55" ht="12.95" customHeight="1" x14ac:dyDescent="0.25">
      <c r="A68" s="309">
        <v>11</v>
      </c>
      <c r="B68" s="349">
        <v>5483</v>
      </c>
      <c r="C68" s="350">
        <v>600098460</v>
      </c>
      <c r="D68" s="309">
        <v>72745207</v>
      </c>
      <c r="E68" s="377" t="s">
        <v>449</v>
      </c>
      <c r="F68" s="349">
        <v>3141</v>
      </c>
      <c r="G68" s="373" t="s">
        <v>315</v>
      </c>
      <c r="H68" s="312" t="s">
        <v>278</v>
      </c>
      <c r="I68" s="477">
        <v>364820</v>
      </c>
      <c r="J68" s="472">
        <v>267748</v>
      </c>
      <c r="K68" s="472">
        <v>0</v>
      </c>
      <c r="L68" s="472">
        <v>90499</v>
      </c>
      <c r="M68" s="472">
        <v>5355</v>
      </c>
      <c r="N68" s="472">
        <v>1218</v>
      </c>
      <c r="O68" s="473">
        <v>0.84</v>
      </c>
      <c r="P68" s="474">
        <v>0</v>
      </c>
      <c r="Q68" s="483">
        <v>0.84</v>
      </c>
      <c r="R68" s="485">
        <f t="shared" si="141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42"/>
        <v>0</v>
      </c>
      <c r="AC68" s="475">
        <f t="shared" si="143"/>
        <v>0</v>
      </c>
      <c r="AD68" s="70">
        <f t="shared" si="144"/>
        <v>0</v>
      </c>
      <c r="AE68" s="70">
        <f t="shared" si="145"/>
        <v>0</v>
      </c>
      <c r="AF68" s="475">
        <v>0</v>
      </c>
      <c r="AG68" s="475">
        <v>0</v>
      </c>
      <c r="AH68" s="475">
        <f t="shared" si="146"/>
        <v>0</v>
      </c>
      <c r="AI68" s="475">
        <f t="shared" si="147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148"/>
        <v>0</v>
      </c>
      <c r="AU68" s="484">
        <f>I68+AI68</f>
        <v>364820</v>
      </c>
      <c r="AV68" s="475">
        <f>J68+X68</f>
        <v>267748</v>
      </c>
      <c r="AW68" s="475">
        <f t="shared" si="149"/>
        <v>0</v>
      </c>
      <c r="AX68" s="475">
        <f t="shared" si="150"/>
        <v>90499</v>
      </c>
      <c r="AY68" s="475">
        <f t="shared" si="150"/>
        <v>5355</v>
      </c>
      <c r="AZ68" s="475">
        <f>N68+AH68</f>
        <v>1218</v>
      </c>
      <c r="BA68" s="476">
        <f>O68+AT68</f>
        <v>0.84</v>
      </c>
      <c r="BB68" s="476">
        <f t="shared" si="151"/>
        <v>0</v>
      </c>
      <c r="BC68" s="478">
        <f t="shared" si="151"/>
        <v>0.84</v>
      </c>
    </row>
    <row r="69" spans="1:55" ht="12.95" customHeight="1" x14ac:dyDescent="0.25">
      <c r="A69" s="319">
        <v>11</v>
      </c>
      <c r="B69" s="353">
        <v>5483</v>
      </c>
      <c r="C69" s="354">
        <v>600098460</v>
      </c>
      <c r="D69" s="353">
        <v>72745207</v>
      </c>
      <c r="E69" s="378" t="s">
        <v>450</v>
      </c>
      <c r="F69" s="353"/>
      <c r="G69" s="379"/>
      <c r="H69" s="380"/>
      <c r="I69" s="560">
        <v>2268220</v>
      </c>
      <c r="J69" s="556">
        <v>1600597</v>
      </c>
      <c r="K69" s="556">
        <v>62400</v>
      </c>
      <c r="L69" s="556">
        <v>562093</v>
      </c>
      <c r="M69" s="556">
        <v>32012</v>
      </c>
      <c r="N69" s="556">
        <v>11118</v>
      </c>
      <c r="O69" s="557">
        <v>3.7818000000000001</v>
      </c>
      <c r="P69" s="557">
        <v>2.1718000000000002</v>
      </c>
      <c r="Q69" s="562">
        <v>1.6099999999999999</v>
      </c>
      <c r="R69" s="560">
        <f t="shared" ref="R69:BC69" si="152">SUM(R66:R68)</f>
        <v>0</v>
      </c>
      <c r="S69" s="556">
        <f t="shared" si="152"/>
        <v>0</v>
      </c>
      <c r="T69" s="556">
        <f t="shared" si="152"/>
        <v>0</v>
      </c>
      <c r="U69" s="556">
        <f t="shared" si="152"/>
        <v>0</v>
      </c>
      <c r="V69" s="556">
        <f t="shared" si="152"/>
        <v>0</v>
      </c>
      <c r="W69" s="556">
        <f t="shared" si="152"/>
        <v>0</v>
      </c>
      <c r="X69" s="556">
        <f t="shared" si="152"/>
        <v>0</v>
      </c>
      <c r="Y69" s="556">
        <f t="shared" si="152"/>
        <v>0</v>
      </c>
      <c r="Z69" s="556">
        <f t="shared" si="152"/>
        <v>0</v>
      </c>
      <c r="AA69" s="556">
        <f t="shared" si="152"/>
        <v>0</v>
      </c>
      <c r="AB69" s="556">
        <f t="shared" si="152"/>
        <v>0</v>
      </c>
      <c r="AC69" s="556">
        <f t="shared" si="152"/>
        <v>0</v>
      </c>
      <c r="AD69" s="556">
        <f t="shared" si="152"/>
        <v>0</v>
      </c>
      <c r="AE69" s="556">
        <f t="shared" si="152"/>
        <v>0</v>
      </c>
      <c r="AF69" s="556">
        <f t="shared" si="152"/>
        <v>0</v>
      </c>
      <c r="AG69" s="556">
        <f t="shared" si="152"/>
        <v>0</v>
      </c>
      <c r="AH69" s="556">
        <f t="shared" si="152"/>
        <v>0</v>
      </c>
      <c r="AI69" s="556">
        <f t="shared" si="152"/>
        <v>0</v>
      </c>
      <c r="AJ69" s="557">
        <f t="shared" si="152"/>
        <v>0</v>
      </c>
      <c r="AK69" s="557">
        <f t="shared" si="152"/>
        <v>0</v>
      </c>
      <c r="AL69" s="557">
        <f t="shared" si="152"/>
        <v>0</v>
      </c>
      <c r="AM69" s="557">
        <f t="shared" si="152"/>
        <v>0</v>
      </c>
      <c r="AN69" s="557">
        <f t="shared" si="152"/>
        <v>0</v>
      </c>
      <c r="AO69" s="557">
        <f t="shared" si="152"/>
        <v>0</v>
      </c>
      <c r="AP69" s="557">
        <f t="shared" si="152"/>
        <v>0</v>
      </c>
      <c r="AQ69" s="557">
        <f t="shared" si="152"/>
        <v>0</v>
      </c>
      <c r="AR69" s="557">
        <f t="shared" si="152"/>
        <v>0</v>
      </c>
      <c r="AS69" s="557">
        <f t="shared" si="152"/>
        <v>0</v>
      </c>
      <c r="AT69" s="307">
        <f t="shared" si="152"/>
        <v>0</v>
      </c>
      <c r="AU69" s="564">
        <f t="shared" si="152"/>
        <v>2268220</v>
      </c>
      <c r="AV69" s="556">
        <f t="shared" si="152"/>
        <v>1600597</v>
      </c>
      <c r="AW69" s="556">
        <f t="shared" si="152"/>
        <v>62400</v>
      </c>
      <c r="AX69" s="556">
        <f t="shared" si="152"/>
        <v>562093</v>
      </c>
      <c r="AY69" s="556">
        <f t="shared" si="152"/>
        <v>32012</v>
      </c>
      <c r="AZ69" s="556">
        <f t="shared" si="152"/>
        <v>11118</v>
      </c>
      <c r="BA69" s="557">
        <f t="shared" si="152"/>
        <v>3.7818000000000001</v>
      </c>
      <c r="BB69" s="557">
        <f t="shared" si="152"/>
        <v>2.1718000000000002</v>
      </c>
      <c r="BC69" s="307">
        <f t="shared" si="152"/>
        <v>1.6099999999999999</v>
      </c>
    </row>
    <row r="70" spans="1:55" ht="12.95" customHeight="1" x14ac:dyDescent="0.25">
      <c r="A70" s="309">
        <v>12</v>
      </c>
      <c r="B70" s="349">
        <v>5430</v>
      </c>
      <c r="C70" s="350">
        <v>650026144</v>
      </c>
      <c r="D70" s="309">
        <v>70695148</v>
      </c>
      <c r="E70" s="377" t="s">
        <v>451</v>
      </c>
      <c r="F70" s="349">
        <v>3111</v>
      </c>
      <c r="G70" s="373" t="s">
        <v>325</v>
      </c>
      <c r="H70" s="312" t="s">
        <v>277</v>
      </c>
      <c r="I70" s="477">
        <v>2220142</v>
      </c>
      <c r="J70" s="472">
        <v>1625252</v>
      </c>
      <c r="K70" s="472">
        <v>0</v>
      </c>
      <c r="L70" s="472">
        <v>549335</v>
      </c>
      <c r="M70" s="472">
        <v>32505</v>
      </c>
      <c r="N70" s="472">
        <v>13050</v>
      </c>
      <c r="O70" s="473">
        <v>3.9218000000000002</v>
      </c>
      <c r="P70" s="474">
        <v>3</v>
      </c>
      <c r="Q70" s="483">
        <v>0.92179999999999995</v>
      </c>
      <c r="R70" s="485">
        <f t="shared" ref="R70:R75" si="153">Y70*-1</f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ref="X70:X75" si="154">SUM(R70:W70)</f>
        <v>0</v>
      </c>
      <c r="Y70" s="475">
        <v>0</v>
      </c>
      <c r="Z70" s="475">
        <v>0</v>
      </c>
      <c r="AA70" s="475">
        <v>0</v>
      </c>
      <c r="AB70" s="475">
        <f t="shared" ref="AB70:AB75" si="155">SUM(Y70:AA70)</f>
        <v>0</v>
      </c>
      <c r="AC70" s="475">
        <f t="shared" ref="AC70:AC75" si="156">X70+AB70</f>
        <v>0</v>
      </c>
      <c r="AD70" s="70">
        <f t="shared" ref="AD70:AD75" si="157">ROUND((X70+Y70+Z70)*33.8%,0)</f>
        <v>0</v>
      </c>
      <c r="AE70" s="70">
        <f t="shared" ref="AE70:AE75" si="158">ROUND(X70*2%,0)</f>
        <v>0</v>
      </c>
      <c r="AF70" s="475">
        <v>0</v>
      </c>
      <c r="AG70" s="475">
        <v>0</v>
      </c>
      <c r="AH70" s="475">
        <f t="shared" ref="AH70:AH75" si="159">SUM(AF70:AG70)</f>
        <v>0</v>
      </c>
      <c r="AI70" s="475">
        <f t="shared" ref="AI70:AI75" si="160">AC70+AD70+AE70+AH70</f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476">
        <f t="shared" ref="AR70:AR75" si="161">AJ70+AL70+AM70+AO70+AP70</f>
        <v>0</v>
      </c>
      <c r="AS70" s="476">
        <f t="shared" ref="AS70:AS75" si="162">AK70+AN70+AQ70</f>
        <v>0</v>
      </c>
      <c r="AT70" s="478">
        <f t="shared" ref="AT70:AT75" si="163">SUM(AR70:AS70)</f>
        <v>0</v>
      </c>
      <c r="AU70" s="484">
        <f t="shared" ref="AU70:AU75" si="164">I70+AI70</f>
        <v>2220142</v>
      </c>
      <c r="AV70" s="475">
        <f t="shared" ref="AV70:AV75" si="165">J70+X70</f>
        <v>1625252</v>
      </c>
      <c r="AW70" s="475">
        <f t="shared" ref="AW70:AW75" si="166">K70+AB70</f>
        <v>0</v>
      </c>
      <c r="AX70" s="475">
        <f t="shared" ref="AX70:AY75" si="167">L70+AD70</f>
        <v>549335</v>
      </c>
      <c r="AY70" s="475">
        <f t="shared" si="167"/>
        <v>32505</v>
      </c>
      <c r="AZ70" s="475">
        <f t="shared" ref="AZ70:AZ75" si="168">N70+AH70</f>
        <v>13050</v>
      </c>
      <c r="BA70" s="476">
        <f t="shared" ref="BA70:BA75" si="169">O70+AT70</f>
        <v>3.9218000000000002</v>
      </c>
      <c r="BB70" s="476">
        <f t="shared" ref="BB70:BC75" si="170">P70+AR70</f>
        <v>3</v>
      </c>
      <c r="BC70" s="478">
        <f t="shared" si="170"/>
        <v>0.92179999999999995</v>
      </c>
    </row>
    <row r="71" spans="1:55" ht="12.95" customHeight="1" x14ac:dyDescent="0.25">
      <c r="A71" s="309">
        <v>12</v>
      </c>
      <c r="B71" s="349">
        <v>5430</v>
      </c>
      <c r="C71" s="350">
        <v>650026144</v>
      </c>
      <c r="D71" s="309">
        <v>70695148</v>
      </c>
      <c r="E71" s="377" t="s">
        <v>451</v>
      </c>
      <c r="F71" s="349">
        <v>3117</v>
      </c>
      <c r="G71" s="373" t="s">
        <v>329</v>
      </c>
      <c r="H71" s="312" t="s">
        <v>277</v>
      </c>
      <c r="I71" s="477">
        <v>3273501</v>
      </c>
      <c r="J71" s="472">
        <v>2335304</v>
      </c>
      <c r="K71" s="472">
        <v>44400</v>
      </c>
      <c r="L71" s="472">
        <v>804341</v>
      </c>
      <c r="M71" s="472">
        <v>46706</v>
      </c>
      <c r="N71" s="472">
        <v>42750</v>
      </c>
      <c r="O71" s="473">
        <v>4.4917000000000007</v>
      </c>
      <c r="P71" s="474">
        <v>2.8561999999999999</v>
      </c>
      <c r="Q71" s="483">
        <v>1.6355</v>
      </c>
      <c r="R71" s="485">
        <f t="shared" si="153"/>
        <v>0</v>
      </c>
      <c r="S71" s="475">
        <v>0</v>
      </c>
      <c r="T71" s="475">
        <v>117203</v>
      </c>
      <c r="U71" s="475">
        <v>0</v>
      </c>
      <c r="V71" s="475">
        <v>0</v>
      </c>
      <c r="W71" s="475">
        <v>0</v>
      </c>
      <c r="X71" s="475">
        <f t="shared" si="154"/>
        <v>117203</v>
      </c>
      <c r="Y71" s="475">
        <v>0</v>
      </c>
      <c r="Z71" s="475">
        <v>0</v>
      </c>
      <c r="AA71" s="475">
        <v>0</v>
      </c>
      <c r="AB71" s="475">
        <f t="shared" si="155"/>
        <v>0</v>
      </c>
      <c r="AC71" s="475">
        <f t="shared" si="156"/>
        <v>117203</v>
      </c>
      <c r="AD71" s="70">
        <f t="shared" si="157"/>
        <v>39615</v>
      </c>
      <c r="AE71" s="70">
        <f t="shared" si="158"/>
        <v>2344</v>
      </c>
      <c r="AF71" s="475">
        <v>0</v>
      </c>
      <c r="AG71" s="475">
        <v>0</v>
      </c>
      <c r="AH71" s="475">
        <f t="shared" si="159"/>
        <v>0</v>
      </c>
      <c r="AI71" s="475">
        <f t="shared" si="160"/>
        <v>159162</v>
      </c>
      <c r="AJ71" s="476">
        <v>0</v>
      </c>
      <c r="AK71" s="476">
        <v>0</v>
      </c>
      <c r="AL71" s="476">
        <v>0</v>
      </c>
      <c r="AM71" s="476">
        <v>0.23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si="161"/>
        <v>0.23</v>
      </c>
      <c r="AS71" s="476">
        <f t="shared" si="162"/>
        <v>0</v>
      </c>
      <c r="AT71" s="478">
        <f t="shared" si="163"/>
        <v>0.23</v>
      </c>
      <c r="AU71" s="484">
        <f t="shared" si="164"/>
        <v>3432663</v>
      </c>
      <c r="AV71" s="475">
        <f t="shared" si="165"/>
        <v>2452507</v>
      </c>
      <c r="AW71" s="475">
        <f t="shared" si="166"/>
        <v>44400</v>
      </c>
      <c r="AX71" s="475">
        <f t="shared" si="167"/>
        <v>843956</v>
      </c>
      <c r="AY71" s="475">
        <f t="shared" si="167"/>
        <v>49050</v>
      </c>
      <c r="AZ71" s="475">
        <f t="shared" si="168"/>
        <v>42750</v>
      </c>
      <c r="BA71" s="476">
        <f t="shared" si="169"/>
        <v>4.7217000000000011</v>
      </c>
      <c r="BB71" s="476">
        <f t="shared" si="170"/>
        <v>3.0861999999999998</v>
      </c>
      <c r="BC71" s="478">
        <f t="shared" si="170"/>
        <v>1.6355</v>
      </c>
    </row>
    <row r="72" spans="1:55" ht="12.95" customHeight="1" x14ac:dyDescent="0.25">
      <c r="A72" s="309">
        <v>12</v>
      </c>
      <c r="B72" s="349">
        <v>5430</v>
      </c>
      <c r="C72" s="350">
        <v>650026144</v>
      </c>
      <c r="D72" s="309">
        <v>70695148</v>
      </c>
      <c r="E72" s="377" t="s">
        <v>451</v>
      </c>
      <c r="F72" s="349">
        <v>3117</v>
      </c>
      <c r="G72" s="312" t="s">
        <v>312</v>
      </c>
      <c r="H72" s="312" t="s">
        <v>278</v>
      </c>
      <c r="I72" s="477">
        <v>231807</v>
      </c>
      <c r="J72" s="472">
        <v>170697</v>
      </c>
      <c r="K72" s="472">
        <v>0</v>
      </c>
      <c r="L72" s="472">
        <v>57696</v>
      </c>
      <c r="M72" s="472">
        <v>3414</v>
      </c>
      <c r="N72" s="472">
        <v>0</v>
      </c>
      <c r="O72" s="473">
        <v>0.48</v>
      </c>
      <c r="P72" s="474">
        <v>0.48</v>
      </c>
      <c r="Q72" s="483">
        <v>0</v>
      </c>
      <c r="R72" s="485">
        <f t="shared" si="153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54"/>
        <v>0</v>
      </c>
      <c r="Y72" s="475">
        <v>0</v>
      </c>
      <c r="Z72" s="475">
        <v>0</v>
      </c>
      <c r="AA72" s="475">
        <v>0</v>
      </c>
      <c r="AB72" s="475">
        <f t="shared" si="155"/>
        <v>0</v>
      </c>
      <c r="AC72" s="475">
        <f t="shared" si="156"/>
        <v>0</v>
      </c>
      <c r="AD72" s="70">
        <f t="shared" si="157"/>
        <v>0</v>
      </c>
      <c r="AE72" s="70">
        <f t="shared" si="158"/>
        <v>0</v>
      </c>
      <c r="AF72" s="475">
        <v>0</v>
      </c>
      <c r="AG72" s="475">
        <v>0</v>
      </c>
      <c r="AH72" s="475">
        <f t="shared" si="159"/>
        <v>0</v>
      </c>
      <c r="AI72" s="475">
        <f t="shared" si="160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61"/>
        <v>0</v>
      </c>
      <c r="AS72" s="476">
        <f t="shared" si="162"/>
        <v>0</v>
      </c>
      <c r="AT72" s="478">
        <f t="shared" si="163"/>
        <v>0</v>
      </c>
      <c r="AU72" s="484">
        <f t="shared" si="164"/>
        <v>231807</v>
      </c>
      <c r="AV72" s="475">
        <f t="shared" si="165"/>
        <v>170697</v>
      </c>
      <c r="AW72" s="475">
        <f t="shared" si="166"/>
        <v>0</v>
      </c>
      <c r="AX72" s="475">
        <f t="shared" si="167"/>
        <v>57696</v>
      </c>
      <c r="AY72" s="475">
        <f t="shared" si="167"/>
        <v>3414</v>
      </c>
      <c r="AZ72" s="475">
        <f t="shared" si="168"/>
        <v>0</v>
      </c>
      <c r="BA72" s="476">
        <f t="shared" si="169"/>
        <v>0.48</v>
      </c>
      <c r="BB72" s="476">
        <f t="shared" si="170"/>
        <v>0.48</v>
      </c>
      <c r="BC72" s="478">
        <f t="shared" si="170"/>
        <v>0</v>
      </c>
    </row>
    <row r="73" spans="1:55" ht="12.95" customHeight="1" x14ac:dyDescent="0.25">
      <c r="A73" s="309">
        <v>12</v>
      </c>
      <c r="B73" s="309">
        <v>5430</v>
      </c>
      <c r="C73" s="358">
        <v>650026144</v>
      </c>
      <c r="D73" s="309">
        <v>70695148</v>
      </c>
      <c r="E73" s="311" t="s">
        <v>451</v>
      </c>
      <c r="F73" s="309">
        <v>3141</v>
      </c>
      <c r="G73" s="373" t="s">
        <v>315</v>
      </c>
      <c r="H73" s="312" t="s">
        <v>278</v>
      </c>
      <c r="I73" s="477">
        <v>793593</v>
      </c>
      <c r="J73" s="472">
        <v>577066</v>
      </c>
      <c r="K73" s="472">
        <v>5000</v>
      </c>
      <c r="L73" s="472">
        <v>196738</v>
      </c>
      <c r="M73" s="472">
        <v>11541</v>
      </c>
      <c r="N73" s="472">
        <v>3248</v>
      </c>
      <c r="O73" s="473">
        <v>1.93</v>
      </c>
      <c r="P73" s="474">
        <v>0</v>
      </c>
      <c r="Q73" s="483">
        <v>1.93</v>
      </c>
      <c r="R73" s="485">
        <f t="shared" si="153"/>
        <v>0</v>
      </c>
      <c r="S73" s="475">
        <v>0</v>
      </c>
      <c r="T73" s="475">
        <v>5817</v>
      </c>
      <c r="U73" s="475">
        <v>0</v>
      </c>
      <c r="V73" s="475">
        <v>0</v>
      </c>
      <c r="W73" s="475">
        <v>0</v>
      </c>
      <c r="X73" s="475">
        <f t="shared" si="154"/>
        <v>5817</v>
      </c>
      <c r="Y73" s="475">
        <v>0</v>
      </c>
      <c r="Z73" s="475">
        <v>0</v>
      </c>
      <c r="AA73" s="475">
        <v>0</v>
      </c>
      <c r="AB73" s="475">
        <f t="shared" si="155"/>
        <v>0</v>
      </c>
      <c r="AC73" s="475">
        <f t="shared" si="156"/>
        <v>5817</v>
      </c>
      <c r="AD73" s="70">
        <f t="shared" si="157"/>
        <v>1966</v>
      </c>
      <c r="AE73" s="70">
        <f t="shared" si="158"/>
        <v>116</v>
      </c>
      <c r="AF73" s="475">
        <v>0</v>
      </c>
      <c r="AG73" s="475">
        <v>0</v>
      </c>
      <c r="AH73" s="475">
        <f t="shared" si="159"/>
        <v>0</v>
      </c>
      <c r="AI73" s="475">
        <f t="shared" si="160"/>
        <v>7899</v>
      </c>
      <c r="AJ73" s="476">
        <v>0</v>
      </c>
      <c r="AK73" s="476">
        <v>0</v>
      </c>
      <c r="AL73" s="476">
        <v>0</v>
      </c>
      <c r="AM73" s="476">
        <v>0</v>
      </c>
      <c r="AN73" s="476">
        <v>0.02</v>
      </c>
      <c r="AO73" s="476">
        <v>0</v>
      </c>
      <c r="AP73" s="476">
        <v>0</v>
      </c>
      <c r="AQ73" s="476">
        <v>0</v>
      </c>
      <c r="AR73" s="476">
        <f t="shared" si="161"/>
        <v>0</v>
      </c>
      <c r="AS73" s="476">
        <f t="shared" si="162"/>
        <v>0.02</v>
      </c>
      <c r="AT73" s="478">
        <f t="shared" si="163"/>
        <v>0.02</v>
      </c>
      <c r="AU73" s="484">
        <f t="shared" si="164"/>
        <v>801492</v>
      </c>
      <c r="AV73" s="475">
        <f t="shared" si="165"/>
        <v>582883</v>
      </c>
      <c r="AW73" s="475">
        <f t="shared" si="166"/>
        <v>5000</v>
      </c>
      <c r="AX73" s="475">
        <f t="shared" si="167"/>
        <v>198704</v>
      </c>
      <c r="AY73" s="475">
        <f t="shared" si="167"/>
        <v>11657</v>
      </c>
      <c r="AZ73" s="475">
        <f t="shared" si="168"/>
        <v>3248</v>
      </c>
      <c r="BA73" s="476">
        <f t="shared" si="169"/>
        <v>1.95</v>
      </c>
      <c r="BB73" s="476">
        <f t="shared" si="170"/>
        <v>0</v>
      </c>
      <c r="BC73" s="478">
        <f t="shared" si="170"/>
        <v>1.95</v>
      </c>
    </row>
    <row r="74" spans="1:55" ht="12.95" customHeight="1" x14ac:dyDescent="0.25">
      <c r="A74" s="309">
        <v>12</v>
      </c>
      <c r="B74" s="349">
        <v>5430</v>
      </c>
      <c r="C74" s="350">
        <v>650026144</v>
      </c>
      <c r="D74" s="309">
        <v>70695148</v>
      </c>
      <c r="E74" s="377" t="s">
        <v>451</v>
      </c>
      <c r="F74" s="349">
        <v>3143</v>
      </c>
      <c r="G74" s="312" t="s">
        <v>626</v>
      </c>
      <c r="H74" s="312" t="s">
        <v>277</v>
      </c>
      <c r="I74" s="477">
        <v>625003</v>
      </c>
      <c r="J74" s="472">
        <v>460238</v>
      </c>
      <c r="K74" s="472">
        <v>0</v>
      </c>
      <c r="L74" s="472">
        <v>155560</v>
      </c>
      <c r="M74" s="472">
        <v>9205</v>
      </c>
      <c r="N74" s="472">
        <v>0</v>
      </c>
      <c r="O74" s="473">
        <v>0.88070000000000004</v>
      </c>
      <c r="P74" s="474">
        <v>0.88070000000000004</v>
      </c>
      <c r="Q74" s="483">
        <v>0</v>
      </c>
      <c r="R74" s="485">
        <f t="shared" si="153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54"/>
        <v>0</v>
      </c>
      <c r="Y74" s="475">
        <v>0</v>
      </c>
      <c r="Z74" s="475">
        <v>0</v>
      </c>
      <c r="AA74" s="475">
        <v>0</v>
      </c>
      <c r="AB74" s="475">
        <f t="shared" si="155"/>
        <v>0</v>
      </c>
      <c r="AC74" s="475">
        <f t="shared" si="156"/>
        <v>0</v>
      </c>
      <c r="AD74" s="70">
        <f t="shared" si="157"/>
        <v>0</v>
      </c>
      <c r="AE74" s="70">
        <f t="shared" si="158"/>
        <v>0</v>
      </c>
      <c r="AF74" s="475">
        <v>0</v>
      </c>
      <c r="AG74" s="475">
        <v>0</v>
      </c>
      <c r="AH74" s="475">
        <f t="shared" si="159"/>
        <v>0</v>
      </c>
      <c r="AI74" s="475">
        <f t="shared" si="160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 t="shared" si="161"/>
        <v>0</v>
      </c>
      <c r="AS74" s="476">
        <f t="shared" si="162"/>
        <v>0</v>
      </c>
      <c r="AT74" s="478">
        <f t="shared" si="163"/>
        <v>0</v>
      </c>
      <c r="AU74" s="484">
        <f t="shared" si="164"/>
        <v>625003</v>
      </c>
      <c r="AV74" s="475">
        <f t="shared" si="165"/>
        <v>460238</v>
      </c>
      <c r="AW74" s="475">
        <f t="shared" si="166"/>
        <v>0</v>
      </c>
      <c r="AX74" s="475">
        <f t="shared" si="167"/>
        <v>155560</v>
      </c>
      <c r="AY74" s="475">
        <f t="shared" si="167"/>
        <v>9205</v>
      </c>
      <c r="AZ74" s="475">
        <f t="shared" si="168"/>
        <v>0</v>
      </c>
      <c r="BA74" s="476">
        <f t="shared" si="169"/>
        <v>0.88070000000000004</v>
      </c>
      <c r="BB74" s="476">
        <f t="shared" si="170"/>
        <v>0.88070000000000004</v>
      </c>
      <c r="BC74" s="478">
        <f t="shared" si="170"/>
        <v>0</v>
      </c>
    </row>
    <row r="75" spans="1:55" ht="12.95" customHeight="1" x14ac:dyDescent="0.25">
      <c r="A75" s="309">
        <v>12</v>
      </c>
      <c r="B75" s="349">
        <v>5430</v>
      </c>
      <c r="C75" s="350">
        <v>650026144</v>
      </c>
      <c r="D75" s="309">
        <v>70695148</v>
      </c>
      <c r="E75" s="377" t="s">
        <v>451</v>
      </c>
      <c r="F75" s="349">
        <v>3143</v>
      </c>
      <c r="G75" s="312" t="s">
        <v>627</v>
      </c>
      <c r="H75" s="312" t="s">
        <v>278</v>
      </c>
      <c r="I75" s="477">
        <v>19656</v>
      </c>
      <c r="J75" s="472">
        <v>13900</v>
      </c>
      <c r="K75" s="472">
        <v>0</v>
      </c>
      <c r="L75" s="472">
        <v>4698</v>
      </c>
      <c r="M75" s="472">
        <v>278</v>
      </c>
      <c r="N75" s="472">
        <v>780</v>
      </c>
      <c r="O75" s="473">
        <v>0.05</v>
      </c>
      <c r="P75" s="474">
        <v>0</v>
      </c>
      <c r="Q75" s="483">
        <v>0.05</v>
      </c>
      <c r="R75" s="485">
        <f t="shared" si="153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54"/>
        <v>0</v>
      </c>
      <c r="Y75" s="475">
        <v>0</v>
      </c>
      <c r="Z75" s="475">
        <v>0</v>
      </c>
      <c r="AA75" s="475">
        <v>0</v>
      </c>
      <c r="AB75" s="475">
        <f t="shared" si="155"/>
        <v>0</v>
      </c>
      <c r="AC75" s="475">
        <f t="shared" si="156"/>
        <v>0</v>
      </c>
      <c r="AD75" s="70">
        <f t="shared" si="157"/>
        <v>0</v>
      </c>
      <c r="AE75" s="70">
        <f t="shared" si="158"/>
        <v>0</v>
      </c>
      <c r="AF75" s="475">
        <v>0</v>
      </c>
      <c r="AG75" s="475">
        <v>0</v>
      </c>
      <c r="AH75" s="475">
        <f t="shared" si="159"/>
        <v>0</v>
      </c>
      <c r="AI75" s="475">
        <f t="shared" si="160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si="161"/>
        <v>0</v>
      </c>
      <c r="AS75" s="476">
        <f t="shared" si="162"/>
        <v>0</v>
      </c>
      <c r="AT75" s="478">
        <f t="shared" si="163"/>
        <v>0</v>
      </c>
      <c r="AU75" s="484">
        <f t="shared" si="164"/>
        <v>19656</v>
      </c>
      <c r="AV75" s="475">
        <f t="shared" si="165"/>
        <v>13900</v>
      </c>
      <c r="AW75" s="475">
        <f t="shared" si="166"/>
        <v>0</v>
      </c>
      <c r="AX75" s="475">
        <f t="shared" si="167"/>
        <v>4698</v>
      </c>
      <c r="AY75" s="475">
        <f t="shared" si="167"/>
        <v>278</v>
      </c>
      <c r="AZ75" s="475">
        <f t="shared" si="168"/>
        <v>780</v>
      </c>
      <c r="BA75" s="476">
        <f t="shared" si="169"/>
        <v>0.05</v>
      </c>
      <c r="BB75" s="476">
        <f t="shared" si="170"/>
        <v>0</v>
      </c>
      <c r="BC75" s="478">
        <f t="shared" si="170"/>
        <v>0.05</v>
      </c>
    </row>
    <row r="76" spans="1:55" ht="12.95" customHeight="1" x14ac:dyDescent="0.25">
      <c r="A76" s="319">
        <v>12</v>
      </c>
      <c r="B76" s="353">
        <v>5430</v>
      </c>
      <c r="C76" s="354">
        <v>650026144</v>
      </c>
      <c r="D76" s="353">
        <v>70695148</v>
      </c>
      <c r="E76" s="378" t="s">
        <v>452</v>
      </c>
      <c r="F76" s="353"/>
      <c r="G76" s="379"/>
      <c r="H76" s="380"/>
      <c r="I76" s="560">
        <v>7163702</v>
      </c>
      <c r="J76" s="556">
        <v>5182457</v>
      </c>
      <c r="K76" s="556">
        <v>49400</v>
      </c>
      <c r="L76" s="556">
        <v>1768368</v>
      </c>
      <c r="M76" s="556">
        <v>103649</v>
      </c>
      <c r="N76" s="556">
        <v>59828</v>
      </c>
      <c r="O76" s="557">
        <v>11.754200000000001</v>
      </c>
      <c r="P76" s="557">
        <v>7.2168999999999999</v>
      </c>
      <c r="Q76" s="562">
        <v>4.5372999999999992</v>
      </c>
      <c r="R76" s="560">
        <f t="shared" ref="R76:BC76" si="171">SUM(R70:R75)</f>
        <v>0</v>
      </c>
      <c r="S76" s="556">
        <f t="shared" si="171"/>
        <v>0</v>
      </c>
      <c r="T76" s="556">
        <f t="shared" si="171"/>
        <v>123020</v>
      </c>
      <c r="U76" s="556">
        <f t="shared" si="171"/>
        <v>0</v>
      </c>
      <c r="V76" s="556">
        <f t="shared" si="171"/>
        <v>0</v>
      </c>
      <c r="W76" s="556">
        <f t="shared" si="171"/>
        <v>0</v>
      </c>
      <c r="X76" s="556">
        <f t="shared" si="171"/>
        <v>123020</v>
      </c>
      <c r="Y76" s="556">
        <f t="shared" si="171"/>
        <v>0</v>
      </c>
      <c r="Z76" s="556">
        <f t="shared" si="171"/>
        <v>0</v>
      </c>
      <c r="AA76" s="556">
        <f t="shared" si="171"/>
        <v>0</v>
      </c>
      <c r="AB76" s="556">
        <f t="shared" si="171"/>
        <v>0</v>
      </c>
      <c r="AC76" s="556">
        <f t="shared" si="171"/>
        <v>123020</v>
      </c>
      <c r="AD76" s="556">
        <f t="shared" si="171"/>
        <v>41581</v>
      </c>
      <c r="AE76" s="556">
        <f t="shared" si="171"/>
        <v>2460</v>
      </c>
      <c r="AF76" s="556">
        <f t="shared" si="171"/>
        <v>0</v>
      </c>
      <c r="AG76" s="556">
        <f t="shared" si="171"/>
        <v>0</v>
      </c>
      <c r="AH76" s="556">
        <f t="shared" si="171"/>
        <v>0</v>
      </c>
      <c r="AI76" s="556">
        <f t="shared" si="171"/>
        <v>167061</v>
      </c>
      <c r="AJ76" s="557">
        <f t="shared" si="171"/>
        <v>0</v>
      </c>
      <c r="AK76" s="557">
        <f t="shared" si="171"/>
        <v>0</v>
      </c>
      <c r="AL76" s="557">
        <f>SUM(AL70:AL75)</f>
        <v>0</v>
      </c>
      <c r="AM76" s="557">
        <f t="shared" ref="AM76:AT76" si="172">SUM(AM70:AM75)</f>
        <v>0.23</v>
      </c>
      <c r="AN76" s="557">
        <f t="shared" si="172"/>
        <v>0.02</v>
      </c>
      <c r="AO76" s="557">
        <f t="shared" si="172"/>
        <v>0</v>
      </c>
      <c r="AP76" s="557">
        <f t="shared" si="172"/>
        <v>0</v>
      </c>
      <c r="AQ76" s="557">
        <f t="shared" si="172"/>
        <v>0</v>
      </c>
      <c r="AR76" s="557">
        <f t="shared" si="172"/>
        <v>0.23</v>
      </c>
      <c r="AS76" s="557">
        <f t="shared" si="172"/>
        <v>0.02</v>
      </c>
      <c r="AT76" s="307">
        <f t="shared" si="172"/>
        <v>0.25</v>
      </c>
      <c r="AU76" s="564">
        <f t="shared" si="171"/>
        <v>7330763</v>
      </c>
      <c r="AV76" s="556">
        <f t="shared" si="171"/>
        <v>5305477</v>
      </c>
      <c r="AW76" s="556">
        <f t="shared" si="171"/>
        <v>49400</v>
      </c>
      <c r="AX76" s="556">
        <f t="shared" si="171"/>
        <v>1809949</v>
      </c>
      <c r="AY76" s="556">
        <f t="shared" si="171"/>
        <v>106109</v>
      </c>
      <c r="AZ76" s="556">
        <f t="shared" si="171"/>
        <v>59828</v>
      </c>
      <c r="BA76" s="557">
        <f t="shared" si="171"/>
        <v>12.004200000000001</v>
      </c>
      <c r="BB76" s="557">
        <f t="shared" si="171"/>
        <v>7.4469000000000003</v>
      </c>
      <c r="BC76" s="307">
        <f t="shared" si="171"/>
        <v>4.5572999999999997</v>
      </c>
    </row>
    <row r="77" spans="1:55" ht="12.95" customHeight="1" x14ac:dyDescent="0.25">
      <c r="A77" s="309">
        <v>13</v>
      </c>
      <c r="B77" s="349">
        <v>5431</v>
      </c>
      <c r="C77" s="350">
        <v>600099016</v>
      </c>
      <c r="D77" s="309">
        <v>70698112</v>
      </c>
      <c r="E77" s="377" t="s">
        <v>453</v>
      </c>
      <c r="F77" s="349">
        <v>3111</v>
      </c>
      <c r="G77" s="373" t="s">
        <v>325</v>
      </c>
      <c r="H77" s="312" t="s">
        <v>277</v>
      </c>
      <c r="I77" s="477">
        <v>1613887</v>
      </c>
      <c r="J77" s="472">
        <v>1160771</v>
      </c>
      <c r="K77" s="472">
        <v>20000</v>
      </c>
      <c r="L77" s="472">
        <v>399101</v>
      </c>
      <c r="M77" s="472">
        <v>23215</v>
      </c>
      <c r="N77" s="472">
        <v>10800</v>
      </c>
      <c r="O77" s="473">
        <v>2.5108999999999999</v>
      </c>
      <c r="P77" s="474">
        <v>2</v>
      </c>
      <c r="Q77" s="483">
        <v>0.51090000000000002</v>
      </c>
      <c r="R77" s="485">
        <f t="shared" ref="R77:R82" si="173">Y77*-1</f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ref="X77:X82" si="174">SUM(R77:W77)</f>
        <v>0</v>
      </c>
      <c r="Y77" s="475">
        <v>0</v>
      </c>
      <c r="Z77" s="475">
        <v>0</v>
      </c>
      <c r="AA77" s="475">
        <v>0</v>
      </c>
      <c r="AB77" s="475">
        <f t="shared" ref="AB77:AB82" si="175">SUM(Y77:AA77)</f>
        <v>0</v>
      </c>
      <c r="AC77" s="475">
        <f t="shared" ref="AC77:AC82" si="176">X77+AB77</f>
        <v>0</v>
      </c>
      <c r="AD77" s="70">
        <f t="shared" ref="AD77:AD82" si="177">ROUND((X77+Y77+Z77)*33.8%,0)</f>
        <v>0</v>
      </c>
      <c r="AE77" s="70">
        <f t="shared" ref="AE77:AE82" si="178">ROUND(X77*2%,0)</f>
        <v>0</v>
      </c>
      <c r="AF77" s="475">
        <v>0</v>
      </c>
      <c r="AG77" s="475">
        <v>0</v>
      </c>
      <c r="AH77" s="475">
        <f t="shared" ref="AH77:AH82" si="179">SUM(AF77:AG77)</f>
        <v>0</v>
      </c>
      <c r="AI77" s="475">
        <f t="shared" ref="AI77:AI82" si="180">AC77+AD77+AE77+AH77</f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 t="shared" ref="AR77:AR82" si="181">AJ77+AL77+AM77+AO77+AP77</f>
        <v>0</v>
      </c>
      <c r="AS77" s="476">
        <f t="shared" ref="AS77:AS82" si="182">AK77+AN77+AQ77</f>
        <v>0</v>
      </c>
      <c r="AT77" s="478">
        <f t="shared" ref="AT77:AT82" si="183">SUM(AR77:AS77)</f>
        <v>0</v>
      </c>
      <c r="AU77" s="484">
        <f t="shared" ref="AU77:AU82" si="184">I77+AI77</f>
        <v>1613887</v>
      </c>
      <c r="AV77" s="475">
        <f t="shared" ref="AV77:AV82" si="185">J77+X77</f>
        <v>1160771</v>
      </c>
      <c r="AW77" s="475">
        <f t="shared" ref="AW77:AW82" si="186">K77+AB77</f>
        <v>20000</v>
      </c>
      <c r="AX77" s="475">
        <f t="shared" ref="AX77:AY82" si="187">L77+AD77</f>
        <v>399101</v>
      </c>
      <c r="AY77" s="475">
        <f t="shared" si="187"/>
        <v>23215</v>
      </c>
      <c r="AZ77" s="475">
        <f t="shared" ref="AZ77:AZ82" si="188">N77+AH77</f>
        <v>10800</v>
      </c>
      <c r="BA77" s="476">
        <f t="shared" ref="BA77:BA82" si="189">O77+AT77</f>
        <v>2.5108999999999999</v>
      </c>
      <c r="BB77" s="476">
        <f t="shared" ref="BB77:BC82" si="190">P77+AR77</f>
        <v>2</v>
      </c>
      <c r="BC77" s="478">
        <f t="shared" si="190"/>
        <v>0.51090000000000002</v>
      </c>
    </row>
    <row r="78" spans="1:55" ht="12.95" customHeight="1" x14ac:dyDescent="0.25">
      <c r="A78" s="309">
        <v>13</v>
      </c>
      <c r="B78" s="349">
        <v>5431</v>
      </c>
      <c r="C78" s="350">
        <v>600099016</v>
      </c>
      <c r="D78" s="309">
        <v>70698112</v>
      </c>
      <c r="E78" s="377" t="s">
        <v>453</v>
      </c>
      <c r="F78" s="349">
        <v>3117</v>
      </c>
      <c r="G78" s="373" t="s">
        <v>329</v>
      </c>
      <c r="H78" s="312" t="s">
        <v>277</v>
      </c>
      <c r="I78" s="477">
        <v>3399720</v>
      </c>
      <c r="J78" s="472">
        <v>2468218</v>
      </c>
      <c r="K78" s="472">
        <v>0</v>
      </c>
      <c r="L78" s="472">
        <v>834258</v>
      </c>
      <c r="M78" s="472">
        <v>49364</v>
      </c>
      <c r="N78" s="472">
        <v>47880</v>
      </c>
      <c r="O78" s="473">
        <v>5.0830000000000002</v>
      </c>
      <c r="P78" s="474">
        <v>3.6816</v>
      </c>
      <c r="Q78" s="483">
        <v>1.4014000000000002</v>
      </c>
      <c r="R78" s="485">
        <f t="shared" si="173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74"/>
        <v>0</v>
      </c>
      <c r="Y78" s="475">
        <v>0</v>
      </c>
      <c r="Z78" s="475">
        <v>0</v>
      </c>
      <c r="AA78" s="475">
        <v>0</v>
      </c>
      <c r="AB78" s="475">
        <f t="shared" si="175"/>
        <v>0</v>
      </c>
      <c r="AC78" s="475">
        <f t="shared" si="176"/>
        <v>0</v>
      </c>
      <c r="AD78" s="70">
        <f t="shared" si="177"/>
        <v>0</v>
      </c>
      <c r="AE78" s="70">
        <f t="shared" si="178"/>
        <v>0</v>
      </c>
      <c r="AF78" s="475">
        <v>0</v>
      </c>
      <c r="AG78" s="475">
        <v>0</v>
      </c>
      <c r="AH78" s="475">
        <f t="shared" si="179"/>
        <v>0</v>
      </c>
      <c r="AI78" s="475">
        <f t="shared" si="180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si="181"/>
        <v>0</v>
      </c>
      <c r="AS78" s="476">
        <f t="shared" si="182"/>
        <v>0</v>
      </c>
      <c r="AT78" s="478">
        <f t="shared" si="183"/>
        <v>0</v>
      </c>
      <c r="AU78" s="484">
        <f t="shared" si="184"/>
        <v>3399720</v>
      </c>
      <c r="AV78" s="475">
        <f t="shared" si="185"/>
        <v>2468218</v>
      </c>
      <c r="AW78" s="475">
        <f t="shared" si="186"/>
        <v>0</v>
      </c>
      <c r="AX78" s="475">
        <f t="shared" si="187"/>
        <v>834258</v>
      </c>
      <c r="AY78" s="475">
        <f t="shared" si="187"/>
        <v>49364</v>
      </c>
      <c r="AZ78" s="475">
        <f t="shared" si="188"/>
        <v>47880</v>
      </c>
      <c r="BA78" s="476">
        <f t="shared" si="189"/>
        <v>5.0830000000000002</v>
      </c>
      <c r="BB78" s="476">
        <f t="shared" si="190"/>
        <v>3.6816</v>
      </c>
      <c r="BC78" s="478">
        <f t="shared" si="190"/>
        <v>1.4014000000000002</v>
      </c>
    </row>
    <row r="79" spans="1:55" ht="12.95" customHeight="1" x14ac:dyDescent="0.25">
      <c r="A79" s="309">
        <v>13</v>
      </c>
      <c r="B79" s="349">
        <v>5431</v>
      </c>
      <c r="C79" s="350">
        <v>600099016</v>
      </c>
      <c r="D79" s="309">
        <v>70698112</v>
      </c>
      <c r="E79" s="377" t="s">
        <v>453</v>
      </c>
      <c r="F79" s="349">
        <v>3117</v>
      </c>
      <c r="G79" s="312" t="s">
        <v>312</v>
      </c>
      <c r="H79" s="312" t="s">
        <v>278</v>
      </c>
      <c r="I79" s="477">
        <v>113079</v>
      </c>
      <c r="J79" s="472">
        <v>81796</v>
      </c>
      <c r="K79" s="472">
        <v>0</v>
      </c>
      <c r="L79" s="472">
        <v>27647</v>
      </c>
      <c r="M79" s="472">
        <v>1636</v>
      </c>
      <c r="N79" s="472">
        <v>2000</v>
      </c>
      <c r="O79" s="473">
        <v>0.29000000000000004</v>
      </c>
      <c r="P79" s="474">
        <v>0.29000000000000004</v>
      </c>
      <c r="Q79" s="483">
        <v>0</v>
      </c>
      <c r="R79" s="485">
        <f t="shared" si="173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74"/>
        <v>0</v>
      </c>
      <c r="Y79" s="475">
        <v>0</v>
      </c>
      <c r="Z79" s="475">
        <v>0</v>
      </c>
      <c r="AA79" s="475">
        <v>0</v>
      </c>
      <c r="AB79" s="475">
        <f t="shared" si="175"/>
        <v>0</v>
      </c>
      <c r="AC79" s="475">
        <f t="shared" si="176"/>
        <v>0</v>
      </c>
      <c r="AD79" s="70">
        <f t="shared" si="177"/>
        <v>0</v>
      </c>
      <c r="AE79" s="70">
        <f t="shared" si="178"/>
        <v>0</v>
      </c>
      <c r="AF79" s="475">
        <v>0</v>
      </c>
      <c r="AG79" s="475">
        <v>0</v>
      </c>
      <c r="AH79" s="475">
        <f t="shared" si="179"/>
        <v>0</v>
      </c>
      <c r="AI79" s="475">
        <f t="shared" si="180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 t="shared" si="181"/>
        <v>0</v>
      </c>
      <c r="AS79" s="476">
        <f t="shared" si="182"/>
        <v>0</v>
      </c>
      <c r="AT79" s="478">
        <f t="shared" si="183"/>
        <v>0</v>
      </c>
      <c r="AU79" s="484">
        <f t="shared" si="184"/>
        <v>113079</v>
      </c>
      <c r="AV79" s="475">
        <f t="shared" si="185"/>
        <v>81796</v>
      </c>
      <c r="AW79" s="475">
        <f t="shared" si="186"/>
        <v>0</v>
      </c>
      <c r="AX79" s="475">
        <f t="shared" si="187"/>
        <v>27647</v>
      </c>
      <c r="AY79" s="475">
        <f t="shared" si="187"/>
        <v>1636</v>
      </c>
      <c r="AZ79" s="475">
        <f t="shared" si="188"/>
        <v>2000</v>
      </c>
      <c r="BA79" s="476">
        <f t="shared" si="189"/>
        <v>0.29000000000000004</v>
      </c>
      <c r="BB79" s="476">
        <f t="shared" si="190"/>
        <v>0.29000000000000004</v>
      </c>
      <c r="BC79" s="478">
        <f t="shared" si="190"/>
        <v>0</v>
      </c>
    </row>
    <row r="80" spans="1:55" ht="12.95" customHeight="1" x14ac:dyDescent="0.25">
      <c r="A80" s="309">
        <v>13</v>
      </c>
      <c r="B80" s="349">
        <v>5431</v>
      </c>
      <c r="C80" s="350">
        <v>600099016</v>
      </c>
      <c r="D80" s="309">
        <v>70698112</v>
      </c>
      <c r="E80" s="377" t="s">
        <v>453</v>
      </c>
      <c r="F80" s="349">
        <v>3141</v>
      </c>
      <c r="G80" s="373" t="s">
        <v>315</v>
      </c>
      <c r="H80" s="312" t="s">
        <v>278</v>
      </c>
      <c r="I80" s="477">
        <v>743777</v>
      </c>
      <c r="J80" s="472">
        <v>545479</v>
      </c>
      <c r="K80" s="472">
        <v>0</v>
      </c>
      <c r="L80" s="472">
        <v>184372</v>
      </c>
      <c r="M80" s="472">
        <v>10910</v>
      </c>
      <c r="N80" s="472">
        <v>3016</v>
      </c>
      <c r="O80" s="473">
        <v>1.72</v>
      </c>
      <c r="P80" s="474">
        <v>0</v>
      </c>
      <c r="Q80" s="483">
        <v>1.72</v>
      </c>
      <c r="R80" s="485">
        <f t="shared" si="173"/>
        <v>0</v>
      </c>
      <c r="S80" s="475">
        <v>0</v>
      </c>
      <c r="T80" s="475">
        <v>-11831</v>
      </c>
      <c r="U80" s="475">
        <v>0</v>
      </c>
      <c r="V80" s="475">
        <v>0</v>
      </c>
      <c r="W80" s="475">
        <v>0</v>
      </c>
      <c r="X80" s="475">
        <f t="shared" si="174"/>
        <v>-11831</v>
      </c>
      <c r="Y80" s="475">
        <v>0</v>
      </c>
      <c r="Z80" s="475">
        <v>0</v>
      </c>
      <c r="AA80" s="475">
        <v>0</v>
      </c>
      <c r="AB80" s="475">
        <f t="shared" si="175"/>
        <v>0</v>
      </c>
      <c r="AC80" s="475">
        <f t="shared" si="176"/>
        <v>-11831</v>
      </c>
      <c r="AD80" s="70">
        <f t="shared" si="177"/>
        <v>-3999</v>
      </c>
      <c r="AE80" s="70">
        <f t="shared" si="178"/>
        <v>-237</v>
      </c>
      <c r="AF80" s="475">
        <v>0</v>
      </c>
      <c r="AG80" s="475">
        <v>0</v>
      </c>
      <c r="AH80" s="475">
        <f t="shared" si="179"/>
        <v>0</v>
      </c>
      <c r="AI80" s="475">
        <f t="shared" si="180"/>
        <v>-16067</v>
      </c>
      <c r="AJ80" s="476">
        <v>0</v>
      </c>
      <c r="AK80" s="476">
        <v>0</v>
      </c>
      <c r="AL80" s="476">
        <v>0</v>
      </c>
      <c r="AM80" s="476">
        <v>0</v>
      </c>
      <c r="AN80" s="476">
        <v>-0.03</v>
      </c>
      <c r="AO80" s="476">
        <v>0</v>
      </c>
      <c r="AP80" s="476">
        <v>0</v>
      </c>
      <c r="AQ80" s="476">
        <v>0</v>
      </c>
      <c r="AR80" s="476">
        <f t="shared" si="181"/>
        <v>0</v>
      </c>
      <c r="AS80" s="476">
        <f t="shared" si="182"/>
        <v>-0.03</v>
      </c>
      <c r="AT80" s="478">
        <f t="shared" si="183"/>
        <v>-0.03</v>
      </c>
      <c r="AU80" s="484">
        <f t="shared" si="184"/>
        <v>727710</v>
      </c>
      <c r="AV80" s="475">
        <f t="shared" si="185"/>
        <v>533648</v>
      </c>
      <c r="AW80" s="475">
        <f t="shared" si="186"/>
        <v>0</v>
      </c>
      <c r="AX80" s="475">
        <f t="shared" si="187"/>
        <v>180373</v>
      </c>
      <c r="AY80" s="475">
        <f t="shared" si="187"/>
        <v>10673</v>
      </c>
      <c r="AZ80" s="475">
        <f t="shared" si="188"/>
        <v>3016</v>
      </c>
      <c r="BA80" s="476">
        <f t="shared" si="189"/>
        <v>1.69</v>
      </c>
      <c r="BB80" s="476">
        <f t="shared" si="190"/>
        <v>0</v>
      </c>
      <c r="BC80" s="478">
        <f t="shared" si="190"/>
        <v>1.69</v>
      </c>
    </row>
    <row r="81" spans="1:55" ht="12.95" customHeight="1" x14ac:dyDescent="0.25">
      <c r="A81" s="309">
        <v>13</v>
      </c>
      <c r="B81" s="349">
        <v>5431</v>
      </c>
      <c r="C81" s="350">
        <v>600099016</v>
      </c>
      <c r="D81" s="309">
        <v>70698112</v>
      </c>
      <c r="E81" s="377" t="s">
        <v>453</v>
      </c>
      <c r="F81" s="349">
        <v>3143</v>
      </c>
      <c r="G81" s="312" t="s">
        <v>626</v>
      </c>
      <c r="H81" s="312" t="s">
        <v>277</v>
      </c>
      <c r="I81" s="477">
        <v>447425</v>
      </c>
      <c r="J81" s="472">
        <v>329474</v>
      </c>
      <c r="K81" s="472">
        <v>0</v>
      </c>
      <c r="L81" s="472">
        <v>111362</v>
      </c>
      <c r="M81" s="472">
        <v>6589</v>
      </c>
      <c r="N81" s="472">
        <v>0</v>
      </c>
      <c r="O81" s="473">
        <v>0.67800000000000005</v>
      </c>
      <c r="P81" s="474">
        <v>0.67800000000000005</v>
      </c>
      <c r="Q81" s="483">
        <v>0</v>
      </c>
      <c r="R81" s="485">
        <f t="shared" si="173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74"/>
        <v>0</v>
      </c>
      <c r="Y81" s="475">
        <v>0</v>
      </c>
      <c r="Z81" s="475">
        <v>0</v>
      </c>
      <c r="AA81" s="475">
        <v>0</v>
      </c>
      <c r="AB81" s="475">
        <f t="shared" si="175"/>
        <v>0</v>
      </c>
      <c r="AC81" s="475">
        <f t="shared" si="176"/>
        <v>0</v>
      </c>
      <c r="AD81" s="70">
        <f t="shared" si="177"/>
        <v>0</v>
      </c>
      <c r="AE81" s="70">
        <f t="shared" si="178"/>
        <v>0</v>
      </c>
      <c r="AF81" s="475">
        <v>0</v>
      </c>
      <c r="AG81" s="475">
        <v>0</v>
      </c>
      <c r="AH81" s="475">
        <f t="shared" si="179"/>
        <v>0</v>
      </c>
      <c r="AI81" s="475">
        <f t="shared" si="180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181"/>
        <v>0</v>
      </c>
      <c r="AS81" s="476">
        <f t="shared" si="182"/>
        <v>0</v>
      </c>
      <c r="AT81" s="478">
        <f t="shared" si="183"/>
        <v>0</v>
      </c>
      <c r="AU81" s="484">
        <f t="shared" si="184"/>
        <v>447425</v>
      </c>
      <c r="AV81" s="475">
        <f t="shared" si="185"/>
        <v>329474</v>
      </c>
      <c r="AW81" s="475">
        <f t="shared" si="186"/>
        <v>0</v>
      </c>
      <c r="AX81" s="475">
        <f t="shared" si="187"/>
        <v>111362</v>
      </c>
      <c r="AY81" s="475">
        <f t="shared" si="187"/>
        <v>6589</v>
      </c>
      <c r="AZ81" s="475">
        <f t="shared" si="188"/>
        <v>0</v>
      </c>
      <c r="BA81" s="476">
        <f t="shared" si="189"/>
        <v>0.67800000000000005</v>
      </c>
      <c r="BB81" s="476">
        <f t="shared" si="190"/>
        <v>0.67800000000000005</v>
      </c>
      <c r="BC81" s="478">
        <f t="shared" si="190"/>
        <v>0</v>
      </c>
    </row>
    <row r="82" spans="1:55" ht="12.95" customHeight="1" x14ac:dyDescent="0.25">
      <c r="A82" s="309">
        <v>13</v>
      </c>
      <c r="B82" s="349">
        <v>5431</v>
      </c>
      <c r="C82" s="350">
        <v>600099016</v>
      </c>
      <c r="D82" s="309">
        <v>70698112</v>
      </c>
      <c r="E82" s="377" t="s">
        <v>453</v>
      </c>
      <c r="F82" s="349">
        <v>3143</v>
      </c>
      <c r="G82" s="312" t="s">
        <v>627</v>
      </c>
      <c r="H82" s="312" t="s">
        <v>278</v>
      </c>
      <c r="I82" s="477">
        <v>15120</v>
      </c>
      <c r="J82" s="472">
        <v>10692</v>
      </c>
      <c r="K82" s="472">
        <v>0</v>
      </c>
      <c r="L82" s="472">
        <v>3614</v>
      </c>
      <c r="M82" s="472">
        <v>214</v>
      </c>
      <c r="N82" s="472">
        <v>600</v>
      </c>
      <c r="O82" s="473">
        <v>0.04</v>
      </c>
      <c r="P82" s="474">
        <v>0</v>
      </c>
      <c r="Q82" s="483">
        <v>0.04</v>
      </c>
      <c r="R82" s="485">
        <f t="shared" si="173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74"/>
        <v>0</v>
      </c>
      <c r="Y82" s="475">
        <v>0</v>
      </c>
      <c r="Z82" s="475">
        <v>0</v>
      </c>
      <c r="AA82" s="475">
        <v>0</v>
      </c>
      <c r="AB82" s="475">
        <f t="shared" si="175"/>
        <v>0</v>
      </c>
      <c r="AC82" s="475">
        <f t="shared" si="176"/>
        <v>0</v>
      </c>
      <c r="AD82" s="70">
        <f t="shared" si="177"/>
        <v>0</v>
      </c>
      <c r="AE82" s="70">
        <f t="shared" si="178"/>
        <v>0</v>
      </c>
      <c r="AF82" s="475">
        <v>0</v>
      </c>
      <c r="AG82" s="475">
        <v>0</v>
      </c>
      <c r="AH82" s="475">
        <f t="shared" si="179"/>
        <v>0</v>
      </c>
      <c r="AI82" s="475">
        <f t="shared" si="180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81"/>
        <v>0</v>
      </c>
      <c r="AS82" s="476">
        <f t="shared" si="182"/>
        <v>0</v>
      </c>
      <c r="AT82" s="478">
        <f t="shared" si="183"/>
        <v>0</v>
      </c>
      <c r="AU82" s="484">
        <f t="shared" si="184"/>
        <v>15120</v>
      </c>
      <c r="AV82" s="475">
        <f t="shared" si="185"/>
        <v>10692</v>
      </c>
      <c r="AW82" s="475">
        <f t="shared" si="186"/>
        <v>0</v>
      </c>
      <c r="AX82" s="475">
        <f t="shared" si="187"/>
        <v>3614</v>
      </c>
      <c r="AY82" s="475">
        <f t="shared" si="187"/>
        <v>214</v>
      </c>
      <c r="AZ82" s="475">
        <f t="shared" si="188"/>
        <v>600</v>
      </c>
      <c r="BA82" s="476">
        <f t="shared" si="189"/>
        <v>0.04</v>
      </c>
      <c r="BB82" s="476">
        <f t="shared" si="190"/>
        <v>0</v>
      </c>
      <c r="BC82" s="478">
        <f t="shared" si="190"/>
        <v>0.04</v>
      </c>
    </row>
    <row r="83" spans="1:55" ht="12.95" customHeight="1" x14ac:dyDescent="0.25">
      <c r="A83" s="319">
        <v>13</v>
      </c>
      <c r="B83" s="353">
        <v>5431</v>
      </c>
      <c r="C83" s="354">
        <v>600099016</v>
      </c>
      <c r="D83" s="353">
        <v>70698112</v>
      </c>
      <c r="E83" s="378" t="s">
        <v>454</v>
      </c>
      <c r="F83" s="382"/>
      <c r="G83" s="383"/>
      <c r="H83" s="384"/>
      <c r="I83" s="592">
        <v>6333008</v>
      </c>
      <c r="J83" s="590">
        <v>4596430</v>
      </c>
      <c r="K83" s="590">
        <v>20000</v>
      </c>
      <c r="L83" s="590">
        <v>1560354</v>
      </c>
      <c r="M83" s="590">
        <v>91928</v>
      </c>
      <c r="N83" s="590">
        <v>64296</v>
      </c>
      <c r="O83" s="591">
        <v>10.321899999999999</v>
      </c>
      <c r="P83" s="591">
        <v>6.6495999999999995</v>
      </c>
      <c r="Q83" s="593">
        <v>3.6722999999999999</v>
      </c>
      <c r="R83" s="592">
        <f t="shared" ref="R83:BC83" si="191">SUM(R77:R82)</f>
        <v>0</v>
      </c>
      <c r="S83" s="590">
        <f t="shared" si="191"/>
        <v>0</v>
      </c>
      <c r="T83" s="590">
        <f t="shared" si="191"/>
        <v>-11831</v>
      </c>
      <c r="U83" s="590">
        <f t="shared" si="191"/>
        <v>0</v>
      </c>
      <c r="V83" s="590">
        <f t="shared" si="191"/>
        <v>0</v>
      </c>
      <c r="W83" s="590">
        <f t="shared" si="191"/>
        <v>0</v>
      </c>
      <c r="X83" s="590">
        <f t="shared" si="191"/>
        <v>-11831</v>
      </c>
      <c r="Y83" s="590">
        <f t="shared" si="191"/>
        <v>0</v>
      </c>
      <c r="Z83" s="590">
        <f t="shared" si="191"/>
        <v>0</v>
      </c>
      <c r="AA83" s="590">
        <f t="shared" si="191"/>
        <v>0</v>
      </c>
      <c r="AB83" s="590">
        <f t="shared" si="191"/>
        <v>0</v>
      </c>
      <c r="AC83" s="590">
        <f t="shared" si="191"/>
        <v>-11831</v>
      </c>
      <c r="AD83" s="590">
        <f t="shared" si="191"/>
        <v>-3999</v>
      </c>
      <c r="AE83" s="590">
        <f t="shared" si="191"/>
        <v>-237</v>
      </c>
      <c r="AF83" s="590">
        <f t="shared" si="191"/>
        <v>0</v>
      </c>
      <c r="AG83" s="590">
        <f t="shared" si="191"/>
        <v>0</v>
      </c>
      <c r="AH83" s="590">
        <f t="shared" si="191"/>
        <v>0</v>
      </c>
      <c r="AI83" s="590">
        <f t="shared" si="191"/>
        <v>-16067</v>
      </c>
      <c r="AJ83" s="591">
        <f t="shared" si="191"/>
        <v>0</v>
      </c>
      <c r="AK83" s="591">
        <f t="shared" si="191"/>
        <v>0</v>
      </c>
      <c r="AL83" s="591">
        <f t="shared" si="191"/>
        <v>0</v>
      </c>
      <c r="AM83" s="591">
        <f t="shared" si="191"/>
        <v>0</v>
      </c>
      <c r="AN83" s="591">
        <f t="shared" si="191"/>
        <v>-0.03</v>
      </c>
      <c r="AO83" s="591">
        <f t="shared" si="191"/>
        <v>0</v>
      </c>
      <c r="AP83" s="591">
        <f t="shared" si="191"/>
        <v>0</v>
      </c>
      <c r="AQ83" s="591">
        <f t="shared" si="191"/>
        <v>0</v>
      </c>
      <c r="AR83" s="591">
        <f t="shared" si="191"/>
        <v>0</v>
      </c>
      <c r="AS83" s="591">
        <f t="shared" si="191"/>
        <v>-0.03</v>
      </c>
      <c r="AT83" s="381">
        <f t="shared" si="191"/>
        <v>-0.03</v>
      </c>
      <c r="AU83" s="594">
        <f t="shared" si="191"/>
        <v>6316941</v>
      </c>
      <c r="AV83" s="590">
        <f t="shared" si="191"/>
        <v>4584599</v>
      </c>
      <c r="AW83" s="590">
        <f t="shared" si="191"/>
        <v>20000</v>
      </c>
      <c r="AX83" s="590">
        <f t="shared" si="191"/>
        <v>1556355</v>
      </c>
      <c r="AY83" s="590">
        <f t="shared" si="191"/>
        <v>91691</v>
      </c>
      <c r="AZ83" s="590">
        <f t="shared" si="191"/>
        <v>64296</v>
      </c>
      <c r="BA83" s="591">
        <f t="shared" si="191"/>
        <v>10.2919</v>
      </c>
      <c r="BB83" s="591">
        <f t="shared" si="191"/>
        <v>6.6495999999999995</v>
      </c>
      <c r="BC83" s="381">
        <f t="shared" si="191"/>
        <v>3.6423000000000001</v>
      </c>
    </row>
    <row r="84" spans="1:55" ht="12.95" customHeight="1" x14ac:dyDescent="0.25">
      <c r="A84" s="309">
        <v>14</v>
      </c>
      <c r="B84" s="349">
        <v>5487</v>
      </c>
      <c r="C84" s="350">
        <v>600098796</v>
      </c>
      <c r="D84" s="309">
        <v>71006753</v>
      </c>
      <c r="E84" s="377" t="s">
        <v>455</v>
      </c>
      <c r="F84" s="349">
        <v>3111</v>
      </c>
      <c r="G84" s="373" t="s">
        <v>325</v>
      </c>
      <c r="H84" s="312" t="s">
        <v>277</v>
      </c>
      <c r="I84" s="477">
        <v>1413587</v>
      </c>
      <c r="J84" s="472">
        <v>977840</v>
      </c>
      <c r="K84" s="472">
        <v>60000</v>
      </c>
      <c r="L84" s="472">
        <v>350790</v>
      </c>
      <c r="M84" s="472">
        <v>19557</v>
      </c>
      <c r="N84" s="472">
        <v>5400</v>
      </c>
      <c r="O84" s="473">
        <v>2.3164000000000002</v>
      </c>
      <c r="P84" s="474">
        <v>1.8064</v>
      </c>
      <c r="Q84" s="483">
        <v>0.51</v>
      </c>
      <c r="R84" s="485">
        <f t="shared" ref="R84:R86" si="192">Y84*-1</f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ref="AB84:AB86" si="193">SUM(Y84:AA84)</f>
        <v>0</v>
      </c>
      <c r="AC84" s="475">
        <f t="shared" ref="AC84:AC86" si="194">X84+AB84</f>
        <v>0</v>
      </c>
      <c r="AD84" s="70">
        <f t="shared" ref="AD84:AD86" si="195">ROUND((X84+Y84+Z84)*33.8%,0)</f>
        <v>0</v>
      </c>
      <c r="AE84" s="70">
        <f t="shared" ref="AE84:AE86" si="196">ROUND(X84*2%,0)</f>
        <v>0</v>
      </c>
      <c r="AF84" s="475">
        <v>0</v>
      </c>
      <c r="AG84" s="475">
        <v>0</v>
      </c>
      <c r="AH84" s="475">
        <f t="shared" ref="AH84:AH86" si="197">SUM(AF84:AG84)</f>
        <v>0</v>
      </c>
      <c r="AI84" s="475">
        <f t="shared" ref="AI84:AI86" si="198">AC84+AD84+AE84+AH84</f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ref="AT84:AT86" si="199">SUM(AR84:AS84)</f>
        <v>0</v>
      </c>
      <c r="AU84" s="484">
        <f>I84+AI84</f>
        <v>1413587</v>
      </c>
      <c r="AV84" s="475">
        <f>J84+X84</f>
        <v>977840</v>
      </c>
      <c r="AW84" s="475">
        <f t="shared" ref="AW84:AW86" si="200">K84+AB84</f>
        <v>60000</v>
      </c>
      <c r="AX84" s="475">
        <f t="shared" ref="AX84:AY86" si="201">L84+AD84</f>
        <v>350790</v>
      </c>
      <c r="AY84" s="475">
        <f t="shared" si="201"/>
        <v>19557</v>
      </c>
      <c r="AZ84" s="475">
        <f>N84+AH84</f>
        <v>5400</v>
      </c>
      <c r="BA84" s="476">
        <f>O84+AT84</f>
        <v>2.3164000000000002</v>
      </c>
      <c r="BB84" s="476">
        <f t="shared" ref="BB84:BC86" si="202">P84+AR84</f>
        <v>1.8064</v>
      </c>
      <c r="BC84" s="478">
        <f t="shared" si="202"/>
        <v>0.51</v>
      </c>
    </row>
    <row r="85" spans="1:55" ht="12.95" customHeight="1" x14ac:dyDescent="0.25">
      <c r="A85" s="309">
        <v>14</v>
      </c>
      <c r="B85" s="349">
        <v>5487</v>
      </c>
      <c r="C85" s="350">
        <v>600098796</v>
      </c>
      <c r="D85" s="309">
        <v>71006753</v>
      </c>
      <c r="E85" s="377" t="s">
        <v>455</v>
      </c>
      <c r="F85" s="349">
        <v>3111</v>
      </c>
      <c r="G85" s="312" t="s">
        <v>312</v>
      </c>
      <c r="H85" s="312" t="s">
        <v>278</v>
      </c>
      <c r="I85" s="477">
        <v>238235</v>
      </c>
      <c r="J85" s="472">
        <v>173222</v>
      </c>
      <c r="K85" s="472">
        <v>0</v>
      </c>
      <c r="L85" s="472">
        <v>58549</v>
      </c>
      <c r="M85" s="472">
        <v>3464</v>
      </c>
      <c r="N85" s="472">
        <v>3000</v>
      </c>
      <c r="O85" s="473">
        <v>0.5</v>
      </c>
      <c r="P85" s="474">
        <v>0.5</v>
      </c>
      <c r="Q85" s="483">
        <v>0</v>
      </c>
      <c r="R85" s="485">
        <f t="shared" si="192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>SUM(R85:W85)</f>
        <v>0</v>
      </c>
      <c r="Y85" s="475">
        <v>0</v>
      </c>
      <c r="Z85" s="475">
        <v>0</v>
      </c>
      <c r="AA85" s="475">
        <v>0</v>
      </c>
      <c r="AB85" s="475">
        <f t="shared" si="193"/>
        <v>0</v>
      </c>
      <c r="AC85" s="475">
        <f t="shared" si="194"/>
        <v>0</v>
      </c>
      <c r="AD85" s="70">
        <f t="shared" si="195"/>
        <v>0</v>
      </c>
      <c r="AE85" s="70">
        <f t="shared" si="196"/>
        <v>0</v>
      </c>
      <c r="AF85" s="475">
        <v>0</v>
      </c>
      <c r="AG85" s="475">
        <v>0</v>
      </c>
      <c r="AH85" s="475">
        <f t="shared" si="197"/>
        <v>0</v>
      </c>
      <c r="AI85" s="475">
        <f t="shared" si="198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>AJ85+AL85+AM85+AO85+AP85</f>
        <v>0</v>
      </c>
      <c r="AS85" s="476">
        <f>AK85+AN85+AQ85</f>
        <v>0</v>
      </c>
      <c r="AT85" s="478">
        <f t="shared" si="199"/>
        <v>0</v>
      </c>
      <c r="AU85" s="484">
        <f>I85+AI85</f>
        <v>238235</v>
      </c>
      <c r="AV85" s="475">
        <f>J85+X85</f>
        <v>173222</v>
      </c>
      <c r="AW85" s="475">
        <f t="shared" si="200"/>
        <v>0</v>
      </c>
      <c r="AX85" s="475">
        <f t="shared" si="201"/>
        <v>58549</v>
      </c>
      <c r="AY85" s="475">
        <f t="shared" si="201"/>
        <v>3464</v>
      </c>
      <c r="AZ85" s="475">
        <f>N85+AH85</f>
        <v>3000</v>
      </c>
      <c r="BA85" s="476">
        <f>O85+AT85</f>
        <v>0.5</v>
      </c>
      <c r="BB85" s="476">
        <f t="shared" si="202"/>
        <v>0.5</v>
      </c>
      <c r="BC85" s="478">
        <f t="shared" si="202"/>
        <v>0</v>
      </c>
    </row>
    <row r="86" spans="1:55" ht="12.95" customHeight="1" x14ac:dyDescent="0.25">
      <c r="A86" s="309">
        <v>14</v>
      </c>
      <c r="B86" s="349">
        <v>5487</v>
      </c>
      <c r="C86" s="350">
        <v>600098796</v>
      </c>
      <c r="D86" s="309">
        <v>71006753</v>
      </c>
      <c r="E86" s="377" t="s">
        <v>455</v>
      </c>
      <c r="F86" s="349">
        <v>3141</v>
      </c>
      <c r="G86" s="373" t="s">
        <v>315</v>
      </c>
      <c r="H86" s="312" t="s">
        <v>278</v>
      </c>
      <c r="I86" s="477">
        <v>225461</v>
      </c>
      <c r="J86" s="472">
        <v>165512</v>
      </c>
      <c r="K86" s="472">
        <v>0</v>
      </c>
      <c r="L86" s="472">
        <v>55943</v>
      </c>
      <c r="M86" s="472">
        <v>3310</v>
      </c>
      <c r="N86" s="472">
        <v>696</v>
      </c>
      <c r="O86" s="473">
        <v>0.52</v>
      </c>
      <c r="P86" s="474">
        <v>0</v>
      </c>
      <c r="Q86" s="483">
        <v>0.52</v>
      </c>
      <c r="R86" s="485">
        <f t="shared" si="192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>SUM(R86:W86)</f>
        <v>0</v>
      </c>
      <c r="Y86" s="475">
        <v>0</v>
      </c>
      <c r="Z86" s="475">
        <v>0</v>
      </c>
      <c r="AA86" s="475">
        <v>0</v>
      </c>
      <c r="AB86" s="475">
        <f t="shared" si="193"/>
        <v>0</v>
      </c>
      <c r="AC86" s="475">
        <f t="shared" si="194"/>
        <v>0</v>
      </c>
      <c r="AD86" s="70">
        <f t="shared" si="195"/>
        <v>0</v>
      </c>
      <c r="AE86" s="70">
        <f t="shared" si="196"/>
        <v>0</v>
      </c>
      <c r="AF86" s="475">
        <v>0</v>
      </c>
      <c r="AG86" s="475">
        <v>0</v>
      </c>
      <c r="AH86" s="475">
        <f t="shared" si="197"/>
        <v>0</v>
      </c>
      <c r="AI86" s="475">
        <f t="shared" si="198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476">
        <f>AJ86+AL86+AM86+AO86+AP86</f>
        <v>0</v>
      </c>
      <c r="AS86" s="476">
        <f>AK86+AN86+AQ86</f>
        <v>0</v>
      </c>
      <c r="AT86" s="478">
        <f t="shared" si="199"/>
        <v>0</v>
      </c>
      <c r="AU86" s="484">
        <f>I86+AI86</f>
        <v>225461</v>
      </c>
      <c r="AV86" s="475">
        <f>J86+X86</f>
        <v>165512</v>
      </c>
      <c r="AW86" s="475">
        <f t="shared" si="200"/>
        <v>0</v>
      </c>
      <c r="AX86" s="475">
        <f t="shared" si="201"/>
        <v>55943</v>
      </c>
      <c r="AY86" s="475">
        <f t="shared" si="201"/>
        <v>3310</v>
      </c>
      <c r="AZ86" s="475">
        <f>N86+AH86</f>
        <v>696</v>
      </c>
      <c r="BA86" s="476">
        <f>O86+AT86</f>
        <v>0.52</v>
      </c>
      <c r="BB86" s="476">
        <f t="shared" si="202"/>
        <v>0</v>
      </c>
      <c r="BC86" s="478">
        <f t="shared" si="202"/>
        <v>0.52</v>
      </c>
    </row>
    <row r="87" spans="1:55" ht="12.95" customHeight="1" x14ac:dyDescent="0.25">
      <c r="A87" s="319">
        <v>14</v>
      </c>
      <c r="B87" s="353">
        <v>5487</v>
      </c>
      <c r="C87" s="354">
        <v>600098796</v>
      </c>
      <c r="D87" s="353">
        <v>71006753</v>
      </c>
      <c r="E87" s="378" t="s">
        <v>456</v>
      </c>
      <c r="F87" s="353"/>
      <c r="G87" s="379"/>
      <c r="H87" s="380"/>
      <c r="I87" s="560">
        <v>1877283</v>
      </c>
      <c r="J87" s="556">
        <v>1316574</v>
      </c>
      <c r="K87" s="556">
        <v>60000</v>
      </c>
      <c r="L87" s="556">
        <v>465282</v>
      </c>
      <c r="M87" s="556">
        <v>26331</v>
      </c>
      <c r="N87" s="556">
        <v>9096</v>
      </c>
      <c r="O87" s="557">
        <v>3.3364000000000003</v>
      </c>
      <c r="P87" s="557">
        <v>2.3064</v>
      </c>
      <c r="Q87" s="562">
        <v>1.03</v>
      </c>
      <c r="R87" s="560">
        <f t="shared" ref="R87:BC87" si="203">SUM(R84:R86)</f>
        <v>0</v>
      </c>
      <c r="S87" s="556">
        <f t="shared" si="203"/>
        <v>0</v>
      </c>
      <c r="T87" s="556">
        <f t="shared" si="203"/>
        <v>0</v>
      </c>
      <c r="U87" s="556">
        <f t="shared" si="203"/>
        <v>0</v>
      </c>
      <c r="V87" s="556">
        <f t="shared" si="203"/>
        <v>0</v>
      </c>
      <c r="W87" s="556">
        <f t="shared" si="203"/>
        <v>0</v>
      </c>
      <c r="X87" s="556">
        <f t="shared" si="203"/>
        <v>0</v>
      </c>
      <c r="Y87" s="556">
        <f t="shared" si="203"/>
        <v>0</v>
      </c>
      <c r="Z87" s="556">
        <f t="shared" si="203"/>
        <v>0</v>
      </c>
      <c r="AA87" s="556">
        <f t="shared" si="203"/>
        <v>0</v>
      </c>
      <c r="AB87" s="556">
        <f t="shared" si="203"/>
        <v>0</v>
      </c>
      <c r="AC87" s="556">
        <f t="shared" si="203"/>
        <v>0</v>
      </c>
      <c r="AD87" s="556">
        <f t="shared" si="203"/>
        <v>0</v>
      </c>
      <c r="AE87" s="556">
        <f t="shared" si="203"/>
        <v>0</v>
      </c>
      <c r="AF87" s="556">
        <f t="shared" si="203"/>
        <v>0</v>
      </c>
      <c r="AG87" s="556">
        <f t="shared" si="203"/>
        <v>0</v>
      </c>
      <c r="AH87" s="556">
        <f t="shared" si="203"/>
        <v>0</v>
      </c>
      <c r="AI87" s="556">
        <f t="shared" si="203"/>
        <v>0</v>
      </c>
      <c r="AJ87" s="557">
        <f t="shared" si="203"/>
        <v>0</v>
      </c>
      <c r="AK87" s="557">
        <f t="shared" si="203"/>
        <v>0</v>
      </c>
      <c r="AL87" s="557">
        <f t="shared" si="203"/>
        <v>0</v>
      </c>
      <c r="AM87" s="557">
        <f t="shared" si="203"/>
        <v>0</v>
      </c>
      <c r="AN87" s="557">
        <f t="shared" si="203"/>
        <v>0</v>
      </c>
      <c r="AO87" s="557">
        <f t="shared" si="203"/>
        <v>0</v>
      </c>
      <c r="AP87" s="557">
        <f t="shared" si="203"/>
        <v>0</v>
      </c>
      <c r="AQ87" s="557">
        <f t="shared" si="203"/>
        <v>0</v>
      </c>
      <c r="AR87" s="557">
        <f t="shared" si="203"/>
        <v>0</v>
      </c>
      <c r="AS87" s="557">
        <f t="shared" si="203"/>
        <v>0</v>
      </c>
      <c r="AT87" s="307">
        <f t="shared" si="203"/>
        <v>0</v>
      </c>
      <c r="AU87" s="564">
        <f t="shared" si="203"/>
        <v>1877283</v>
      </c>
      <c r="AV87" s="556">
        <f t="shared" si="203"/>
        <v>1316574</v>
      </c>
      <c r="AW87" s="556">
        <f t="shared" si="203"/>
        <v>60000</v>
      </c>
      <c r="AX87" s="556">
        <f t="shared" si="203"/>
        <v>465282</v>
      </c>
      <c r="AY87" s="556">
        <f t="shared" si="203"/>
        <v>26331</v>
      </c>
      <c r="AZ87" s="556">
        <f t="shared" si="203"/>
        <v>9096</v>
      </c>
      <c r="BA87" s="557">
        <f t="shared" si="203"/>
        <v>3.3364000000000003</v>
      </c>
      <c r="BB87" s="557">
        <f t="shared" si="203"/>
        <v>2.3064</v>
      </c>
      <c r="BC87" s="307">
        <f t="shared" si="203"/>
        <v>1.03</v>
      </c>
    </row>
    <row r="88" spans="1:55" ht="12.95" customHeight="1" x14ac:dyDescent="0.25">
      <c r="A88" s="309">
        <v>15</v>
      </c>
      <c r="B88" s="349">
        <v>5436</v>
      </c>
      <c r="C88" s="350">
        <v>600098800</v>
      </c>
      <c r="D88" s="309">
        <v>72742992</v>
      </c>
      <c r="E88" s="377" t="s">
        <v>457</v>
      </c>
      <c r="F88" s="349">
        <v>3111</v>
      </c>
      <c r="G88" s="373" t="s">
        <v>325</v>
      </c>
      <c r="H88" s="312" t="s">
        <v>277</v>
      </c>
      <c r="I88" s="477">
        <v>3676192</v>
      </c>
      <c r="J88" s="472">
        <v>2634343</v>
      </c>
      <c r="K88" s="472">
        <v>58000</v>
      </c>
      <c r="L88" s="472">
        <v>910012</v>
      </c>
      <c r="M88" s="472">
        <v>52687</v>
      </c>
      <c r="N88" s="472">
        <v>21150</v>
      </c>
      <c r="O88" s="473">
        <v>5.4435000000000002</v>
      </c>
      <c r="P88" s="474">
        <v>4.1935000000000002</v>
      </c>
      <c r="Q88" s="483">
        <v>1.25</v>
      </c>
      <c r="R88" s="485">
        <f t="shared" ref="R88:R90" si="204">Y88*-1</f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ref="AB88:AB90" si="205">SUM(Y88:AA88)</f>
        <v>0</v>
      </c>
      <c r="AC88" s="475">
        <f t="shared" ref="AC88:AC90" si="206">X88+AB88</f>
        <v>0</v>
      </c>
      <c r="AD88" s="70">
        <f t="shared" ref="AD88:AD90" si="207">ROUND((X88+Y88+Z88)*33.8%,0)</f>
        <v>0</v>
      </c>
      <c r="AE88" s="70">
        <f t="shared" ref="AE88:AE90" si="208">ROUND(X88*2%,0)</f>
        <v>0</v>
      </c>
      <c r="AF88" s="475">
        <v>0</v>
      </c>
      <c r="AG88" s="475">
        <v>0</v>
      </c>
      <c r="AH88" s="475">
        <f t="shared" ref="AH88:AH90" si="209">SUM(AF88:AG88)</f>
        <v>0</v>
      </c>
      <c r="AI88" s="475">
        <f t="shared" ref="AI88:AI90" si="210">AC88+AD88+AE88+AH88</f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ref="AT88:AT90" si="211">SUM(AR88:AS88)</f>
        <v>0</v>
      </c>
      <c r="AU88" s="484">
        <f>I88+AI88</f>
        <v>3676192</v>
      </c>
      <c r="AV88" s="475">
        <f>J88+X88</f>
        <v>2634343</v>
      </c>
      <c r="AW88" s="475">
        <f t="shared" ref="AW88:AW90" si="212">K88+AB88</f>
        <v>58000</v>
      </c>
      <c r="AX88" s="475">
        <f t="shared" ref="AX88:AY90" si="213">L88+AD88</f>
        <v>910012</v>
      </c>
      <c r="AY88" s="475">
        <f t="shared" si="213"/>
        <v>52687</v>
      </c>
      <c r="AZ88" s="475">
        <f>N88+AH88</f>
        <v>21150</v>
      </c>
      <c r="BA88" s="476">
        <f>O88+AT88</f>
        <v>5.4435000000000002</v>
      </c>
      <c r="BB88" s="476">
        <f t="shared" ref="BB88:BC90" si="214">P88+AR88</f>
        <v>4.1935000000000002</v>
      </c>
      <c r="BC88" s="478">
        <f t="shared" si="214"/>
        <v>1.25</v>
      </c>
    </row>
    <row r="89" spans="1:55" ht="12.95" customHeight="1" x14ac:dyDescent="0.25">
      <c r="A89" s="309">
        <v>15</v>
      </c>
      <c r="B89" s="349">
        <v>5436</v>
      </c>
      <c r="C89" s="350">
        <v>600098800</v>
      </c>
      <c r="D89" s="309">
        <v>72742992</v>
      </c>
      <c r="E89" s="377" t="s">
        <v>457</v>
      </c>
      <c r="F89" s="349">
        <v>3111</v>
      </c>
      <c r="G89" s="373" t="s">
        <v>312</v>
      </c>
      <c r="H89" s="312" t="s">
        <v>278</v>
      </c>
      <c r="I89" s="477">
        <v>117618</v>
      </c>
      <c r="J89" s="472">
        <v>86611</v>
      </c>
      <c r="K89" s="472">
        <v>0</v>
      </c>
      <c r="L89" s="472">
        <v>29275</v>
      </c>
      <c r="M89" s="472">
        <v>1732</v>
      </c>
      <c r="N89" s="472">
        <v>0</v>
      </c>
      <c r="O89" s="473">
        <v>0.25</v>
      </c>
      <c r="P89" s="474">
        <v>0.25</v>
      </c>
      <c r="Q89" s="483">
        <v>0</v>
      </c>
      <c r="R89" s="485">
        <f t="shared" si="204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205"/>
        <v>0</v>
      </c>
      <c r="AC89" s="475">
        <f t="shared" si="206"/>
        <v>0</v>
      </c>
      <c r="AD89" s="70">
        <f t="shared" si="207"/>
        <v>0</v>
      </c>
      <c r="AE89" s="70">
        <f t="shared" si="208"/>
        <v>0</v>
      </c>
      <c r="AF89" s="475">
        <v>0</v>
      </c>
      <c r="AG89" s="475">
        <v>0</v>
      </c>
      <c r="AH89" s="475">
        <f t="shared" si="209"/>
        <v>0</v>
      </c>
      <c r="AI89" s="475">
        <f t="shared" si="210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11"/>
        <v>0</v>
      </c>
      <c r="AU89" s="484">
        <f>I89+AI89</f>
        <v>117618</v>
      </c>
      <c r="AV89" s="475">
        <f>J89+X89</f>
        <v>86611</v>
      </c>
      <c r="AW89" s="475">
        <f t="shared" si="212"/>
        <v>0</v>
      </c>
      <c r="AX89" s="475">
        <f t="shared" si="213"/>
        <v>29275</v>
      </c>
      <c r="AY89" s="475">
        <f t="shared" si="213"/>
        <v>1732</v>
      </c>
      <c r="AZ89" s="475">
        <f>N89+AH89</f>
        <v>0</v>
      </c>
      <c r="BA89" s="476">
        <f>O89+AT89</f>
        <v>0.25</v>
      </c>
      <c r="BB89" s="476">
        <f t="shared" si="214"/>
        <v>0.25</v>
      </c>
      <c r="BC89" s="478">
        <f t="shared" si="214"/>
        <v>0</v>
      </c>
    </row>
    <row r="90" spans="1:55" ht="12.95" customHeight="1" x14ac:dyDescent="0.25">
      <c r="A90" s="309">
        <v>15</v>
      </c>
      <c r="B90" s="309">
        <v>5436</v>
      </c>
      <c r="C90" s="358">
        <v>600098800</v>
      </c>
      <c r="D90" s="309">
        <v>72742992</v>
      </c>
      <c r="E90" s="311" t="s">
        <v>457</v>
      </c>
      <c r="F90" s="309">
        <v>3141</v>
      </c>
      <c r="G90" s="373" t="s">
        <v>315</v>
      </c>
      <c r="H90" s="312" t="s">
        <v>278</v>
      </c>
      <c r="I90" s="477">
        <v>668757</v>
      </c>
      <c r="J90" s="472">
        <v>490407</v>
      </c>
      <c r="K90" s="472">
        <v>0</v>
      </c>
      <c r="L90" s="472">
        <v>165758</v>
      </c>
      <c r="M90" s="472">
        <v>9808</v>
      </c>
      <c r="N90" s="472">
        <v>2784</v>
      </c>
      <c r="O90" s="473">
        <v>1.54</v>
      </c>
      <c r="P90" s="474">
        <v>0</v>
      </c>
      <c r="Q90" s="483">
        <v>1.54</v>
      </c>
      <c r="R90" s="485">
        <f t="shared" si="204"/>
        <v>0</v>
      </c>
      <c r="S90" s="475">
        <v>0</v>
      </c>
      <c r="T90" s="475">
        <v>-7097</v>
      </c>
      <c r="U90" s="475">
        <v>0</v>
      </c>
      <c r="V90" s="475">
        <v>0</v>
      </c>
      <c r="W90" s="475">
        <v>0</v>
      </c>
      <c r="X90" s="475">
        <f>SUM(R90:W90)</f>
        <v>-7097</v>
      </c>
      <c r="Y90" s="475">
        <v>0</v>
      </c>
      <c r="Z90" s="475">
        <v>0</v>
      </c>
      <c r="AA90" s="475">
        <v>0</v>
      </c>
      <c r="AB90" s="475">
        <f t="shared" si="205"/>
        <v>0</v>
      </c>
      <c r="AC90" s="475">
        <f t="shared" si="206"/>
        <v>-7097</v>
      </c>
      <c r="AD90" s="70">
        <f t="shared" si="207"/>
        <v>-2399</v>
      </c>
      <c r="AE90" s="70">
        <f t="shared" si="208"/>
        <v>-142</v>
      </c>
      <c r="AF90" s="475">
        <v>0</v>
      </c>
      <c r="AG90" s="475">
        <v>0</v>
      </c>
      <c r="AH90" s="475">
        <f t="shared" si="209"/>
        <v>0</v>
      </c>
      <c r="AI90" s="475">
        <f t="shared" si="210"/>
        <v>-9638</v>
      </c>
      <c r="AJ90" s="476">
        <v>0</v>
      </c>
      <c r="AK90" s="476">
        <v>0</v>
      </c>
      <c r="AL90" s="476">
        <v>0</v>
      </c>
      <c r="AM90" s="476">
        <v>0</v>
      </c>
      <c r="AN90" s="476">
        <v>-0.02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-0.02</v>
      </c>
      <c r="AT90" s="478">
        <f t="shared" si="211"/>
        <v>-0.02</v>
      </c>
      <c r="AU90" s="484">
        <f>I90+AI90</f>
        <v>659119</v>
      </c>
      <c r="AV90" s="475">
        <f>J90+X90</f>
        <v>483310</v>
      </c>
      <c r="AW90" s="475">
        <f t="shared" si="212"/>
        <v>0</v>
      </c>
      <c r="AX90" s="475">
        <f t="shared" si="213"/>
        <v>163359</v>
      </c>
      <c r="AY90" s="475">
        <f t="shared" si="213"/>
        <v>9666</v>
      </c>
      <c r="AZ90" s="475">
        <f>N90+AH90</f>
        <v>2784</v>
      </c>
      <c r="BA90" s="476">
        <f>O90+AT90</f>
        <v>1.52</v>
      </c>
      <c r="BB90" s="476">
        <f t="shared" si="214"/>
        <v>0</v>
      </c>
      <c r="BC90" s="478">
        <f t="shared" si="214"/>
        <v>1.52</v>
      </c>
    </row>
    <row r="91" spans="1:55" ht="12.95" customHeight="1" x14ac:dyDescent="0.25">
      <c r="A91" s="319">
        <v>15</v>
      </c>
      <c r="B91" s="303">
        <v>5436</v>
      </c>
      <c r="C91" s="374">
        <v>600098800</v>
      </c>
      <c r="D91" s="303">
        <v>72742992</v>
      </c>
      <c r="E91" s="316" t="s">
        <v>458</v>
      </c>
      <c r="F91" s="303"/>
      <c r="G91" s="375"/>
      <c r="H91" s="376"/>
      <c r="I91" s="560">
        <v>4462567</v>
      </c>
      <c r="J91" s="556">
        <v>3211361</v>
      </c>
      <c r="K91" s="556">
        <v>58000</v>
      </c>
      <c r="L91" s="556">
        <v>1105045</v>
      </c>
      <c r="M91" s="556">
        <v>64227</v>
      </c>
      <c r="N91" s="556">
        <v>23934</v>
      </c>
      <c r="O91" s="557">
        <v>7.2335000000000003</v>
      </c>
      <c r="P91" s="557">
        <v>4.4435000000000002</v>
      </c>
      <c r="Q91" s="562">
        <v>2.79</v>
      </c>
      <c r="R91" s="560">
        <f t="shared" ref="R91:BC91" si="215">SUM(R88:R90)</f>
        <v>0</v>
      </c>
      <c r="S91" s="556">
        <f t="shared" si="215"/>
        <v>0</v>
      </c>
      <c r="T91" s="556">
        <f t="shared" si="215"/>
        <v>-7097</v>
      </c>
      <c r="U91" s="556">
        <f t="shared" si="215"/>
        <v>0</v>
      </c>
      <c r="V91" s="556">
        <f t="shared" si="215"/>
        <v>0</v>
      </c>
      <c r="W91" s="556">
        <f t="shared" si="215"/>
        <v>0</v>
      </c>
      <c r="X91" s="556">
        <f t="shared" si="215"/>
        <v>-7097</v>
      </c>
      <c r="Y91" s="556">
        <f t="shared" si="215"/>
        <v>0</v>
      </c>
      <c r="Z91" s="556">
        <f t="shared" si="215"/>
        <v>0</v>
      </c>
      <c r="AA91" s="556">
        <f t="shared" si="215"/>
        <v>0</v>
      </c>
      <c r="AB91" s="556">
        <f t="shared" si="215"/>
        <v>0</v>
      </c>
      <c r="AC91" s="556">
        <f t="shared" si="215"/>
        <v>-7097</v>
      </c>
      <c r="AD91" s="556">
        <f t="shared" si="215"/>
        <v>-2399</v>
      </c>
      <c r="AE91" s="556">
        <f t="shared" si="215"/>
        <v>-142</v>
      </c>
      <c r="AF91" s="556">
        <f t="shared" si="215"/>
        <v>0</v>
      </c>
      <c r="AG91" s="556">
        <f t="shared" si="215"/>
        <v>0</v>
      </c>
      <c r="AH91" s="556">
        <f t="shared" si="215"/>
        <v>0</v>
      </c>
      <c r="AI91" s="556">
        <f t="shared" si="215"/>
        <v>-9638</v>
      </c>
      <c r="AJ91" s="557">
        <f t="shared" si="215"/>
        <v>0</v>
      </c>
      <c r="AK91" s="557">
        <f t="shared" si="215"/>
        <v>0</v>
      </c>
      <c r="AL91" s="557">
        <f t="shared" si="215"/>
        <v>0</v>
      </c>
      <c r="AM91" s="557">
        <f t="shared" si="215"/>
        <v>0</v>
      </c>
      <c r="AN91" s="557">
        <f t="shared" si="215"/>
        <v>-0.02</v>
      </c>
      <c r="AO91" s="557">
        <f t="shared" si="215"/>
        <v>0</v>
      </c>
      <c r="AP91" s="557">
        <f t="shared" si="215"/>
        <v>0</v>
      </c>
      <c r="AQ91" s="557">
        <f t="shared" si="215"/>
        <v>0</v>
      </c>
      <c r="AR91" s="557">
        <f t="shared" si="215"/>
        <v>0</v>
      </c>
      <c r="AS91" s="557">
        <f t="shared" si="215"/>
        <v>-0.02</v>
      </c>
      <c r="AT91" s="307">
        <f t="shared" si="215"/>
        <v>-0.02</v>
      </c>
      <c r="AU91" s="564">
        <f t="shared" si="215"/>
        <v>4452929</v>
      </c>
      <c r="AV91" s="556">
        <f t="shared" si="215"/>
        <v>3204264</v>
      </c>
      <c r="AW91" s="556">
        <f t="shared" si="215"/>
        <v>58000</v>
      </c>
      <c r="AX91" s="556">
        <f t="shared" si="215"/>
        <v>1102646</v>
      </c>
      <c r="AY91" s="556">
        <f t="shared" si="215"/>
        <v>64085</v>
      </c>
      <c r="AZ91" s="556">
        <f t="shared" si="215"/>
        <v>23934</v>
      </c>
      <c r="BA91" s="557">
        <f t="shared" si="215"/>
        <v>7.2134999999999998</v>
      </c>
      <c r="BB91" s="557">
        <f t="shared" si="215"/>
        <v>4.4435000000000002</v>
      </c>
      <c r="BC91" s="307">
        <f t="shared" si="215"/>
        <v>2.77</v>
      </c>
    </row>
    <row r="92" spans="1:55" ht="12.95" customHeight="1" x14ac:dyDescent="0.25">
      <c r="A92" s="309">
        <v>16</v>
      </c>
      <c r="B92" s="349">
        <v>5435</v>
      </c>
      <c r="C92" s="350">
        <v>600099199</v>
      </c>
      <c r="D92" s="309">
        <v>72743077</v>
      </c>
      <c r="E92" s="377" t="s">
        <v>459</v>
      </c>
      <c r="F92" s="349">
        <v>3113</v>
      </c>
      <c r="G92" s="373" t="s">
        <v>329</v>
      </c>
      <c r="H92" s="312" t="s">
        <v>277</v>
      </c>
      <c r="I92" s="477">
        <v>9673553</v>
      </c>
      <c r="J92" s="472">
        <v>6834409</v>
      </c>
      <c r="K92" s="472">
        <v>167000</v>
      </c>
      <c r="L92" s="472">
        <v>2366476</v>
      </c>
      <c r="M92" s="472">
        <v>136688</v>
      </c>
      <c r="N92" s="472">
        <v>168980</v>
      </c>
      <c r="O92" s="473">
        <v>13.039299999999999</v>
      </c>
      <c r="P92" s="474">
        <v>9.9953000000000003</v>
      </c>
      <c r="Q92" s="483">
        <v>3.044</v>
      </c>
      <c r="R92" s="485">
        <f t="shared" ref="R92:R96" si="216">Y92*-1</f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>SUM(R92:W92)</f>
        <v>0</v>
      </c>
      <c r="Y92" s="475">
        <v>0</v>
      </c>
      <c r="Z92" s="475">
        <v>0</v>
      </c>
      <c r="AA92" s="475">
        <v>0</v>
      </c>
      <c r="AB92" s="475">
        <f t="shared" ref="AB92:AB96" si="217">SUM(Y92:AA92)</f>
        <v>0</v>
      </c>
      <c r="AC92" s="475">
        <f t="shared" ref="AC92:AC96" si="218">X92+AB92</f>
        <v>0</v>
      </c>
      <c r="AD92" s="70">
        <f t="shared" ref="AD92:AD96" si="219">ROUND((X92+Y92+Z92)*33.8%,0)</f>
        <v>0</v>
      </c>
      <c r="AE92" s="70">
        <f t="shared" ref="AE92:AE96" si="220">ROUND(X92*2%,0)</f>
        <v>0</v>
      </c>
      <c r="AF92" s="475">
        <v>0</v>
      </c>
      <c r="AG92" s="475">
        <v>0</v>
      </c>
      <c r="AH92" s="475">
        <f t="shared" ref="AH92:AH96" si="221">SUM(AF92:AG92)</f>
        <v>0</v>
      </c>
      <c r="AI92" s="475">
        <f t="shared" ref="AI92:AI96" si="222">AC92+AD92+AE92+AH92</f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</v>
      </c>
      <c r="AT92" s="478">
        <f t="shared" ref="AT92:AT96" si="223">SUM(AR92:AS92)</f>
        <v>0</v>
      </c>
      <c r="AU92" s="484">
        <f>I92+AI92</f>
        <v>9673553</v>
      </c>
      <c r="AV92" s="475">
        <f>J92+X92</f>
        <v>6834409</v>
      </c>
      <c r="AW92" s="475">
        <f t="shared" ref="AW92:AW96" si="224">K92+AB92</f>
        <v>167000</v>
      </c>
      <c r="AX92" s="475">
        <f t="shared" ref="AX92:AY96" si="225">L92+AD92</f>
        <v>2366476</v>
      </c>
      <c r="AY92" s="475">
        <f t="shared" si="225"/>
        <v>136688</v>
      </c>
      <c r="AZ92" s="475">
        <f>N92+AH92</f>
        <v>168980</v>
      </c>
      <c r="BA92" s="476">
        <f>O92+AT92</f>
        <v>13.039299999999999</v>
      </c>
      <c r="BB92" s="476">
        <f t="shared" ref="BB92:BC96" si="226">P92+AR92</f>
        <v>9.9953000000000003</v>
      </c>
      <c r="BC92" s="478">
        <f t="shared" si="226"/>
        <v>3.044</v>
      </c>
    </row>
    <row r="93" spans="1:55" ht="12.95" customHeight="1" x14ac:dyDescent="0.25">
      <c r="A93" s="309">
        <v>16</v>
      </c>
      <c r="B93" s="349">
        <v>5435</v>
      </c>
      <c r="C93" s="350">
        <v>600099199</v>
      </c>
      <c r="D93" s="309">
        <v>72743077</v>
      </c>
      <c r="E93" s="377" t="s">
        <v>459</v>
      </c>
      <c r="F93" s="349">
        <v>3113</v>
      </c>
      <c r="G93" s="312" t="s">
        <v>312</v>
      </c>
      <c r="H93" s="312" t="s">
        <v>278</v>
      </c>
      <c r="I93" s="477">
        <v>0</v>
      </c>
      <c r="J93" s="472">
        <v>0</v>
      </c>
      <c r="K93" s="472">
        <v>0</v>
      </c>
      <c r="L93" s="472">
        <v>0</v>
      </c>
      <c r="M93" s="472">
        <v>0</v>
      </c>
      <c r="N93" s="472">
        <v>0</v>
      </c>
      <c r="O93" s="473">
        <v>0</v>
      </c>
      <c r="P93" s="474">
        <v>0</v>
      </c>
      <c r="Q93" s="483">
        <v>0</v>
      </c>
      <c r="R93" s="485">
        <f t="shared" si="216"/>
        <v>0</v>
      </c>
      <c r="S93" s="475">
        <v>43306</v>
      </c>
      <c r="T93" s="475">
        <v>0</v>
      </c>
      <c r="U93" s="475">
        <v>0</v>
      </c>
      <c r="V93" s="475">
        <v>0</v>
      </c>
      <c r="W93" s="475">
        <v>0</v>
      </c>
      <c r="X93" s="475">
        <f>SUM(R93:W93)</f>
        <v>43306</v>
      </c>
      <c r="Y93" s="475">
        <v>0</v>
      </c>
      <c r="Z93" s="475">
        <v>0</v>
      </c>
      <c r="AA93" s="475">
        <v>0</v>
      </c>
      <c r="AB93" s="475">
        <f t="shared" si="217"/>
        <v>0</v>
      </c>
      <c r="AC93" s="475">
        <f t="shared" si="218"/>
        <v>43306</v>
      </c>
      <c r="AD93" s="70">
        <f t="shared" si="219"/>
        <v>14637</v>
      </c>
      <c r="AE93" s="70">
        <f t="shared" si="220"/>
        <v>866</v>
      </c>
      <c r="AF93" s="475">
        <v>0</v>
      </c>
      <c r="AG93" s="475">
        <v>0</v>
      </c>
      <c r="AH93" s="475">
        <f t="shared" si="221"/>
        <v>0</v>
      </c>
      <c r="AI93" s="475">
        <f t="shared" si="222"/>
        <v>58809</v>
      </c>
      <c r="AJ93" s="476">
        <v>0</v>
      </c>
      <c r="AK93" s="476">
        <v>0</v>
      </c>
      <c r="AL93" s="476">
        <v>0.13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0.13</v>
      </c>
      <c r="AS93" s="476">
        <f>AK93+AN93+AQ93</f>
        <v>0</v>
      </c>
      <c r="AT93" s="478">
        <f t="shared" si="223"/>
        <v>0.13</v>
      </c>
      <c r="AU93" s="484">
        <f>I93+AI93</f>
        <v>58809</v>
      </c>
      <c r="AV93" s="475">
        <f>J93+X93</f>
        <v>43306</v>
      </c>
      <c r="AW93" s="475">
        <f t="shared" si="224"/>
        <v>0</v>
      </c>
      <c r="AX93" s="475">
        <f t="shared" si="225"/>
        <v>14637</v>
      </c>
      <c r="AY93" s="475">
        <f t="shared" si="225"/>
        <v>866</v>
      </c>
      <c r="AZ93" s="475">
        <f>N93+AH93</f>
        <v>0</v>
      </c>
      <c r="BA93" s="476">
        <f>O93+AT93</f>
        <v>0.13</v>
      </c>
      <c r="BB93" s="476">
        <f t="shared" si="226"/>
        <v>0.13</v>
      </c>
      <c r="BC93" s="478">
        <f t="shared" si="226"/>
        <v>0</v>
      </c>
    </row>
    <row r="94" spans="1:55" ht="12.95" customHeight="1" x14ac:dyDescent="0.25">
      <c r="A94" s="309">
        <v>16</v>
      </c>
      <c r="B94" s="349">
        <v>5435</v>
      </c>
      <c r="C94" s="350">
        <v>600099199</v>
      </c>
      <c r="D94" s="309">
        <v>72743077</v>
      </c>
      <c r="E94" s="377" t="s">
        <v>459</v>
      </c>
      <c r="F94" s="349">
        <v>3141</v>
      </c>
      <c r="G94" s="373" t="s">
        <v>315</v>
      </c>
      <c r="H94" s="312" t="s">
        <v>278</v>
      </c>
      <c r="I94" s="477">
        <v>963247</v>
      </c>
      <c r="J94" s="472">
        <v>704529</v>
      </c>
      <c r="K94" s="472">
        <v>0</v>
      </c>
      <c r="L94" s="472">
        <v>238131</v>
      </c>
      <c r="M94" s="472">
        <v>14091</v>
      </c>
      <c r="N94" s="472">
        <v>6496</v>
      </c>
      <c r="O94" s="473">
        <v>2.2200000000000002</v>
      </c>
      <c r="P94" s="474">
        <v>0</v>
      </c>
      <c r="Q94" s="483">
        <v>2.2200000000000002</v>
      </c>
      <c r="R94" s="485">
        <f t="shared" si="216"/>
        <v>0</v>
      </c>
      <c r="S94" s="475">
        <v>0</v>
      </c>
      <c r="T94" s="475">
        <v>3217</v>
      </c>
      <c r="U94" s="475">
        <v>0</v>
      </c>
      <c r="V94" s="475">
        <v>0</v>
      </c>
      <c r="W94" s="475">
        <v>0</v>
      </c>
      <c r="X94" s="475">
        <f>SUM(R94:W94)</f>
        <v>3217</v>
      </c>
      <c r="Y94" s="475">
        <v>0</v>
      </c>
      <c r="Z94" s="475">
        <v>0</v>
      </c>
      <c r="AA94" s="475">
        <v>0</v>
      </c>
      <c r="AB94" s="475">
        <f t="shared" si="217"/>
        <v>0</v>
      </c>
      <c r="AC94" s="475">
        <f t="shared" si="218"/>
        <v>3217</v>
      </c>
      <c r="AD94" s="70">
        <f t="shared" si="219"/>
        <v>1087</v>
      </c>
      <c r="AE94" s="70">
        <f t="shared" si="220"/>
        <v>64</v>
      </c>
      <c r="AF94" s="475">
        <v>0</v>
      </c>
      <c r="AG94" s="475">
        <v>0</v>
      </c>
      <c r="AH94" s="475">
        <f t="shared" si="221"/>
        <v>0</v>
      </c>
      <c r="AI94" s="475">
        <f t="shared" si="222"/>
        <v>4368</v>
      </c>
      <c r="AJ94" s="476">
        <v>0</v>
      </c>
      <c r="AK94" s="476">
        <v>0</v>
      </c>
      <c r="AL94" s="476">
        <v>0</v>
      </c>
      <c r="AM94" s="476">
        <v>0</v>
      </c>
      <c r="AN94" s="476">
        <v>0.01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0.01</v>
      </c>
      <c r="AT94" s="478">
        <f t="shared" si="223"/>
        <v>0.01</v>
      </c>
      <c r="AU94" s="484">
        <f>I94+AI94</f>
        <v>967615</v>
      </c>
      <c r="AV94" s="475">
        <f>J94+X94</f>
        <v>707746</v>
      </c>
      <c r="AW94" s="475">
        <f t="shared" si="224"/>
        <v>0</v>
      </c>
      <c r="AX94" s="475">
        <f t="shared" si="225"/>
        <v>239218</v>
      </c>
      <c r="AY94" s="475">
        <f t="shared" si="225"/>
        <v>14155</v>
      </c>
      <c r="AZ94" s="475">
        <f>N94+AH94</f>
        <v>6496</v>
      </c>
      <c r="BA94" s="476">
        <f>O94+AT94</f>
        <v>2.23</v>
      </c>
      <c r="BB94" s="476">
        <f t="shared" si="226"/>
        <v>0</v>
      </c>
      <c r="BC94" s="478">
        <f t="shared" si="226"/>
        <v>2.23</v>
      </c>
    </row>
    <row r="95" spans="1:55" ht="12.95" customHeight="1" x14ac:dyDescent="0.25">
      <c r="A95" s="309">
        <v>16</v>
      </c>
      <c r="B95" s="349">
        <v>5435</v>
      </c>
      <c r="C95" s="350">
        <v>600099199</v>
      </c>
      <c r="D95" s="309">
        <v>72743077</v>
      </c>
      <c r="E95" s="377" t="s">
        <v>459</v>
      </c>
      <c r="F95" s="349">
        <v>3143</v>
      </c>
      <c r="G95" s="312" t="s">
        <v>626</v>
      </c>
      <c r="H95" s="312" t="s">
        <v>277</v>
      </c>
      <c r="I95" s="477">
        <v>653042</v>
      </c>
      <c r="J95" s="472">
        <v>480885</v>
      </c>
      <c r="K95" s="472">
        <v>0</v>
      </c>
      <c r="L95" s="472">
        <v>162539</v>
      </c>
      <c r="M95" s="472">
        <v>9618</v>
      </c>
      <c r="N95" s="472">
        <v>0</v>
      </c>
      <c r="O95" s="473">
        <v>0.96430000000000005</v>
      </c>
      <c r="P95" s="474">
        <v>0</v>
      </c>
      <c r="Q95" s="483">
        <v>0.96430000000000005</v>
      </c>
      <c r="R95" s="485">
        <f t="shared" si="216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17"/>
        <v>0</v>
      </c>
      <c r="AC95" s="475">
        <f t="shared" si="218"/>
        <v>0</v>
      </c>
      <c r="AD95" s="70">
        <f t="shared" si="219"/>
        <v>0</v>
      </c>
      <c r="AE95" s="70">
        <f t="shared" si="220"/>
        <v>0</v>
      </c>
      <c r="AF95" s="475">
        <v>0</v>
      </c>
      <c r="AG95" s="475">
        <v>0</v>
      </c>
      <c r="AH95" s="475">
        <f t="shared" si="221"/>
        <v>0</v>
      </c>
      <c r="AI95" s="475">
        <f t="shared" si="222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23"/>
        <v>0</v>
      </c>
      <c r="AU95" s="484">
        <f>I95+AI95</f>
        <v>653042</v>
      </c>
      <c r="AV95" s="475">
        <f>J95+X95</f>
        <v>480885</v>
      </c>
      <c r="AW95" s="475">
        <f t="shared" si="224"/>
        <v>0</v>
      </c>
      <c r="AX95" s="475">
        <f t="shared" si="225"/>
        <v>162539</v>
      </c>
      <c r="AY95" s="475">
        <f t="shared" si="225"/>
        <v>9618</v>
      </c>
      <c r="AZ95" s="475">
        <f>N95+AH95</f>
        <v>0</v>
      </c>
      <c r="BA95" s="476">
        <f>O95+AT95</f>
        <v>0.96430000000000005</v>
      </c>
      <c r="BB95" s="476">
        <f t="shared" si="226"/>
        <v>0</v>
      </c>
      <c r="BC95" s="478">
        <f t="shared" si="226"/>
        <v>0.96430000000000005</v>
      </c>
    </row>
    <row r="96" spans="1:55" ht="12.95" customHeight="1" x14ac:dyDescent="0.25">
      <c r="A96" s="309">
        <v>16</v>
      </c>
      <c r="B96" s="349">
        <v>5435</v>
      </c>
      <c r="C96" s="350">
        <v>600099199</v>
      </c>
      <c r="D96" s="309">
        <v>72743077</v>
      </c>
      <c r="E96" s="377" t="s">
        <v>459</v>
      </c>
      <c r="F96" s="349">
        <v>3143</v>
      </c>
      <c r="G96" s="312" t="s">
        <v>627</v>
      </c>
      <c r="H96" s="312" t="s">
        <v>278</v>
      </c>
      <c r="I96" s="477">
        <v>22680</v>
      </c>
      <c r="J96" s="472">
        <v>16038</v>
      </c>
      <c r="K96" s="472">
        <v>0</v>
      </c>
      <c r="L96" s="472">
        <v>5421</v>
      </c>
      <c r="M96" s="472">
        <v>321</v>
      </c>
      <c r="N96" s="472">
        <v>900</v>
      </c>
      <c r="O96" s="473">
        <v>0.06</v>
      </c>
      <c r="P96" s="474">
        <v>0</v>
      </c>
      <c r="Q96" s="483">
        <v>0.06</v>
      </c>
      <c r="R96" s="485">
        <f t="shared" si="216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17"/>
        <v>0</v>
      </c>
      <c r="AC96" s="475">
        <f t="shared" si="218"/>
        <v>0</v>
      </c>
      <c r="AD96" s="70">
        <f t="shared" si="219"/>
        <v>0</v>
      </c>
      <c r="AE96" s="70">
        <f t="shared" si="220"/>
        <v>0</v>
      </c>
      <c r="AF96" s="475">
        <v>0</v>
      </c>
      <c r="AG96" s="475">
        <v>0</v>
      </c>
      <c r="AH96" s="475">
        <f t="shared" si="221"/>
        <v>0</v>
      </c>
      <c r="AI96" s="475">
        <f t="shared" si="222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23"/>
        <v>0</v>
      </c>
      <c r="AU96" s="484">
        <f>I96+AI96</f>
        <v>22680</v>
      </c>
      <c r="AV96" s="475">
        <f>J96+X96</f>
        <v>16038</v>
      </c>
      <c r="AW96" s="475">
        <f t="shared" si="224"/>
        <v>0</v>
      </c>
      <c r="AX96" s="475">
        <f t="shared" si="225"/>
        <v>5421</v>
      </c>
      <c r="AY96" s="475">
        <f t="shared" si="225"/>
        <v>321</v>
      </c>
      <c r="AZ96" s="475">
        <f>N96+AH96</f>
        <v>900</v>
      </c>
      <c r="BA96" s="476">
        <f>O96+AT96</f>
        <v>0.06</v>
      </c>
      <c r="BB96" s="476">
        <f t="shared" si="226"/>
        <v>0</v>
      </c>
      <c r="BC96" s="478">
        <f t="shared" si="226"/>
        <v>0.06</v>
      </c>
    </row>
    <row r="97" spans="1:55" ht="12.95" customHeight="1" x14ac:dyDescent="0.25">
      <c r="A97" s="319">
        <v>16</v>
      </c>
      <c r="B97" s="353">
        <v>5435</v>
      </c>
      <c r="C97" s="354">
        <v>600099199</v>
      </c>
      <c r="D97" s="353">
        <v>72743077</v>
      </c>
      <c r="E97" s="378" t="s">
        <v>460</v>
      </c>
      <c r="F97" s="353"/>
      <c r="G97" s="379"/>
      <c r="H97" s="380"/>
      <c r="I97" s="560">
        <v>11312522</v>
      </c>
      <c r="J97" s="556">
        <v>8035861</v>
      </c>
      <c r="K97" s="556">
        <v>167000</v>
      </c>
      <c r="L97" s="556">
        <v>2772567</v>
      </c>
      <c r="M97" s="556">
        <v>160718</v>
      </c>
      <c r="N97" s="556">
        <v>176376</v>
      </c>
      <c r="O97" s="557">
        <v>16.2836</v>
      </c>
      <c r="P97" s="557">
        <v>9.9953000000000003</v>
      </c>
      <c r="Q97" s="562">
        <v>6.2882999999999996</v>
      </c>
      <c r="R97" s="560">
        <f t="shared" ref="R97:BC97" si="227">SUM(R92:R96)</f>
        <v>0</v>
      </c>
      <c r="S97" s="556">
        <f t="shared" si="227"/>
        <v>43306</v>
      </c>
      <c r="T97" s="556">
        <f t="shared" si="227"/>
        <v>3217</v>
      </c>
      <c r="U97" s="556">
        <f t="shared" si="227"/>
        <v>0</v>
      </c>
      <c r="V97" s="556">
        <f t="shared" si="227"/>
        <v>0</v>
      </c>
      <c r="W97" s="556">
        <f t="shared" si="227"/>
        <v>0</v>
      </c>
      <c r="X97" s="556">
        <f t="shared" si="227"/>
        <v>46523</v>
      </c>
      <c r="Y97" s="556">
        <f t="shared" si="227"/>
        <v>0</v>
      </c>
      <c r="Z97" s="556">
        <f t="shared" si="227"/>
        <v>0</v>
      </c>
      <c r="AA97" s="556">
        <f t="shared" si="227"/>
        <v>0</v>
      </c>
      <c r="AB97" s="556">
        <f t="shared" si="227"/>
        <v>0</v>
      </c>
      <c r="AC97" s="556">
        <f t="shared" si="227"/>
        <v>46523</v>
      </c>
      <c r="AD97" s="556">
        <f t="shared" si="227"/>
        <v>15724</v>
      </c>
      <c r="AE97" s="556">
        <f t="shared" si="227"/>
        <v>930</v>
      </c>
      <c r="AF97" s="556">
        <f t="shared" si="227"/>
        <v>0</v>
      </c>
      <c r="AG97" s="556">
        <f t="shared" si="227"/>
        <v>0</v>
      </c>
      <c r="AH97" s="556">
        <f t="shared" si="227"/>
        <v>0</v>
      </c>
      <c r="AI97" s="556">
        <f t="shared" si="227"/>
        <v>63177</v>
      </c>
      <c r="AJ97" s="557">
        <f t="shared" si="227"/>
        <v>0</v>
      </c>
      <c r="AK97" s="557">
        <f t="shared" si="227"/>
        <v>0</v>
      </c>
      <c r="AL97" s="557">
        <f t="shared" si="227"/>
        <v>0.13</v>
      </c>
      <c r="AM97" s="557">
        <f t="shared" si="227"/>
        <v>0</v>
      </c>
      <c r="AN97" s="557">
        <f t="shared" si="227"/>
        <v>0.01</v>
      </c>
      <c r="AO97" s="557">
        <f t="shared" si="227"/>
        <v>0</v>
      </c>
      <c r="AP97" s="557">
        <f t="shared" si="227"/>
        <v>0</v>
      </c>
      <c r="AQ97" s="557">
        <f t="shared" si="227"/>
        <v>0</v>
      </c>
      <c r="AR97" s="557">
        <f t="shared" si="227"/>
        <v>0.13</v>
      </c>
      <c r="AS97" s="557">
        <f t="shared" si="227"/>
        <v>0.01</v>
      </c>
      <c r="AT97" s="307">
        <f t="shared" si="227"/>
        <v>0.14000000000000001</v>
      </c>
      <c r="AU97" s="564">
        <f t="shared" si="227"/>
        <v>11375699</v>
      </c>
      <c r="AV97" s="556">
        <f t="shared" si="227"/>
        <v>8082384</v>
      </c>
      <c r="AW97" s="556">
        <f t="shared" si="227"/>
        <v>167000</v>
      </c>
      <c r="AX97" s="556">
        <f t="shared" si="227"/>
        <v>2788291</v>
      </c>
      <c r="AY97" s="556">
        <f t="shared" si="227"/>
        <v>161648</v>
      </c>
      <c r="AZ97" s="556">
        <f t="shared" si="227"/>
        <v>176376</v>
      </c>
      <c r="BA97" s="557">
        <f t="shared" si="227"/>
        <v>16.4236</v>
      </c>
      <c r="BB97" s="557">
        <f t="shared" si="227"/>
        <v>10.125300000000001</v>
      </c>
      <c r="BC97" s="307">
        <f t="shared" si="227"/>
        <v>6.2982999999999993</v>
      </c>
    </row>
    <row r="98" spans="1:55" ht="12.95" customHeight="1" x14ac:dyDescent="0.25">
      <c r="A98" s="309">
        <v>17</v>
      </c>
      <c r="B98" s="349">
        <v>5474</v>
      </c>
      <c r="C98" s="309">
        <v>600099539</v>
      </c>
      <c r="D98" s="309">
        <v>70151504</v>
      </c>
      <c r="E98" s="377" t="s">
        <v>461</v>
      </c>
      <c r="F98" s="349">
        <v>3233</v>
      </c>
      <c r="G98" s="373" t="s">
        <v>318</v>
      </c>
      <c r="H98" s="312" t="s">
        <v>278</v>
      </c>
      <c r="I98" s="477">
        <v>2626229</v>
      </c>
      <c r="J98" s="472">
        <v>1774764</v>
      </c>
      <c r="K98" s="472">
        <v>150000</v>
      </c>
      <c r="L98" s="472">
        <v>650570</v>
      </c>
      <c r="M98" s="472">
        <v>35495</v>
      </c>
      <c r="N98" s="472">
        <v>15400</v>
      </c>
      <c r="O98" s="473">
        <v>3.8000000000000003</v>
      </c>
      <c r="P98" s="474">
        <v>2.6900000000000004</v>
      </c>
      <c r="Q98" s="483">
        <v>1.1099999999999999</v>
      </c>
      <c r="R98" s="485">
        <f t="shared" ref="R98" si="228">Y98*-1</f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>SUM(R98:W98)</f>
        <v>0</v>
      </c>
      <c r="Y98" s="475">
        <v>0</v>
      </c>
      <c r="Z98" s="475">
        <v>0</v>
      </c>
      <c r="AA98" s="475">
        <v>0</v>
      </c>
      <c r="AB98" s="475">
        <f t="shared" ref="AB98" si="229">SUM(Y98:AA98)</f>
        <v>0</v>
      </c>
      <c r="AC98" s="475">
        <f t="shared" ref="AC98" si="230">X98+AB98</f>
        <v>0</v>
      </c>
      <c r="AD98" s="70">
        <f t="shared" ref="AD98" si="231">ROUND((X98+Y98+Z98)*33.8%,0)</f>
        <v>0</v>
      </c>
      <c r="AE98" s="70">
        <f t="shared" ref="AE98" si="232">ROUND(X98*2%,0)</f>
        <v>0</v>
      </c>
      <c r="AF98" s="475">
        <v>0</v>
      </c>
      <c r="AG98" s="475">
        <v>0</v>
      </c>
      <c r="AH98" s="475">
        <f t="shared" ref="AH98" si="233">SUM(AF98:AG98)</f>
        <v>0</v>
      </c>
      <c r="AI98" s="475">
        <f t="shared" ref="AI98" si="234">AC98+AD98+AE98+AH98</f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>AJ98+AL98+AM98+AO98+AP98</f>
        <v>0</v>
      </c>
      <c r="AS98" s="476">
        <f>AK98+AN98+AQ98</f>
        <v>0</v>
      </c>
      <c r="AT98" s="478">
        <f t="shared" ref="AT98" si="235">SUM(AR98:AS98)</f>
        <v>0</v>
      </c>
      <c r="AU98" s="484">
        <f>I98+AI98</f>
        <v>2626229</v>
      </c>
      <c r="AV98" s="475">
        <f>J98+X98</f>
        <v>1774764</v>
      </c>
      <c r="AW98" s="475">
        <f>K98+AB98</f>
        <v>150000</v>
      </c>
      <c r="AX98" s="475">
        <f>L98+AD98</f>
        <v>650570</v>
      </c>
      <c r="AY98" s="475">
        <f>M98+AE98</f>
        <v>35495</v>
      </c>
      <c r="AZ98" s="475">
        <f>N98+AH98</f>
        <v>15400</v>
      </c>
      <c r="BA98" s="476">
        <f>O98+AT98</f>
        <v>3.8000000000000003</v>
      </c>
      <c r="BB98" s="476">
        <f>P98+AR98</f>
        <v>2.6900000000000004</v>
      </c>
      <c r="BC98" s="478">
        <f>Q98+AS98</f>
        <v>1.1099999999999999</v>
      </c>
    </row>
    <row r="99" spans="1:55" ht="12.95" customHeight="1" x14ac:dyDescent="0.25">
      <c r="A99" s="319">
        <v>17</v>
      </c>
      <c r="B99" s="353">
        <v>5474</v>
      </c>
      <c r="C99" s="354">
        <v>600099539</v>
      </c>
      <c r="D99" s="353">
        <v>70151504</v>
      </c>
      <c r="E99" s="378" t="s">
        <v>462</v>
      </c>
      <c r="F99" s="353"/>
      <c r="G99" s="379"/>
      <c r="H99" s="380"/>
      <c r="I99" s="592">
        <v>2626229</v>
      </c>
      <c r="J99" s="590">
        <v>1774764</v>
      </c>
      <c r="K99" s="590">
        <v>150000</v>
      </c>
      <c r="L99" s="590">
        <v>650570</v>
      </c>
      <c r="M99" s="590">
        <v>35495</v>
      </c>
      <c r="N99" s="590">
        <v>15400</v>
      </c>
      <c r="O99" s="591">
        <v>3.8000000000000003</v>
      </c>
      <c r="P99" s="591">
        <v>2.6900000000000004</v>
      </c>
      <c r="Q99" s="593">
        <v>1.1099999999999999</v>
      </c>
      <c r="R99" s="592">
        <f t="shared" ref="R99:BC99" si="236">SUM(R98)</f>
        <v>0</v>
      </c>
      <c r="S99" s="590">
        <f t="shared" si="236"/>
        <v>0</v>
      </c>
      <c r="T99" s="590">
        <f t="shared" si="236"/>
        <v>0</v>
      </c>
      <c r="U99" s="590">
        <f t="shared" si="236"/>
        <v>0</v>
      </c>
      <c r="V99" s="590">
        <f t="shared" si="236"/>
        <v>0</v>
      </c>
      <c r="W99" s="590">
        <f t="shared" si="236"/>
        <v>0</v>
      </c>
      <c r="X99" s="590">
        <f t="shared" si="236"/>
        <v>0</v>
      </c>
      <c r="Y99" s="590">
        <f t="shared" si="236"/>
        <v>0</v>
      </c>
      <c r="Z99" s="590">
        <f t="shared" si="236"/>
        <v>0</v>
      </c>
      <c r="AA99" s="590">
        <f t="shared" si="236"/>
        <v>0</v>
      </c>
      <c r="AB99" s="590">
        <f t="shared" si="236"/>
        <v>0</v>
      </c>
      <c r="AC99" s="590">
        <f t="shared" si="236"/>
        <v>0</v>
      </c>
      <c r="AD99" s="590">
        <f t="shared" si="236"/>
        <v>0</v>
      </c>
      <c r="AE99" s="590">
        <f t="shared" si="236"/>
        <v>0</v>
      </c>
      <c r="AF99" s="590">
        <f t="shared" si="236"/>
        <v>0</v>
      </c>
      <c r="AG99" s="590">
        <f t="shared" si="236"/>
        <v>0</v>
      </c>
      <c r="AH99" s="590">
        <f t="shared" si="236"/>
        <v>0</v>
      </c>
      <c r="AI99" s="590">
        <f t="shared" si="236"/>
        <v>0</v>
      </c>
      <c r="AJ99" s="591">
        <f t="shared" si="236"/>
        <v>0</v>
      </c>
      <c r="AK99" s="591">
        <f t="shared" si="236"/>
        <v>0</v>
      </c>
      <c r="AL99" s="591">
        <f t="shared" si="236"/>
        <v>0</v>
      </c>
      <c r="AM99" s="591">
        <f t="shared" si="236"/>
        <v>0</v>
      </c>
      <c r="AN99" s="591">
        <f t="shared" si="236"/>
        <v>0</v>
      </c>
      <c r="AO99" s="591">
        <f t="shared" si="236"/>
        <v>0</v>
      </c>
      <c r="AP99" s="591">
        <f t="shared" si="236"/>
        <v>0</v>
      </c>
      <c r="AQ99" s="591">
        <f t="shared" si="236"/>
        <v>0</v>
      </c>
      <c r="AR99" s="591">
        <f t="shared" si="236"/>
        <v>0</v>
      </c>
      <c r="AS99" s="591">
        <f t="shared" si="236"/>
        <v>0</v>
      </c>
      <c r="AT99" s="381">
        <f t="shared" si="236"/>
        <v>0</v>
      </c>
      <c r="AU99" s="594">
        <f t="shared" si="236"/>
        <v>2626229</v>
      </c>
      <c r="AV99" s="590">
        <f t="shared" si="236"/>
        <v>1774764</v>
      </c>
      <c r="AW99" s="590">
        <f t="shared" si="236"/>
        <v>150000</v>
      </c>
      <c r="AX99" s="590">
        <f t="shared" si="236"/>
        <v>650570</v>
      </c>
      <c r="AY99" s="590">
        <f t="shared" si="236"/>
        <v>35495</v>
      </c>
      <c r="AZ99" s="590">
        <f t="shared" si="236"/>
        <v>15400</v>
      </c>
      <c r="BA99" s="591">
        <f t="shared" si="236"/>
        <v>3.8000000000000003</v>
      </c>
      <c r="BB99" s="591">
        <f t="shared" si="236"/>
        <v>2.6900000000000004</v>
      </c>
      <c r="BC99" s="381">
        <f t="shared" si="236"/>
        <v>1.1099999999999999</v>
      </c>
    </row>
    <row r="100" spans="1:55" ht="12.95" customHeight="1" x14ac:dyDescent="0.25">
      <c r="A100" s="309">
        <v>18</v>
      </c>
      <c r="B100" s="349">
        <v>5477</v>
      </c>
      <c r="C100" s="350">
        <v>600098541</v>
      </c>
      <c r="D100" s="309">
        <v>70698040</v>
      </c>
      <c r="E100" s="377" t="s">
        <v>463</v>
      </c>
      <c r="F100" s="349">
        <v>3111</v>
      </c>
      <c r="G100" s="373" t="s">
        <v>325</v>
      </c>
      <c r="H100" s="312" t="s">
        <v>277</v>
      </c>
      <c r="I100" s="477">
        <v>4983693</v>
      </c>
      <c r="J100" s="472">
        <v>3645069</v>
      </c>
      <c r="K100" s="472">
        <v>5000</v>
      </c>
      <c r="L100" s="472">
        <v>1233723</v>
      </c>
      <c r="M100" s="472">
        <v>72901</v>
      </c>
      <c r="N100" s="472">
        <v>27000</v>
      </c>
      <c r="O100" s="473">
        <v>8.1093000000000011</v>
      </c>
      <c r="P100" s="474">
        <v>6.1451000000000002</v>
      </c>
      <c r="Q100" s="483">
        <v>1.9641999999999999</v>
      </c>
      <c r="R100" s="485">
        <f t="shared" ref="R100:R102" si="237">Y100*-1</f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>SUM(R100:W100)</f>
        <v>0</v>
      </c>
      <c r="Y100" s="475">
        <v>0</v>
      </c>
      <c r="Z100" s="475">
        <v>0</v>
      </c>
      <c r="AA100" s="475">
        <v>0</v>
      </c>
      <c r="AB100" s="475">
        <f t="shared" ref="AB100:AB102" si="238">SUM(Y100:AA100)</f>
        <v>0</v>
      </c>
      <c r="AC100" s="475">
        <f t="shared" ref="AC100:AC102" si="239">X100+AB100</f>
        <v>0</v>
      </c>
      <c r="AD100" s="70">
        <f t="shared" ref="AD100:AD102" si="240">ROUND((X100+Y100+Z100)*33.8%,0)</f>
        <v>0</v>
      </c>
      <c r="AE100" s="70">
        <f t="shared" ref="AE100:AE102" si="241">ROUND(X100*2%,0)</f>
        <v>0</v>
      </c>
      <c r="AF100" s="475">
        <v>0</v>
      </c>
      <c r="AG100" s="475">
        <v>0</v>
      </c>
      <c r="AH100" s="475">
        <f t="shared" ref="AH100:AH102" si="242">SUM(AF100:AG100)</f>
        <v>0</v>
      </c>
      <c r="AI100" s="475">
        <f t="shared" ref="AI100:AI102" si="243">AC100+AD100+AE100+AH100</f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ref="AT100:AT102" si="244">SUM(AR100:AS100)</f>
        <v>0</v>
      </c>
      <c r="AU100" s="484">
        <f>I100+AI100</f>
        <v>4983693</v>
      </c>
      <c r="AV100" s="475">
        <f>J100+X100</f>
        <v>3645069</v>
      </c>
      <c r="AW100" s="475">
        <f t="shared" ref="AW100:AW102" si="245">K100+AB100</f>
        <v>5000</v>
      </c>
      <c r="AX100" s="475">
        <f t="shared" ref="AX100:AY102" si="246">L100+AD100</f>
        <v>1233723</v>
      </c>
      <c r="AY100" s="475">
        <f t="shared" si="246"/>
        <v>72901</v>
      </c>
      <c r="AZ100" s="475">
        <f>N100+AH100</f>
        <v>27000</v>
      </c>
      <c r="BA100" s="476">
        <f>O100+AT100</f>
        <v>8.1093000000000011</v>
      </c>
      <c r="BB100" s="476">
        <f t="shared" ref="BB100:BC102" si="247">P100+AR100</f>
        <v>6.1451000000000002</v>
      </c>
      <c r="BC100" s="478">
        <f t="shared" si="247"/>
        <v>1.9641999999999999</v>
      </c>
    </row>
    <row r="101" spans="1:55" ht="12.95" customHeight="1" x14ac:dyDescent="0.25">
      <c r="A101" s="309">
        <v>18</v>
      </c>
      <c r="B101" s="349">
        <v>5477</v>
      </c>
      <c r="C101" s="350">
        <v>600098541</v>
      </c>
      <c r="D101" s="309">
        <v>70698040</v>
      </c>
      <c r="E101" s="377" t="s">
        <v>463</v>
      </c>
      <c r="F101" s="349">
        <v>3111</v>
      </c>
      <c r="G101" s="373" t="s">
        <v>312</v>
      </c>
      <c r="H101" s="312" t="s">
        <v>278</v>
      </c>
      <c r="I101" s="477">
        <v>235235</v>
      </c>
      <c r="J101" s="472">
        <v>173222</v>
      </c>
      <c r="K101" s="472">
        <v>0</v>
      </c>
      <c r="L101" s="472">
        <v>58549</v>
      </c>
      <c r="M101" s="472">
        <v>3464</v>
      </c>
      <c r="N101" s="472">
        <v>0</v>
      </c>
      <c r="O101" s="473">
        <v>0.5</v>
      </c>
      <c r="P101" s="474">
        <v>0.5</v>
      </c>
      <c r="Q101" s="483">
        <v>0</v>
      </c>
      <c r="R101" s="485">
        <f t="shared" si="237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>SUM(R101:W101)</f>
        <v>0</v>
      </c>
      <c r="Y101" s="475">
        <v>0</v>
      </c>
      <c r="Z101" s="475">
        <v>0</v>
      </c>
      <c r="AA101" s="475">
        <v>0</v>
      </c>
      <c r="AB101" s="475">
        <f t="shared" si="238"/>
        <v>0</v>
      </c>
      <c r="AC101" s="475">
        <f t="shared" si="239"/>
        <v>0</v>
      </c>
      <c r="AD101" s="70">
        <f t="shared" si="240"/>
        <v>0</v>
      </c>
      <c r="AE101" s="70">
        <f t="shared" si="241"/>
        <v>0</v>
      </c>
      <c r="AF101" s="475">
        <v>0</v>
      </c>
      <c r="AG101" s="475">
        <v>0</v>
      </c>
      <c r="AH101" s="475">
        <f t="shared" si="242"/>
        <v>0</v>
      </c>
      <c r="AI101" s="475">
        <f t="shared" si="243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si="244"/>
        <v>0</v>
      </c>
      <c r="AU101" s="484">
        <f>I101+AI101</f>
        <v>235235</v>
      </c>
      <c r="AV101" s="475">
        <f>J101+X101</f>
        <v>173222</v>
      </c>
      <c r="AW101" s="475">
        <f t="shared" si="245"/>
        <v>0</v>
      </c>
      <c r="AX101" s="475">
        <f t="shared" si="246"/>
        <v>58549</v>
      </c>
      <c r="AY101" s="475">
        <f t="shared" si="246"/>
        <v>3464</v>
      </c>
      <c r="AZ101" s="475">
        <f>N101+AH101</f>
        <v>0</v>
      </c>
      <c r="BA101" s="476">
        <f>O101+AT101</f>
        <v>0.5</v>
      </c>
      <c r="BB101" s="476">
        <f t="shared" si="247"/>
        <v>0.5</v>
      </c>
      <c r="BC101" s="478">
        <f t="shared" si="247"/>
        <v>0</v>
      </c>
    </row>
    <row r="102" spans="1:55" ht="12.95" customHeight="1" x14ac:dyDescent="0.25">
      <c r="A102" s="309">
        <v>18</v>
      </c>
      <c r="B102" s="349">
        <v>5477</v>
      </c>
      <c r="C102" s="350">
        <v>600098541</v>
      </c>
      <c r="D102" s="309">
        <v>70698040</v>
      </c>
      <c r="E102" s="377" t="s">
        <v>463</v>
      </c>
      <c r="F102" s="349">
        <v>3141</v>
      </c>
      <c r="G102" s="373" t="s">
        <v>315</v>
      </c>
      <c r="H102" s="312" t="s">
        <v>278</v>
      </c>
      <c r="I102" s="477">
        <v>778244</v>
      </c>
      <c r="J102" s="472">
        <v>570519</v>
      </c>
      <c r="K102" s="472">
        <v>0</v>
      </c>
      <c r="L102" s="472">
        <v>192835</v>
      </c>
      <c r="M102" s="472">
        <v>11410</v>
      </c>
      <c r="N102" s="472">
        <v>3480</v>
      </c>
      <c r="O102" s="473">
        <v>1.8</v>
      </c>
      <c r="P102" s="474">
        <v>0</v>
      </c>
      <c r="Q102" s="483">
        <v>1.8</v>
      </c>
      <c r="R102" s="485">
        <f t="shared" si="237"/>
        <v>0</v>
      </c>
      <c r="S102" s="475">
        <v>0</v>
      </c>
      <c r="T102" s="475">
        <v>6346</v>
      </c>
      <c r="U102" s="475">
        <v>0</v>
      </c>
      <c r="V102" s="475">
        <v>0</v>
      </c>
      <c r="W102" s="475">
        <v>0</v>
      </c>
      <c r="X102" s="475">
        <f>SUM(R102:W102)</f>
        <v>6346</v>
      </c>
      <c r="Y102" s="475">
        <v>0</v>
      </c>
      <c r="Z102" s="475">
        <v>0</v>
      </c>
      <c r="AA102" s="475">
        <v>0</v>
      </c>
      <c r="AB102" s="475">
        <f t="shared" si="238"/>
        <v>0</v>
      </c>
      <c r="AC102" s="475">
        <f t="shared" si="239"/>
        <v>6346</v>
      </c>
      <c r="AD102" s="70">
        <f t="shared" si="240"/>
        <v>2145</v>
      </c>
      <c r="AE102" s="70">
        <f t="shared" si="241"/>
        <v>127</v>
      </c>
      <c r="AF102" s="475">
        <v>0</v>
      </c>
      <c r="AG102" s="475">
        <v>0</v>
      </c>
      <c r="AH102" s="475">
        <f t="shared" si="242"/>
        <v>0</v>
      </c>
      <c r="AI102" s="475">
        <f t="shared" si="243"/>
        <v>8618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0.02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0.02</v>
      </c>
      <c r="AT102" s="478">
        <f t="shared" si="244"/>
        <v>0.02</v>
      </c>
      <c r="AU102" s="484">
        <f>I102+AI102</f>
        <v>786862</v>
      </c>
      <c r="AV102" s="475">
        <f>J102+X102</f>
        <v>576865</v>
      </c>
      <c r="AW102" s="475">
        <f t="shared" si="245"/>
        <v>0</v>
      </c>
      <c r="AX102" s="475">
        <f t="shared" si="246"/>
        <v>194980</v>
      </c>
      <c r="AY102" s="475">
        <f t="shared" si="246"/>
        <v>11537</v>
      </c>
      <c r="AZ102" s="475">
        <f>N102+AH102</f>
        <v>3480</v>
      </c>
      <c r="BA102" s="476">
        <f>O102+AT102</f>
        <v>1.82</v>
      </c>
      <c r="BB102" s="476">
        <f t="shared" si="247"/>
        <v>0</v>
      </c>
      <c r="BC102" s="478">
        <f t="shared" si="247"/>
        <v>1.82</v>
      </c>
    </row>
    <row r="103" spans="1:55" ht="12.95" customHeight="1" x14ac:dyDescent="0.25">
      <c r="A103" s="319">
        <v>18</v>
      </c>
      <c r="B103" s="353">
        <v>5477</v>
      </c>
      <c r="C103" s="354">
        <v>600098541</v>
      </c>
      <c r="D103" s="353">
        <v>70698040</v>
      </c>
      <c r="E103" s="378" t="s">
        <v>464</v>
      </c>
      <c r="F103" s="353"/>
      <c r="G103" s="379"/>
      <c r="H103" s="380"/>
      <c r="I103" s="592">
        <v>5997172</v>
      </c>
      <c r="J103" s="590">
        <v>4388810</v>
      </c>
      <c r="K103" s="590">
        <v>5000</v>
      </c>
      <c r="L103" s="590">
        <v>1485107</v>
      </c>
      <c r="M103" s="590">
        <v>87775</v>
      </c>
      <c r="N103" s="590">
        <v>30480</v>
      </c>
      <c r="O103" s="591">
        <v>10.409300000000002</v>
      </c>
      <c r="P103" s="591">
        <v>6.6451000000000002</v>
      </c>
      <c r="Q103" s="593">
        <v>3.7641999999999998</v>
      </c>
      <c r="R103" s="592">
        <f t="shared" ref="R103:BC103" si="248">SUM(R100:R102)</f>
        <v>0</v>
      </c>
      <c r="S103" s="590">
        <f t="shared" si="248"/>
        <v>0</v>
      </c>
      <c r="T103" s="590">
        <f t="shared" si="248"/>
        <v>6346</v>
      </c>
      <c r="U103" s="590">
        <f t="shared" si="248"/>
        <v>0</v>
      </c>
      <c r="V103" s="590">
        <f t="shared" si="248"/>
        <v>0</v>
      </c>
      <c r="W103" s="590">
        <f t="shared" si="248"/>
        <v>0</v>
      </c>
      <c r="X103" s="590">
        <f t="shared" si="248"/>
        <v>6346</v>
      </c>
      <c r="Y103" s="590">
        <f t="shared" si="248"/>
        <v>0</v>
      </c>
      <c r="Z103" s="590">
        <f t="shared" si="248"/>
        <v>0</v>
      </c>
      <c r="AA103" s="590">
        <f t="shared" si="248"/>
        <v>0</v>
      </c>
      <c r="AB103" s="590">
        <f t="shared" si="248"/>
        <v>0</v>
      </c>
      <c r="AC103" s="590">
        <f t="shared" si="248"/>
        <v>6346</v>
      </c>
      <c r="AD103" s="590">
        <f t="shared" si="248"/>
        <v>2145</v>
      </c>
      <c r="AE103" s="590">
        <f t="shared" si="248"/>
        <v>127</v>
      </c>
      <c r="AF103" s="590">
        <f t="shared" si="248"/>
        <v>0</v>
      </c>
      <c r="AG103" s="590">
        <f t="shared" si="248"/>
        <v>0</v>
      </c>
      <c r="AH103" s="590">
        <f t="shared" si="248"/>
        <v>0</v>
      </c>
      <c r="AI103" s="590">
        <f t="shared" si="248"/>
        <v>8618</v>
      </c>
      <c r="AJ103" s="591">
        <f t="shared" si="248"/>
        <v>0</v>
      </c>
      <c r="AK103" s="591">
        <f t="shared" si="248"/>
        <v>0</v>
      </c>
      <c r="AL103" s="591">
        <f t="shared" si="248"/>
        <v>0</v>
      </c>
      <c r="AM103" s="591">
        <f t="shared" si="248"/>
        <v>0</v>
      </c>
      <c r="AN103" s="591">
        <f t="shared" si="248"/>
        <v>0.02</v>
      </c>
      <c r="AO103" s="591">
        <f t="shared" si="248"/>
        <v>0</v>
      </c>
      <c r="AP103" s="591">
        <f t="shared" si="248"/>
        <v>0</v>
      </c>
      <c r="AQ103" s="591">
        <f t="shared" si="248"/>
        <v>0</v>
      </c>
      <c r="AR103" s="591">
        <f t="shared" si="248"/>
        <v>0</v>
      </c>
      <c r="AS103" s="591">
        <f t="shared" si="248"/>
        <v>0.02</v>
      </c>
      <c r="AT103" s="381">
        <f t="shared" si="248"/>
        <v>0.02</v>
      </c>
      <c r="AU103" s="594">
        <f t="shared" si="248"/>
        <v>6005790</v>
      </c>
      <c r="AV103" s="590">
        <f t="shared" si="248"/>
        <v>4395156</v>
      </c>
      <c r="AW103" s="590">
        <f t="shared" si="248"/>
        <v>5000</v>
      </c>
      <c r="AX103" s="590">
        <f t="shared" si="248"/>
        <v>1487252</v>
      </c>
      <c r="AY103" s="590">
        <f t="shared" si="248"/>
        <v>87902</v>
      </c>
      <c r="AZ103" s="590">
        <f t="shared" si="248"/>
        <v>30480</v>
      </c>
      <c r="BA103" s="591">
        <f t="shared" si="248"/>
        <v>10.429300000000001</v>
      </c>
      <c r="BB103" s="591">
        <f t="shared" si="248"/>
        <v>6.6451000000000002</v>
      </c>
      <c r="BC103" s="381">
        <f t="shared" si="248"/>
        <v>3.7842000000000002</v>
      </c>
    </row>
    <row r="104" spans="1:55" ht="12.95" customHeight="1" x14ac:dyDescent="0.25">
      <c r="A104" s="309">
        <v>19</v>
      </c>
      <c r="B104" s="349">
        <v>5478</v>
      </c>
      <c r="C104" s="350">
        <v>600098818</v>
      </c>
      <c r="D104" s="309">
        <v>70698031</v>
      </c>
      <c r="E104" s="377" t="s">
        <v>465</v>
      </c>
      <c r="F104" s="349">
        <v>3111</v>
      </c>
      <c r="G104" s="373" t="s">
        <v>325</v>
      </c>
      <c r="H104" s="312" t="s">
        <v>277</v>
      </c>
      <c r="I104" s="477">
        <v>3650674</v>
      </c>
      <c r="J104" s="472">
        <v>2671704</v>
      </c>
      <c r="K104" s="472">
        <v>0</v>
      </c>
      <c r="L104" s="472">
        <v>903036</v>
      </c>
      <c r="M104" s="472">
        <v>53434</v>
      </c>
      <c r="N104" s="472">
        <v>22500</v>
      </c>
      <c r="O104" s="473">
        <v>5.5221999999999998</v>
      </c>
      <c r="P104" s="474">
        <v>4.0321999999999996</v>
      </c>
      <c r="Q104" s="483">
        <v>1.49</v>
      </c>
      <c r="R104" s="485">
        <f t="shared" ref="R104:R106" si="249">Y104*-1</f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ref="AB104:AB106" si="250">SUM(Y104:AA104)</f>
        <v>0</v>
      </c>
      <c r="AC104" s="475">
        <f t="shared" ref="AC104:AC106" si="251">X104+AB104</f>
        <v>0</v>
      </c>
      <c r="AD104" s="70">
        <f t="shared" ref="AD104:AD106" si="252">ROUND((X104+Y104+Z104)*33.8%,0)</f>
        <v>0</v>
      </c>
      <c r="AE104" s="70">
        <f t="shared" ref="AE104:AE106" si="253">ROUND(X104*2%,0)</f>
        <v>0</v>
      </c>
      <c r="AF104" s="475">
        <v>0</v>
      </c>
      <c r="AG104" s="475">
        <v>0</v>
      </c>
      <c r="AH104" s="475">
        <f t="shared" ref="AH104:AH106" si="254">SUM(AF104:AG104)</f>
        <v>0</v>
      </c>
      <c r="AI104" s="475">
        <f t="shared" ref="AI104:AI106" si="255">AC104+AD104+AE104+AH104</f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ref="AT104:AT106" si="256">SUM(AR104:AS104)</f>
        <v>0</v>
      </c>
      <c r="AU104" s="484">
        <f>I104+AI104</f>
        <v>3650674</v>
      </c>
      <c r="AV104" s="475">
        <f>J104+X104</f>
        <v>2671704</v>
      </c>
      <c r="AW104" s="475">
        <f t="shared" ref="AW104:AW106" si="257">K104+AB104</f>
        <v>0</v>
      </c>
      <c r="AX104" s="475">
        <f t="shared" ref="AX104:AY106" si="258">L104+AD104</f>
        <v>903036</v>
      </c>
      <c r="AY104" s="475">
        <f t="shared" si="258"/>
        <v>53434</v>
      </c>
      <c r="AZ104" s="475">
        <f>N104+AH104</f>
        <v>22500</v>
      </c>
      <c r="BA104" s="476">
        <f>O104+AT104</f>
        <v>5.5221999999999998</v>
      </c>
      <c r="BB104" s="476">
        <f t="shared" ref="BB104:BC106" si="259">P104+AR104</f>
        <v>4.0321999999999996</v>
      </c>
      <c r="BC104" s="478">
        <f t="shared" si="259"/>
        <v>1.49</v>
      </c>
    </row>
    <row r="105" spans="1:55" ht="12.95" customHeight="1" x14ac:dyDescent="0.25">
      <c r="A105" s="309">
        <v>19</v>
      </c>
      <c r="B105" s="349">
        <v>5478</v>
      </c>
      <c r="C105" s="350">
        <v>600098818</v>
      </c>
      <c r="D105" s="309">
        <v>70698031</v>
      </c>
      <c r="E105" s="377" t="s">
        <v>465</v>
      </c>
      <c r="F105" s="349">
        <v>3111</v>
      </c>
      <c r="G105" s="373" t="s">
        <v>312</v>
      </c>
      <c r="H105" s="312" t="s">
        <v>278</v>
      </c>
      <c r="I105" s="477">
        <v>156824</v>
      </c>
      <c r="J105" s="472">
        <v>115481</v>
      </c>
      <c r="K105" s="472">
        <v>0</v>
      </c>
      <c r="L105" s="472">
        <v>39033</v>
      </c>
      <c r="M105" s="472">
        <v>2310</v>
      </c>
      <c r="N105" s="472">
        <v>0</v>
      </c>
      <c r="O105" s="473">
        <v>0.33</v>
      </c>
      <c r="P105" s="474">
        <v>0.33</v>
      </c>
      <c r="Q105" s="483">
        <v>0</v>
      </c>
      <c r="R105" s="485">
        <f t="shared" si="249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>SUM(R105:W105)</f>
        <v>0</v>
      </c>
      <c r="Y105" s="475">
        <v>0</v>
      </c>
      <c r="Z105" s="475">
        <v>0</v>
      </c>
      <c r="AA105" s="475">
        <v>0</v>
      </c>
      <c r="AB105" s="475">
        <f t="shared" si="250"/>
        <v>0</v>
      </c>
      <c r="AC105" s="475">
        <f t="shared" si="251"/>
        <v>0</v>
      </c>
      <c r="AD105" s="70">
        <f t="shared" si="252"/>
        <v>0</v>
      </c>
      <c r="AE105" s="70">
        <f t="shared" si="253"/>
        <v>0</v>
      </c>
      <c r="AF105" s="475">
        <v>0</v>
      </c>
      <c r="AG105" s="475">
        <v>0</v>
      </c>
      <c r="AH105" s="475">
        <f t="shared" si="254"/>
        <v>0</v>
      </c>
      <c r="AI105" s="475">
        <f t="shared" si="255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0</v>
      </c>
      <c r="AT105" s="478">
        <f t="shared" si="256"/>
        <v>0</v>
      </c>
      <c r="AU105" s="484">
        <f>I105+AI105</f>
        <v>156824</v>
      </c>
      <c r="AV105" s="475">
        <f>J105+X105</f>
        <v>115481</v>
      </c>
      <c r="AW105" s="475">
        <f t="shared" si="257"/>
        <v>0</v>
      </c>
      <c r="AX105" s="475">
        <f t="shared" si="258"/>
        <v>39033</v>
      </c>
      <c r="AY105" s="475">
        <f t="shared" si="258"/>
        <v>2310</v>
      </c>
      <c r="AZ105" s="475">
        <f>N105+AH105</f>
        <v>0</v>
      </c>
      <c r="BA105" s="476">
        <f>O105+AT105</f>
        <v>0.33</v>
      </c>
      <c r="BB105" s="476">
        <f t="shared" si="259"/>
        <v>0.33</v>
      </c>
      <c r="BC105" s="478">
        <f t="shared" si="259"/>
        <v>0</v>
      </c>
    </row>
    <row r="106" spans="1:55" ht="12.95" customHeight="1" x14ac:dyDescent="0.25">
      <c r="A106" s="309">
        <v>19</v>
      </c>
      <c r="B106" s="309">
        <v>5478</v>
      </c>
      <c r="C106" s="358">
        <v>600098818</v>
      </c>
      <c r="D106" s="309">
        <v>70698031</v>
      </c>
      <c r="E106" s="311" t="s">
        <v>465</v>
      </c>
      <c r="F106" s="309">
        <v>3141</v>
      </c>
      <c r="G106" s="373" t="s">
        <v>315</v>
      </c>
      <c r="H106" s="312" t="s">
        <v>278</v>
      </c>
      <c r="I106" s="477">
        <v>687718</v>
      </c>
      <c r="J106" s="472">
        <v>504284</v>
      </c>
      <c r="K106" s="472">
        <v>0</v>
      </c>
      <c r="L106" s="472">
        <v>170448</v>
      </c>
      <c r="M106" s="472">
        <v>10086</v>
      </c>
      <c r="N106" s="472">
        <v>2900</v>
      </c>
      <c r="O106" s="473">
        <v>1.59</v>
      </c>
      <c r="P106" s="474">
        <v>0</v>
      </c>
      <c r="Q106" s="483">
        <v>1.59</v>
      </c>
      <c r="R106" s="485">
        <f t="shared" si="249"/>
        <v>0</v>
      </c>
      <c r="S106" s="475">
        <v>0</v>
      </c>
      <c r="T106" s="475">
        <v>-16571</v>
      </c>
      <c r="U106" s="475">
        <v>0</v>
      </c>
      <c r="V106" s="475">
        <v>0</v>
      </c>
      <c r="W106" s="475">
        <v>0</v>
      </c>
      <c r="X106" s="475">
        <f>SUM(R106:W106)</f>
        <v>-16571</v>
      </c>
      <c r="Y106" s="475">
        <v>0</v>
      </c>
      <c r="Z106" s="475">
        <v>0</v>
      </c>
      <c r="AA106" s="475">
        <v>0</v>
      </c>
      <c r="AB106" s="475">
        <f t="shared" si="250"/>
        <v>0</v>
      </c>
      <c r="AC106" s="475">
        <f t="shared" si="251"/>
        <v>-16571</v>
      </c>
      <c r="AD106" s="70">
        <f t="shared" si="252"/>
        <v>-5601</v>
      </c>
      <c r="AE106" s="70">
        <f t="shared" si="253"/>
        <v>-331</v>
      </c>
      <c r="AF106" s="475">
        <v>0</v>
      </c>
      <c r="AG106" s="475">
        <v>0</v>
      </c>
      <c r="AH106" s="475">
        <f t="shared" si="254"/>
        <v>0</v>
      </c>
      <c r="AI106" s="475">
        <f t="shared" si="255"/>
        <v>-22503</v>
      </c>
      <c r="AJ106" s="476">
        <v>0</v>
      </c>
      <c r="AK106" s="476">
        <v>0</v>
      </c>
      <c r="AL106" s="476">
        <v>0</v>
      </c>
      <c r="AM106" s="476">
        <v>0</v>
      </c>
      <c r="AN106" s="476">
        <v>-0.05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-0.05</v>
      </c>
      <c r="AT106" s="478">
        <f t="shared" si="256"/>
        <v>-0.05</v>
      </c>
      <c r="AU106" s="484">
        <f>I106+AI106</f>
        <v>665215</v>
      </c>
      <c r="AV106" s="475">
        <f>J106+X106</f>
        <v>487713</v>
      </c>
      <c r="AW106" s="475">
        <f t="shared" si="257"/>
        <v>0</v>
      </c>
      <c r="AX106" s="475">
        <f t="shared" si="258"/>
        <v>164847</v>
      </c>
      <c r="AY106" s="475">
        <f t="shared" si="258"/>
        <v>9755</v>
      </c>
      <c r="AZ106" s="475">
        <f>N106+AH106</f>
        <v>2900</v>
      </c>
      <c r="BA106" s="476">
        <f>O106+AT106</f>
        <v>1.54</v>
      </c>
      <c r="BB106" s="476">
        <f t="shared" si="259"/>
        <v>0</v>
      </c>
      <c r="BC106" s="478">
        <f t="shared" si="259"/>
        <v>1.54</v>
      </c>
    </row>
    <row r="107" spans="1:55" ht="12.95" customHeight="1" x14ac:dyDescent="0.25">
      <c r="A107" s="319">
        <v>19</v>
      </c>
      <c r="B107" s="303">
        <v>5478</v>
      </c>
      <c r="C107" s="374">
        <v>600098818</v>
      </c>
      <c r="D107" s="303">
        <v>70698031</v>
      </c>
      <c r="E107" s="316" t="s">
        <v>466</v>
      </c>
      <c r="F107" s="303"/>
      <c r="G107" s="375"/>
      <c r="H107" s="376"/>
      <c r="I107" s="592">
        <v>4495216</v>
      </c>
      <c r="J107" s="590">
        <v>3291469</v>
      </c>
      <c r="K107" s="590">
        <v>0</v>
      </c>
      <c r="L107" s="590">
        <v>1112517</v>
      </c>
      <c r="M107" s="590">
        <v>65830</v>
      </c>
      <c r="N107" s="590">
        <v>25400</v>
      </c>
      <c r="O107" s="591">
        <v>7.4421999999999997</v>
      </c>
      <c r="P107" s="591">
        <v>4.3621999999999996</v>
      </c>
      <c r="Q107" s="593">
        <v>3.08</v>
      </c>
      <c r="R107" s="592">
        <f t="shared" ref="R107:BC107" si="260">SUM(R104:R106)</f>
        <v>0</v>
      </c>
      <c r="S107" s="590">
        <f t="shared" si="260"/>
        <v>0</v>
      </c>
      <c r="T107" s="590">
        <f t="shared" si="260"/>
        <v>-16571</v>
      </c>
      <c r="U107" s="590">
        <f t="shared" si="260"/>
        <v>0</v>
      </c>
      <c r="V107" s="590">
        <f t="shared" si="260"/>
        <v>0</v>
      </c>
      <c r="W107" s="590">
        <f t="shared" si="260"/>
        <v>0</v>
      </c>
      <c r="X107" s="590">
        <f t="shared" si="260"/>
        <v>-16571</v>
      </c>
      <c r="Y107" s="590">
        <f t="shared" si="260"/>
        <v>0</v>
      </c>
      <c r="Z107" s="590">
        <f t="shared" si="260"/>
        <v>0</v>
      </c>
      <c r="AA107" s="590">
        <f t="shared" si="260"/>
        <v>0</v>
      </c>
      <c r="AB107" s="590">
        <f t="shared" si="260"/>
        <v>0</v>
      </c>
      <c r="AC107" s="590">
        <f t="shared" si="260"/>
        <v>-16571</v>
      </c>
      <c r="AD107" s="590">
        <f t="shared" si="260"/>
        <v>-5601</v>
      </c>
      <c r="AE107" s="590">
        <f t="shared" si="260"/>
        <v>-331</v>
      </c>
      <c r="AF107" s="590">
        <f t="shared" si="260"/>
        <v>0</v>
      </c>
      <c r="AG107" s="590">
        <f t="shared" si="260"/>
        <v>0</v>
      </c>
      <c r="AH107" s="590">
        <f t="shared" si="260"/>
        <v>0</v>
      </c>
      <c r="AI107" s="590">
        <f t="shared" si="260"/>
        <v>-22503</v>
      </c>
      <c r="AJ107" s="591">
        <f t="shared" si="260"/>
        <v>0</v>
      </c>
      <c r="AK107" s="591">
        <f t="shared" si="260"/>
        <v>0</v>
      </c>
      <c r="AL107" s="591">
        <f t="shared" si="260"/>
        <v>0</v>
      </c>
      <c r="AM107" s="591">
        <f t="shared" si="260"/>
        <v>0</v>
      </c>
      <c r="AN107" s="591">
        <f t="shared" si="260"/>
        <v>-0.05</v>
      </c>
      <c r="AO107" s="591">
        <f t="shared" si="260"/>
        <v>0</v>
      </c>
      <c r="AP107" s="591">
        <f t="shared" si="260"/>
        <v>0</v>
      </c>
      <c r="AQ107" s="591">
        <f t="shared" si="260"/>
        <v>0</v>
      </c>
      <c r="AR107" s="591">
        <f t="shared" si="260"/>
        <v>0</v>
      </c>
      <c r="AS107" s="591">
        <f t="shared" si="260"/>
        <v>-0.05</v>
      </c>
      <c r="AT107" s="381">
        <f t="shared" si="260"/>
        <v>-0.05</v>
      </c>
      <c r="AU107" s="594">
        <f t="shared" si="260"/>
        <v>4472713</v>
      </c>
      <c r="AV107" s="590">
        <f t="shared" si="260"/>
        <v>3274898</v>
      </c>
      <c r="AW107" s="590">
        <f t="shared" si="260"/>
        <v>0</v>
      </c>
      <c r="AX107" s="590">
        <f t="shared" si="260"/>
        <v>1106916</v>
      </c>
      <c r="AY107" s="590">
        <f t="shared" si="260"/>
        <v>65499</v>
      </c>
      <c r="AZ107" s="590">
        <f t="shared" si="260"/>
        <v>25400</v>
      </c>
      <c r="BA107" s="591">
        <f t="shared" si="260"/>
        <v>7.3921999999999999</v>
      </c>
      <c r="BB107" s="591">
        <f t="shared" si="260"/>
        <v>4.3621999999999996</v>
      </c>
      <c r="BC107" s="381">
        <f t="shared" si="260"/>
        <v>3.0300000000000002</v>
      </c>
    </row>
    <row r="108" spans="1:55" ht="12.95" customHeight="1" x14ac:dyDescent="0.25">
      <c r="A108" s="309">
        <v>20</v>
      </c>
      <c r="B108" s="349">
        <v>5479</v>
      </c>
      <c r="C108" s="350">
        <v>600099105</v>
      </c>
      <c r="D108" s="309">
        <v>70910600</v>
      </c>
      <c r="E108" s="377" t="s">
        <v>467</v>
      </c>
      <c r="F108" s="349">
        <v>3113</v>
      </c>
      <c r="G108" s="373" t="s">
        <v>329</v>
      </c>
      <c r="H108" s="312" t="s">
        <v>277</v>
      </c>
      <c r="I108" s="477">
        <v>15967874</v>
      </c>
      <c r="J108" s="472">
        <v>11503006</v>
      </c>
      <c r="K108" s="472">
        <v>29800</v>
      </c>
      <c r="L108" s="472">
        <v>3898088</v>
      </c>
      <c r="M108" s="472">
        <v>230060</v>
      </c>
      <c r="N108" s="472">
        <v>306920</v>
      </c>
      <c r="O108" s="473">
        <v>20.244899999999998</v>
      </c>
      <c r="P108" s="474">
        <v>15.3773</v>
      </c>
      <c r="Q108" s="483">
        <v>4.8676000000000013</v>
      </c>
      <c r="R108" s="485">
        <f t="shared" ref="R108:R113" si="261">Y108*-1</f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ref="X108:X113" si="262">SUM(R108:W108)</f>
        <v>0</v>
      </c>
      <c r="Y108" s="475">
        <v>0</v>
      </c>
      <c r="Z108" s="475">
        <v>0</v>
      </c>
      <c r="AA108" s="475">
        <v>0</v>
      </c>
      <c r="AB108" s="475">
        <f t="shared" ref="AB108:AB113" si="263">SUM(Y108:AA108)</f>
        <v>0</v>
      </c>
      <c r="AC108" s="475">
        <f t="shared" ref="AC108:AC113" si="264">X108+AB108</f>
        <v>0</v>
      </c>
      <c r="AD108" s="70">
        <f t="shared" ref="AD108:AD113" si="265">ROUND((X108+Y108+Z108)*33.8%,0)</f>
        <v>0</v>
      </c>
      <c r="AE108" s="70">
        <f t="shared" ref="AE108:AE113" si="266">ROUND(X108*2%,0)</f>
        <v>0</v>
      </c>
      <c r="AF108" s="475">
        <v>0</v>
      </c>
      <c r="AG108" s="475">
        <v>0</v>
      </c>
      <c r="AH108" s="475">
        <f t="shared" ref="AH108:AH113" si="267">SUM(AF108:AG108)</f>
        <v>0</v>
      </c>
      <c r="AI108" s="475">
        <f t="shared" ref="AI108:AI113" si="268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ref="AR108:AR113" si="269">AJ108+AL108+AM108+AO108+AP108</f>
        <v>0</v>
      </c>
      <c r="AS108" s="476">
        <f t="shared" ref="AS108:AS113" si="270">AK108+AN108+AQ108</f>
        <v>0</v>
      </c>
      <c r="AT108" s="478">
        <f t="shared" ref="AT108:AT113" si="271">SUM(AR108:AS108)</f>
        <v>0</v>
      </c>
      <c r="AU108" s="484">
        <f t="shared" ref="AU108:AU113" si="272">I108+AI108</f>
        <v>15967874</v>
      </c>
      <c r="AV108" s="475">
        <f t="shared" ref="AV108:AV113" si="273">J108+X108</f>
        <v>11503006</v>
      </c>
      <c r="AW108" s="475">
        <f t="shared" ref="AW108:AW113" si="274">K108+AB108</f>
        <v>29800</v>
      </c>
      <c r="AX108" s="475">
        <f t="shared" ref="AX108:AY113" si="275">L108+AD108</f>
        <v>3898088</v>
      </c>
      <c r="AY108" s="475">
        <f t="shared" si="275"/>
        <v>230060</v>
      </c>
      <c r="AZ108" s="475">
        <f t="shared" ref="AZ108:AZ113" si="276">N108+AH108</f>
        <v>306920</v>
      </c>
      <c r="BA108" s="476">
        <f t="shared" ref="BA108:BA113" si="277">O108+AT108</f>
        <v>20.244899999999998</v>
      </c>
      <c r="BB108" s="476">
        <f t="shared" ref="BB108:BC113" si="278">P108+AR108</f>
        <v>15.3773</v>
      </c>
      <c r="BC108" s="478">
        <f t="shared" si="278"/>
        <v>4.8676000000000013</v>
      </c>
    </row>
    <row r="109" spans="1:55" ht="12.95" customHeight="1" x14ac:dyDescent="0.25">
      <c r="A109" s="309">
        <v>20</v>
      </c>
      <c r="B109" s="349">
        <v>5479</v>
      </c>
      <c r="C109" s="350">
        <v>600099105</v>
      </c>
      <c r="D109" s="309">
        <v>70910600</v>
      </c>
      <c r="E109" s="377" t="s">
        <v>467</v>
      </c>
      <c r="F109" s="349">
        <v>3113</v>
      </c>
      <c r="G109" s="314" t="s">
        <v>313</v>
      </c>
      <c r="H109" s="312" t="s">
        <v>277</v>
      </c>
      <c r="I109" s="477">
        <v>447117</v>
      </c>
      <c r="J109" s="472">
        <v>329247</v>
      </c>
      <c r="K109" s="472">
        <v>0</v>
      </c>
      <c r="L109" s="472">
        <v>111285</v>
      </c>
      <c r="M109" s="472">
        <v>6585</v>
      </c>
      <c r="N109" s="472">
        <v>0</v>
      </c>
      <c r="O109" s="473">
        <v>0.80559999999999998</v>
      </c>
      <c r="P109" s="474">
        <v>0.80559999999999998</v>
      </c>
      <c r="Q109" s="483">
        <v>0</v>
      </c>
      <c r="R109" s="485">
        <f t="shared" si="261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62"/>
        <v>0</v>
      </c>
      <c r="Y109" s="475">
        <v>0</v>
      </c>
      <c r="Z109" s="475">
        <v>0</v>
      </c>
      <c r="AA109" s="475">
        <v>0</v>
      </c>
      <c r="AB109" s="475">
        <f t="shared" si="263"/>
        <v>0</v>
      </c>
      <c r="AC109" s="475">
        <f t="shared" si="264"/>
        <v>0</v>
      </c>
      <c r="AD109" s="70">
        <f t="shared" si="265"/>
        <v>0</v>
      </c>
      <c r="AE109" s="70">
        <f t="shared" si="266"/>
        <v>0</v>
      </c>
      <c r="AF109" s="475">
        <v>0</v>
      </c>
      <c r="AG109" s="475">
        <v>0</v>
      </c>
      <c r="AH109" s="475">
        <f t="shared" si="267"/>
        <v>0</v>
      </c>
      <c r="AI109" s="475">
        <f t="shared" si="268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 t="shared" si="269"/>
        <v>0</v>
      </c>
      <c r="AS109" s="476">
        <f t="shared" si="270"/>
        <v>0</v>
      </c>
      <c r="AT109" s="478">
        <f t="shared" si="271"/>
        <v>0</v>
      </c>
      <c r="AU109" s="484">
        <f t="shared" si="272"/>
        <v>447117</v>
      </c>
      <c r="AV109" s="475">
        <f t="shared" si="273"/>
        <v>329247</v>
      </c>
      <c r="AW109" s="475">
        <f t="shared" si="274"/>
        <v>0</v>
      </c>
      <c r="AX109" s="475">
        <f t="shared" si="275"/>
        <v>111285</v>
      </c>
      <c r="AY109" s="475">
        <f t="shared" si="275"/>
        <v>6585</v>
      </c>
      <c r="AZ109" s="475">
        <f t="shared" si="276"/>
        <v>0</v>
      </c>
      <c r="BA109" s="476">
        <f t="shared" si="277"/>
        <v>0.80559999999999998</v>
      </c>
      <c r="BB109" s="476">
        <f t="shared" si="278"/>
        <v>0.80559999999999998</v>
      </c>
      <c r="BC109" s="478">
        <f t="shared" si="278"/>
        <v>0</v>
      </c>
    </row>
    <row r="110" spans="1:55" ht="12.95" customHeight="1" x14ac:dyDescent="0.25">
      <c r="A110" s="309">
        <v>20</v>
      </c>
      <c r="B110" s="349">
        <v>5479</v>
      </c>
      <c r="C110" s="350">
        <v>600099105</v>
      </c>
      <c r="D110" s="309">
        <v>70910600</v>
      </c>
      <c r="E110" s="377" t="s">
        <v>467</v>
      </c>
      <c r="F110" s="349">
        <v>3113</v>
      </c>
      <c r="G110" s="312" t="s">
        <v>312</v>
      </c>
      <c r="H110" s="312" t="s">
        <v>278</v>
      </c>
      <c r="I110" s="477">
        <v>1196135</v>
      </c>
      <c r="J110" s="472">
        <v>870865</v>
      </c>
      <c r="K110" s="472">
        <v>0</v>
      </c>
      <c r="L110" s="472">
        <v>294352</v>
      </c>
      <c r="M110" s="472">
        <v>17418</v>
      </c>
      <c r="N110" s="472">
        <v>13500</v>
      </c>
      <c r="O110" s="473">
        <v>2.13</v>
      </c>
      <c r="P110" s="474">
        <v>2.13</v>
      </c>
      <c r="Q110" s="483">
        <v>0</v>
      </c>
      <c r="R110" s="485">
        <f t="shared" si="261"/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62"/>
        <v>0</v>
      </c>
      <c r="Y110" s="475">
        <v>0</v>
      </c>
      <c r="Z110" s="475">
        <v>0</v>
      </c>
      <c r="AA110" s="475">
        <v>0</v>
      </c>
      <c r="AB110" s="475">
        <f t="shared" si="263"/>
        <v>0</v>
      </c>
      <c r="AC110" s="475">
        <f t="shared" si="264"/>
        <v>0</v>
      </c>
      <c r="AD110" s="70">
        <f t="shared" si="265"/>
        <v>0</v>
      </c>
      <c r="AE110" s="70">
        <f t="shared" si="266"/>
        <v>0</v>
      </c>
      <c r="AF110" s="475">
        <v>0</v>
      </c>
      <c r="AG110" s="475">
        <v>0</v>
      </c>
      <c r="AH110" s="475">
        <f t="shared" si="267"/>
        <v>0</v>
      </c>
      <c r="AI110" s="475">
        <f t="shared" si="268"/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 t="shared" si="269"/>
        <v>0</v>
      </c>
      <c r="AS110" s="476">
        <f t="shared" si="270"/>
        <v>0</v>
      </c>
      <c r="AT110" s="478">
        <f t="shared" si="271"/>
        <v>0</v>
      </c>
      <c r="AU110" s="484">
        <f t="shared" si="272"/>
        <v>1196135</v>
      </c>
      <c r="AV110" s="475">
        <f t="shared" si="273"/>
        <v>870865</v>
      </c>
      <c r="AW110" s="475">
        <f t="shared" si="274"/>
        <v>0</v>
      </c>
      <c r="AX110" s="475">
        <f t="shared" si="275"/>
        <v>294352</v>
      </c>
      <c r="AY110" s="475">
        <f t="shared" si="275"/>
        <v>17418</v>
      </c>
      <c r="AZ110" s="475">
        <f t="shared" si="276"/>
        <v>13500</v>
      </c>
      <c r="BA110" s="476">
        <f t="shared" si="277"/>
        <v>2.13</v>
      </c>
      <c r="BB110" s="476">
        <f t="shared" si="278"/>
        <v>2.13</v>
      </c>
      <c r="BC110" s="478">
        <f t="shared" si="278"/>
        <v>0</v>
      </c>
    </row>
    <row r="111" spans="1:55" ht="12.95" customHeight="1" x14ac:dyDescent="0.25">
      <c r="A111" s="309">
        <v>20</v>
      </c>
      <c r="B111" s="349">
        <v>5479</v>
      </c>
      <c r="C111" s="350">
        <v>600099105</v>
      </c>
      <c r="D111" s="309">
        <v>70910600</v>
      </c>
      <c r="E111" s="377" t="s">
        <v>467</v>
      </c>
      <c r="F111" s="349">
        <v>3141</v>
      </c>
      <c r="G111" s="373" t="s">
        <v>315</v>
      </c>
      <c r="H111" s="312" t="s">
        <v>278</v>
      </c>
      <c r="I111" s="477">
        <v>1466722</v>
      </c>
      <c r="J111" s="472">
        <v>1071860</v>
      </c>
      <c r="K111" s="472">
        <v>0</v>
      </c>
      <c r="L111" s="472">
        <v>362289</v>
      </c>
      <c r="M111" s="472">
        <v>21437</v>
      </c>
      <c r="N111" s="472">
        <v>11136</v>
      </c>
      <c r="O111" s="473">
        <v>3.38</v>
      </c>
      <c r="P111" s="474">
        <v>0</v>
      </c>
      <c r="Q111" s="483">
        <v>3.38</v>
      </c>
      <c r="R111" s="485">
        <f t="shared" si="261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62"/>
        <v>0</v>
      </c>
      <c r="Y111" s="475">
        <v>0</v>
      </c>
      <c r="Z111" s="475">
        <v>0</v>
      </c>
      <c r="AA111" s="475">
        <v>0</v>
      </c>
      <c r="AB111" s="475">
        <f t="shared" si="263"/>
        <v>0</v>
      </c>
      <c r="AC111" s="475">
        <f t="shared" si="264"/>
        <v>0</v>
      </c>
      <c r="AD111" s="70">
        <f t="shared" si="265"/>
        <v>0</v>
      </c>
      <c r="AE111" s="70">
        <f t="shared" si="266"/>
        <v>0</v>
      </c>
      <c r="AF111" s="475">
        <v>0</v>
      </c>
      <c r="AG111" s="475">
        <v>0</v>
      </c>
      <c r="AH111" s="475">
        <f t="shared" si="267"/>
        <v>0</v>
      </c>
      <c r="AI111" s="475">
        <f t="shared" si="268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 t="shared" si="269"/>
        <v>0</v>
      </c>
      <c r="AS111" s="476">
        <f t="shared" si="270"/>
        <v>0</v>
      </c>
      <c r="AT111" s="478">
        <f t="shared" si="271"/>
        <v>0</v>
      </c>
      <c r="AU111" s="484">
        <f t="shared" si="272"/>
        <v>1466722</v>
      </c>
      <c r="AV111" s="475">
        <f t="shared" si="273"/>
        <v>1071860</v>
      </c>
      <c r="AW111" s="475">
        <f t="shared" si="274"/>
        <v>0</v>
      </c>
      <c r="AX111" s="475">
        <f t="shared" si="275"/>
        <v>362289</v>
      </c>
      <c r="AY111" s="475">
        <f t="shared" si="275"/>
        <v>21437</v>
      </c>
      <c r="AZ111" s="475">
        <f t="shared" si="276"/>
        <v>11136</v>
      </c>
      <c r="BA111" s="476">
        <f t="shared" si="277"/>
        <v>3.38</v>
      </c>
      <c r="BB111" s="476">
        <f t="shared" si="278"/>
        <v>0</v>
      </c>
      <c r="BC111" s="478">
        <f t="shared" si="278"/>
        <v>3.38</v>
      </c>
    </row>
    <row r="112" spans="1:55" ht="12.95" customHeight="1" x14ac:dyDescent="0.25">
      <c r="A112" s="309">
        <v>20</v>
      </c>
      <c r="B112" s="349">
        <v>5479</v>
      </c>
      <c r="C112" s="350">
        <v>600099105</v>
      </c>
      <c r="D112" s="309">
        <v>70910600</v>
      </c>
      <c r="E112" s="377" t="s">
        <v>467</v>
      </c>
      <c r="F112" s="349">
        <v>3143</v>
      </c>
      <c r="G112" s="312" t="s">
        <v>626</v>
      </c>
      <c r="H112" s="312" t="s">
        <v>277</v>
      </c>
      <c r="I112" s="477">
        <v>1509731</v>
      </c>
      <c r="J112" s="472">
        <v>1111731</v>
      </c>
      <c r="K112" s="472">
        <v>0</v>
      </c>
      <c r="L112" s="472">
        <v>375765</v>
      </c>
      <c r="M112" s="472">
        <v>22235</v>
      </c>
      <c r="N112" s="472">
        <v>0</v>
      </c>
      <c r="O112" s="473">
        <v>2.1667000000000001</v>
      </c>
      <c r="P112" s="474">
        <v>2.1667000000000001</v>
      </c>
      <c r="Q112" s="483">
        <v>0</v>
      </c>
      <c r="R112" s="485">
        <f t="shared" si="261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62"/>
        <v>0</v>
      </c>
      <c r="Y112" s="475">
        <v>0</v>
      </c>
      <c r="Z112" s="475">
        <v>0</v>
      </c>
      <c r="AA112" s="475">
        <v>0</v>
      </c>
      <c r="AB112" s="475">
        <f t="shared" si="263"/>
        <v>0</v>
      </c>
      <c r="AC112" s="475">
        <f t="shared" si="264"/>
        <v>0</v>
      </c>
      <c r="AD112" s="70">
        <f t="shared" si="265"/>
        <v>0</v>
      </c>
      <c r="AE112" s="70">
        <f t="shared" si="266"/>
        <v>0</v>
      </c>
      <c r="AF112" s="475">
        <v>0</v>
      </c>
      <c r="AG112" s="475">
        <v>0</v>
      </c>
      <c r="AH112" s="475">
        <f t="shared" si="267"/>
        <v>0</v>
      </c>
      <c r="AI112" s="475">
        <f t="shared" si="268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269"/>
        <v>0</v>
      </c>
      <c r="AS112" s="476">
        <f t="shared" si="270"/>
        <v>0</v>
      </c>
      <c r="AT112" s="478">
        <f t="shared" si="271"/>
        <v>0</v>
      </c>
      <c r="AU112" s="484">
        <f t="shared" si="272"/>
        <v>1509731</v>
      </c>
      <c r="AV112" s="475">
        <f t="shared" si="273"/>
        <v>1111731</v>
      </c>
      <c r="AW112" s="475">
        <f t="shared" si="274"/>
        <v>0</v>
      </c>
      <c r="AX112" s="475">
        <f t="shared" si="275"/>
        <v>375765</v>
      </c>
      <c r="AY112" s="475">
        <f t="shared" si="275"/>
        <v>22235</v>
      </c>
      <c r="AZ112" s="475">
        <f t="shared" si="276"/>
        <v>0</v>
      </c>
      <c r="BA112" s="476">
        <f t="shared" si="277"/>
        <v>2.1667000000000001</v>
      </c>
      <c r="BB112" s="476">
        <f t="shared" si="278"/>
        <v>2.1667000000000001</v>
      </c>
      <c r="BC112" s="478">
        <f t="shared" si="278"/>
        <v>0</v>
      </c>
    </row>
    <row r="113" spans="1:55" ht="12.95" customHeight="1" x14ac:dyDescent="0.25">
      <c r="A113" s="309">
        <v>20</v>
      </c>
      <c r="B113" s="349">
        <v>5479</v>
      </c>
      <c r="C113" s="350">
        <v>600099105</v>
      </c>
      <c r="D113" s="309">
        <v>70910600</v>
      </c>
      <c r="E113" s="377" t="s">
        <v>467</v>
      </c>
      <c r="F113" s="349">
        <v>3143</v>
      </c>
      <c r="G113" s="312" t="s">
        <v>627</v>
      </c>
      <c r="H113" s="312" t="s">
        <v>278</v>
      </c>
      <c r="I113" s="477">
        <v>49141</v>
      </c>
      <c r="J113" s="472">
        <v>34750</v>
      </c>
      <c r="K113" s="472">
        <v>0</v>
      </c>
      <c r="L113" s="472">
        <v>11746</v>
      </c>
      <c r="M113" s="472">
        <v>695</v>
      </c>
      <c r="N113" s="472">
        <v>1950</v>
      </c>
      <c r="O113" s="473">
        <v>0.14000000000000001</v>
      </c>
      <c r="P113" s="474">
        <v>0</v>
      </c>
      <c r="Q113" s="483">
        <v>0.14000000000000001</v>
      </c>
      <c r="R113" s="485">
        <f t="shared" si="261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62"/>
        <v>0</v>
      </c>
      <c r="Y113" s="475">
        <v>0</v>
      </c>
      <c r="Z113" s="475">
        <v>0</v>
      </c>
      <c r="AA113" s="475">
        <v>0</v>
      </c>
      <c r="AB113" s="475">
        <f t="shared" si="263"/>
        <v>0</v>
      </c>
      <c r="AC113" s="475">
        <f t="shared" si="264"/>
        <v>0</v>
      </c>
      <c r="AD113" s="70">
        <f t="shared" si="265"/>
        <v>0</v>
      </c>
      <c r="AE113" s="70">
        <f t="shared" si="266"/>
        <v>0</v>
      </c>
      <c r="AF113" s="475">
        <v>0</v>
      </c>
      <c r="AG113" s="475">
        <v>0</v>
      </c>
      <c r="AH113" s="475">
        <f t="shared" si="267"/>
        <v>0</v>
      </c>
      <c r="AI113" s="475">
        <f t="shared" si="268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476">
        <f t="shared" si="269"/>
        <v>0</v>
      </c>
      <c r="AS113" s="476">
        <f t="shared" si="270"/>
        <v>0</v>
      </c>
      <c r="AT113" s="478">
        <f t="shared" si="271"/>
        <v>0</v>
      </c>
      <c r="AU113" s="484">
        <f t="shared" si="272"/>
        <v>49141</v>
      </c>
      <c r="AV113" s="475">
        <f t="shared" si="273"/>
        <v>34750</v>
      </c>
      <c r="AW113" s="475">
        <f t="shared" si="274"/>
        <v>0</v>
      </c>
      <c r="AX113" s="475">
        <f t="shared" si="275"/>
        <v>11746</v>
      </c>
      <c r="AY113" s="475">
        <f t="shared" si="275"/>
        <v>695</v>
      </c>
      <c r="AZ113" s="475">
        <f t="shared" si="276"/>
        <v>1950</v>
      </c>
      <c r="BA113" s="476">
        <f t="shared" si="277"/>
        <v>0.14000000000000001</v>
      </c>
      <c r="BB113" s="476">
        <f t="shared" si="278"/>
        <v>0</v>
      </c>
      <c r="BC113" s="478">
        <f t="shared" si="278"/>
        <v>0.14000000000000001</v>
      </c>
    </row>
    <row r="114" spans="1:55" ht="12.95" customHeight="1" x14ac:dyDescent="0.25">
      <c r="A114" s="319">
        <v>20</v>
      </c>
      <c r="B114" s="353">
        <v>5479</v>
      </c>
      <c r="C114" s="354">
        <v>600099105</v>
      </c>
      <c r="D114" s="353">
        <v>70910600</v>
      </c>
      <c r="E114" s="378" t="s">
        <v>468</v>
      </c>
      <c r="F114" s="353"/>
      <c r="G114" s="379"/>
      <c r="H114" s="380"/>
      <c r="I114" s="560">
        <v>20636720</v>
      </c>
      <c r="J114" s="556">
        <v>14921459</v>
      </c>
      <c r="K114" s="556">
        <v>29800</v>
      </c>
      <c r="L114" s="556">
        <v>5053525</v>
      </c>
      <c r="M114" s="556">
        <v>298430</v>
      </c>
      <c r="N114" s="556">
        <v>333506</v>
      </c>
      <c r="O114" s="557">
        <v>28.867199999999993</v>
      </c>
      <c r="P114" s="557">
        <v>20.479599999999998</v>
      </c>
      <c r="Q114" s="562">
        <v>8.3876000000000026</v>
      </c>
      <c r="R114" s="560">
        <f t="shared" ref="R114:BC114" si="279">SUM(R108:R113)</f>
        <v>0</v>
      </c>
      <c r="S114" s="556">
        <f t="shared" si="279"/>
        <v>0</v>
      </c>
      <c r="T114" s="556">
        <f t="shared" si="279"/>
        <v>0</v>
      </c>
      <c r="U114" s="556">
        <f t="shared" si="279"/>
        <v>0</v>
      </c>
      <c r="V114" s="556">
        <f t="shared" si="279"/>
        <v>0</v>
      </c>
      <c r="W114" s="556">
        <f t="shared" si="279"/>
        <v>0</v>
      </c>
      <c r="X114" s="556">
        <f t="shared" si="279"/>
        <v>0</v>
      </c>
      <c r="Y114" s="556">
        <f t="shared" si="279"/>
        <v>0</v>
      </c>
      <c r="Z114" s="556">
        <f t="shared" si="279"/>
        <v>0</v>
      </c>
      <c r="AA114" s="556">
        <f t="shared" si="279"/>
        <v>0</v>
      </c>
      <c r="AB114" s="556">
        <f t="shared" si="279"/>
        <v>0</v>
      </c>
      <c r="AC114" s="556">
        <f t="shared" si="279"/>
        <v>0</v>
      </c>
      <c r="AD114" s="556">
        <f t="shared" si="279"/>
        <v>0</v>
      </c>
      <c r="AE114" s="556">
        <f t="shared" si="279"/>
        <v>0</v>
      </c>
      <c r="AF114" s="556">
        <f t="shared" si="279"/>
        <v>0</v>
      </c>
      <c r="AG114" s="556">
        <f t="shared" si="279"/>
        <v>0</v>
      </c>
      <c r="AH114" s="556">
        <f t="shared" si="279"/>
        <v>0</v>
      </c>
      <c r="AI114" s="556">
        <f t="shared" si="279"/>
        <v>0</v>
      </c>
      <c r="AJ114" s="557">
        <f t="shared" si="279"/>
        <v>0</v>
      </c>
      <c r="AK114" s="557">
        <f t="shared" si="279"/>
        <v>0</v>
      </c>
      <c r="AL114" s="557">
        <f t="shared" si="279"/>
        <v>0</v>
      </c>
      <c r="AM114" s="557">
        <f t="shared" si="279"/>
        <v>0</v>
      </c>
      <c r="AN114" s="557">
        <f t="shared" si="279"/>
        <v>0</v>
      </c>
      <c r="AO114" s="557">
        <f t="shared" si="279"/>
        <v>0</v>
      </c>
      <c r="AP114" s="557">
        <f t="shared" si="279"/>
        <v>0</v>
      </c>
      <c r="AQ114" s="557">
        <f t="shared" si="279"/>
        <v>0</v>
      </c>
      <c r="AR114" s="557">
        <f t="shared" si="279"/>
        <v>0</v>
      </c>
      <c r="AS114" s="557">
        <f t="shared" si="279"/>
        <v>0</v>
      </c>
      <c r="AT114" s="307">
        <f t="shared" si="279"/>
        <v>0</v>
      </c>
      <c r="AU114" s="564">
        <f t="shared" si="279"/>
        <v>20636720</v>
      </c>
      <c r="AV114" s="556">
        <f t="shared" si="279"/>
        <v>14921459</v>
      </c>
      <c r="AW114" s="556">
        <f t="shared" si="279"/>
        <v>29800</v>
      </c>
      <c r="AX114" s="556">
        <f t="shared" si="279"/>
        <v>5053525</v>
      </c>
      <c r="AY114" s="556">
        <f t="shared" si="279"/>
        <v>298430</v>
      </c>
      <c r="AZ114" s="556">
        <f t="shared" si="279"/>
        <v>333506</v>
      </c>
      <c r="BA114" s="557">
        <f t="shared" si="279"/>
        <v>28.867199999999993</v>
      </c>
      <c r="BB114" s="557">
        <f t="shared" si="279"/>
        <v>20.479599999999998</v>
      </c>
      <c r="BC114" s="307">
        <f t="shared" si="279"/>
        <v>8.3876000000000026</v>
      </c>
    </row>
    <row r="115" spans="1:55" ht="12.95" customHeight="1" x14ac:dyDescent="0.25">
      <c r="A115" s="309">
        <v>21</v>
      </c>
      <c r="B115" s="349">
        <v>5442</v>
      </c>
      <c r="C115" s="350">
        <v>650030541</v>
      </c>
      <c r="D115" s="309">
        <v>75017512</v>
      </c>
      <c r="E115" s="377" t="s">
        <v>469</v>
      </c>
      <c r="F115" s="349">
        <v>3111</v>
      </c>
      <c r="G115" s="373" t="s">
        <v>325</v>
      </c>
      <c r="H115" s="312" t="s">
        <v>277</v>
      </c>
      <c r="I115" s="477">
        <v>2728375</v>
      </c>
      <c r="J115" s="472">
        <v>1995858</v>
      </c>
      <c r="K115" s="472">
        <v>0</v>
      </c>
      <c r="L115" s="472">
        <v>674600</v>
      </c>
      <c r="M115" s="472">
        <v>39917</v>
      </c>
      <c r="N115" s="472">
        <v>18000</v>
      </c>
      <c r="O115" s="473">
        <v>4.4379</v>
      </c>
      <c r="P115" s="474">
        <v>3.5160999999999998</v>
      </c>
      <c r="Q115" s="483">
        <v>0.92179999999999995</v>
      </c>
      <c r="R115" s="485">
        <f t="shared" ref="R115:R120" si="280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ref="X115:X120" si="281">SUM(R115:W115)</f>
        <v>0</v>
      </c>
      <c r="Y115" s="475">
        <v>0</v>
      </c>
      <c r="Z115" s="475">
        <v>0</v>
      </c>
      <c r="AA115" s="475">
        <v>0</v>
      </c>
      <c r="AB115" s="475">
        <f t="shared" ref="AB115:AB120" si="282">SUM(Y115:AA115)</f>
        <v>0</v>
      </c>
      <c r="AC115" s="475">
        <f t="shared" ref="AC115:AC120" si="283">X115+AB115</f>
        <v>0</v>
      </c>
      <c r="AD115" s="70">
        <f t="shared" ref="AD115:AD120" si="284">ROUND((X115+Y115+Z115)*33.8%,0)</f>
        <v>0</v>
      </c>
      <c r="AE115" s="70">
        <f t="shared" ref="AE115:AE120" si="285">ROUND(X115*2%,0)</f>
        <v>0</v>
      </c>
      <c r="AF115" s="475">
        <v>0</v>
      </c>
      <c r="AG115" s="475">
        <v>0</v>
      </c>
      <c r="AH115" s="475">
        <f t="shared" ref="AH115:AH120" si="286">SUM(AF115:AG115)</f>
        <v>0</v>
      </c>
      <c r="AI115" s="475">
        <f t="shared" ref="AI115:AI120" si="287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 t="shared" ref="AR115:AR120" si="288">AJ115+AL115+AM115+AO115+AP115</f>
        <v>0</v>
      </c>
      <c r="AS115" s="476">
        <f t="shared" ref="AS115:AS120" si="289">AK115+AN115+AQ115</f>
        <v>0</v>
      </c>
      <c r="AT115" s="478">
        <f t="shared" ref="AT115:AT120" si="290">SUM(AR115:AS115)</f>
        <v>0</v>
      </c>
      <c r="AU115" s="484">
        <f t="shared" ref="AU115:AU120" si="291">I115+AI115</f>
        <v>2728375</v>
      </c>
      <c r="AV115" s="475">
        <f t="shared" ref="AV115:AV120" si="292">J115+X115</f>
        <v>1995858</v>
      </c>
      <c r="AW115" s="475">
        <f t="shared" ref="AW115:AW120" si="293">K115+AB115</f>
        <v>0</v>
      </c>
      <c r="AX115" s="475">
        <f t="shared" ref="AX115:AY120" si="294">L115+AD115</f>
        <v>674600</v>
      </c>
      <c r="AY115" s="475">
        <f t="shared" si="294"/>
        <v>39917</v>
      </c>
      <c r="AZ115" s="475">
        <f t="shared" ref="AZ115:AZ120" si="295">N115+AH115</f>
        <v>18000</v>
      </c>
      <c r="BA115" s="476">
        <f t="shared" ref="BA115:BA120" si="296">O115+AT115</f>
        <v>4.4379</v>
      </c>
      <c r="BB115" s="476">
        <f t="shared" ref="BB115:BC120" si="297">P115+AR115</f>
        <v>3.5160999999999998</v>
      </c>
      <c r="BC115" s="478">
        <f t="shared" si="297"/>
        <v>0.92179999999999995</v>
      </c>
    </row>
    <row r="116" spans="1:55" ht="12.95" customHeight="1" x14ac:dyDescent="0.25">
      <c r="A116" s="309">
        <v>21</v>
      </c>
      <c r="B116" s="349">
        <v>5442</v>
      </c>
      <c r="C116" s="350">
        <v>650030541</v>
      </c>
      <c r="D116" s="309">
        <v>75017512</v>
      </c>
      <c r="E116" s="377" t="s">
        <v>469</v>
      </c>
      <c r="F116" s="349">
        <v>3113</v>
      </c>
      <c r="G116" s="373" t="s">
        <v>329</v>
      </c>
      <c r="H116" s="312" t="s">
        <v>277</v>
      </c>
      <c r="I116" s="477">
        <v>11440913</v>
      </c>
      <c r="J116" s="472">
        <v>8258302</v>
      </c>
      <c r="K116" s="472">
        <v>25200</v>
      </c>
      <c r="L116" s="472">
        <v>2799824</v>
      </c>
      <c r="M116" s="472">
        <v>165167</v>
      </c>
      <c r="N116" s="472">
        <v>192420</v>
      </c>
      <c r="O116" s="473">
        <v>16.193399999999997</v>
      </c>
      <c r="P116" s="474">
        <v>12.0245</v>
      </c>
      <c r="Q116" s="483">
        <v>4.1688999999999998</v>
      </c>
      <c r="R116" s="485">
        <f t="shared" si="280"/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281"/>
        <v>0</v>
      </c>
      <c r="Y116" s="475">
        <v>0</v>
      </c>
      <c r="Z116" s="475">
        <v>0</v>
      </c>
      <c r="AA116" s="475">
        <v>0</v>
      </c>
      <c r="AB116" s="475">
        <f t="shared" si="282"/>
        <v>0</v>
      </c>
      <c r="AC116" s="475">
        <f t="shared" si="283"/>
        <v>0</v>
      </c>
      <c r="AD116" s="70">
        <f t="shared" si="284"/>
        <v>0</v>
      </c>
      <c r="AE116" s="70">
        <f t="shared" si="285"/>
        <v>0</v>
      </c>
      <c r="AF116" s="475">
        <v>0</v>
      </c>
      <c r="AG116" s="475">
        <v>0</v>
      </c>
      <c r="AH116" s="475">
        <f t="shared" si="286"/>
        <v>0</v>
      </c>
      <c r="AI116" s="475">
        <f t="shared" si="287"/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476">
        <f t="shared" si="288"/>
        <v>0</v>
      </c>
      <c r="AS116" s="476">
        <f t="shared" si="289"/>
        <v>0</v>
      </c>
      <c r="AT116" s="478">
        <f t="shared" si="290"/>
        <v>0</v>
      </c>
      <c r="AU116" s="484">
        <f t="shared" si="291"/>
        <v>11440913</v>
      </c>
      <c r="AV116" s="475">
        <f t="shared" si="292"/>
        <v>8258302</v>
      </c>
      <c r="AW116" s="475">
        <f t="shared" si="293"/>
        <v>25200</v>
      </c>
      <c r="AX116" s="475">
        <f t="shared" si="294"/>
        <v>2799824</v>
      </c>
      <c r="AY116" s="475">
        <f t="shared" si="294"/>
        <v>165167</v>
      </c>
      <c r="AZ116" s="475">
        <f t="shared" si="295"/>
        <v>192420</v>
      </c>
      <c r="BA116" s="476">
        <f t="shared" si="296"/>
        <v>16.193399999999997</v>
      </c>
      <c r="BB116" s="476">
        <f t="shared" si="297"/>
        <v>12.0245</v>
      </c>
      <c r="BC116" s="478">
        <f t="shared" si="297"/>
        <v>4.1688999999999998</v>
      </c>
    </row>
    <row r="117" spans="1:55" ht="12.95" customHeight="1" x14ac:dyDescent="0.25">
      <c r="A117" s="309">
        <v>21</v>
      </c>
      <c r="B117" s="349">
        <v>5442</v>
      </c>
      <c r="C117" s="350">
        <v>650030541</v>
      </c>
      <c r="D117" s="309">
        <v>75017512</v>
      </c>
      <c r="E117" s="377" t="s">
        <v>469</v>
      </c>
      <c r="F117" s="349">
        <v>3113</v>
      </c>
      <c r="G117" s="312" t="s">
        <v>312</v>
      </c>
      <c r="H117" s="312" t="s">
        <v>278</v>
      </c>
      <c r="I117" s="477">
        <v>1029037</v>
      </c>
      <c r="J117" s="472">
        <v>757391</v>
      </c>
      <c r="K117" s="472">
        <v>0</v>
      </c>
      <c r="L117" s="472">
        <v>255998</v>
      </c>
      <c r="M117" s="472">
        <v>15148</v>
      </c>
      <c r="N117" s="472">
        <v>500</v>
      </c>
      <c r="O117" s="473">
        <v>2.1800000000000002</v>
      </c>
      <c r="P117" s="474">
        <v>2.1800000000000002</v>
      </c>
      <c r="Q117" s="483">
        <v>0</v>
      </c>
      <c r="R117" s="485">
        <f t="shared" si="280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81"/>
        <v>0</v>
      </c>
      <c r="Y117" s="475">
        <v>0</v>
      </c>
      <c r="Z117" s="475">
        <v>0</v>
      </c>
      <c r="AA117" s="475">
        <v>0</v>
      </c>
      <c r="AB117" s="475">
        <f t="shared" si="282"/>
        <v>0</v>
      </c>
      <c r="AC117" s="475">
        <f t="shared" si="283"/>
        <v>0</v>
      </c>
      <c r="AD117" s="70">
        <f t="shared" si="284"/>
        <v>0</v>
      </c>
      <c r="AE117" s="70">
        <f t="shared" si="285"/>
        <v>0</v>
      </c>
      <c r="AF117" s="475">
        <v>2000</v>
      </c>
      <c r="AG117" s="475">
        <v>0</v>
      </c>
      <c r="AH117" s="475">
        <f t="shared" si="286"/>
        <v>2000</v>
      </c>
      <c r="AI117" s="475">
        <f t="shared" si="287"/>
        <v>2000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si="288"/>
        <v>0</v>
      </c>
      <c r="AS117" s="476">
        <f t="shared" si="289"/>
        <v>0</v>
      </c>
      <c r="AT117" s="478">
        <f t="shared" si="290"/>
        <v>0</v>
      </c>
      <c r="AU117" s="484">
        <f t="shared" si="291"/>
        <v>1031037</v>
      </c>
      <c r="AV117" s="475">
        <f t="shared" si="292"/>
        <v>757391</v>
      </c>
      <c r="AW117" s="475">
        <f t="shared" si="293"/>
        <v>0</v>
      </c>
      <c r="AX117" s="475">
        <f t="shared" si="294"/>
        <v>255998</v>
      </c>
      <c r="AY117" s="475">
        <f t="shared" si="294"/>
        <v>15148</v>
      </c>
      <c r="AZ117" s="475">
        <f t="shared" si="295"/>
        <v>2500</v>
      </c>
      <c r="BA117" s="476">
        <f t="shared" si="296"/>
        <v>2.1800000000000002</v>
      </c>
      <c r="BB117" s="476">
        <f t="shared" si="297"/>
        <v>2.1800000000000002</v>
      </c>
      <c r="BC117" s="478">
        <f t="shared" si="297"/>
        <v>0</v>
      </c>
    </row>
    <row r="118" spans="1:55" ht="12.95" customHeight="1" x14ac:dyDescent="0.25">
      <c r="A118" s="309">
        <v>21</v>
      </c>
      <c r="B118" s="349">
        <v>5442</v>
      </c>
      <c r="C118" s="350">
        <v>650030541</v>
      </c>
      <c r="D118" s="309">
        <v>75017512</v>
      </c>
      <c r="E118" s="377" t="s">
        <v>469</v>
      </c>
      <c r="F118" s="349">
        <v>3141</v>
      </c>
      <c r="G118" s="373" t="s">
        <v>315</v>
      </c>
      <c r="H118" s="312" t="s">
        <v>278</v>
      </c>
      <c r="I118" s="477">
        <v>236276</v>
      </c>
      <c r="J118" s="472">
        <v>172869</v>
      </c>
      <c r="K118" s="472">
        <v>0</v>
      </c>
      <c r="L118" s="472">
        <v>58430</v>
      </c>
      <c r="M118" s="472">
        <v>3457</v>
      </c>
      <c r="N118" s="472">
        <v>1520</v>
      </c>
      <c r="O118" s="473">
        <v>0.54</v>
      </c>
      <c r="P118" s="474">
        <v>0</v>
      </c>
      <c r="Q118" s="483">
        <v>0.54</v>
      </c>
      <c r="R118" s="485">
        <f t="shared" si="280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81"/>
        <v>0</v>
      </c>
      <c r="Y118" s="475">
        <v>0</v>
      </c>
      <c r="Z118" s="475">
        <v>0</v>
      </c>
      <c r="AA118" s="475">
        <v>0</v>
      </c>
      <c r="AB118" s="475">
        <f t="shared" si="282"/>
        <v>0</v>
      </c>
      <c r="AC118" s="475">
        <f t="shared" si="283"/>
        <v>0</v>
      </c>
      <c r="AD118" s="70">
        <f t="shared" si="284"/>
        <v>0</v>
      </c>
      <c r="AE118" s="70">
        <f t="shared" si="285"/>
        <v>0</v>
      </c>
      <c r="AF118" s="475">
        <v>0</v>
      </c>
      <c r="AG118" s="475">
        <v>0</v>
      </c>
      <c r="AH118" s="475">
        <f t="shared" si="286"/>
        <v>0</v>
      </c>
      <c r="AI118" s="475">
        <f t="shared" si="287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 t="shared" si="288"/>
        <v>0</v>
      </c>
      <c r="AS118" s="476">
        <f t="shared" si="289"/>
        <v>0</v>
      </c>
      <c r="AT118" s="478">
        <f t="shared" si="290"/>
        <v>0</v>
      </c>
      <c r="AU118" s="484">
        <f t="shared" si="291"/>
        <v>236276</v>
      </c>
      <c r="AV118" s="475">
        <f t="shared" si="292"/>
        <v>172869</v>
      </c>
      <c r="AW118" s="475">
        <f t="shared" si="293"/>
        <v>0</v>
      </c>
      <c r="AX118" s="475">
        <f t="shared" si="294"/>
        <v>58430</v>
      </c>
      <c r="AY118" s="475">
        <f t="shared" si="294"/>
        <v>3457</v>
      </c>
      <c r="AZ118" s="475">
        <f t="shared" si="295"/>
        <v>1520</v>
      </c>
      <c r="BA118" s="476">
        <f t="shared" si="296"/>
        <v>0.54</v>
      </c>
      <c r="BB118" s="476">
        <f t="shared" si="297"/>
        <v>0</v>
      </c>
      <c r="BC118" s="478">
        <f t="shared" si="297"/>
        <v>0.54</v>
      </c>
    </row>
    <row r="119" spans="1:55" ht="12.95" customHeight="1" x14ac:dyDescent="0.25">
      <c r="A119" s="309">
        <v>21</v>
      </c>
      <c r="B119" s="349">
        <v>5442</v>
      </c>
      <c r="C119" s="350">
        <v>650030541</v>
      </c>
      <c r="D119" s="309">
        <v>75017512</v>
      </c>
      <c r="E119" s="377" t="s">
        <v>469</v>
      </c>
      <c r="F119" s="349">
        <v>3143</v>
      </c>
      <c r="G119" s="312" t="s">
        <v>626</v>
      </c>
      <c r="H119" s="312" t="s">
        <v>277</v>
      </c>
      <c r="I119" s="477">
        <v>1012753</v>
      </c>
      <c r="J119" s="472">
        <v>745768</v>
      </c>
      <c r="K119" s="472">
        <v>0</v>
      </c>
      <c r="L119" s="472">
        <v>252070</v>
      </c>
      <c r="M119" s="472">
        <v>14915</v>
      </c>
      <c r="N119" s="472">
        <v>0</v>
      </c>
      <c r="O119" s="473">
        <v>1.6333</v>
      </c>
      <c r="P119" s="474">
        <v>1.6333</v>
      </c>
      <c r="Q119" s="483">
        <v>0</v>
      </c>
      <c r="R119" s="485">
        <f t="shared" si="280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81"/>
        <v>0</v>
      </c>
      <c r="Y119" s="475">
        <v>0</v>
      </c>
      <c r="Z119" s="475">
        <v>0</v>
      </c>
      <c r="AA119" s="475">
        <v>0</v>
      </c>
      <c r="AB119" s="475">
        <f t="shared" si="282"/>
        <v>0</v>
      </c>
      <c r="AC119" s="475">
        <f t="shared" si="283"/>
        <v>0</v>
      </c>
      <c r="AD119" s="70">
        <f t="shared" si="284"/>
        <v>0</v>
      </c>
      <c r="AE119" s="70">
        <f t="shared" si="285"/>
        <v>0</v>
      </c>
      <c r="AF119" s="475">
        <v>0</v>
      </c>
      <c r="AG119" s="475">
        <v>0</v>
      </c>
      <c r="AH119" s="475">
        <f t="shared" si="286"/>
        <v>0</v>
      </c>
      <c r="AI119" s="475">
        <f t="shared" si="287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 t="shared" si="288"/>
        <v>0</v>
      </c>
      <c r="AS119" s="476">
        <f t="shared" si="289"/>
        <v>0</v>
      </c>
      <c r="AT119" s="478">
        <f t="shared" si="290"/>
        <v>0</v>
      </c>
      <c r="AU119" s="484">
        <f t="shared" si="291"/>
        <v>1012753</v>
      </c>
      <c r="AV119" s="475">
        <f t="shared" si="292"/>
        <v>745768</v>
      </c>
      <c r="AW119" s="475">
        <f t="shared" si="293"/>
        <v>0</v>
      </c>
      <c r="AX119" s="475">
        <f t="shared" si="294"/>
        <v>252070</v>
      </c>
      <c r="AY119" s="475">
        <f t="shared" si="294"/>
        <v>14915</v>
      </c>
      <c r="AZ119" s="475">
        <f t="shared" si="295"/>
        <v>0</v>
      </c>
      <c r="BA119" s="476">
        <f t="shared" si="296"/>
        <v>1.6333</v>
      </c>
      <c r="BB119" s="476">
        <f t="shared" si="297"/>
        <v>1.6333</v>
      </c>
      <c r="BC119" s="478">
        <f t="shared" si="297"/>
        <v>0</v>
      </c>
    </row>
    <row r="120" spans="1:55" ht="12.95" customHeight="1" x14ac:dyDescent="0.25">
      <c r="A120" s="309">
        <v>21</v>
      </c>
      <c r="B120" s="349">
        <v>5442</v>
      </c>
      <c r="C120" s="350">
        <v>650030541</v>
      </c>
      <c r="D120" s="309">
        <v>75017512</v>
      </c>
      <c r="E120" s="377" t="s">
        <v>469</v>
      </c>
      <c r="F120" s="349">
        <v>3143</v>
      </c>
      <c r="G120" s="312" t="s">
        <v>627</v>
      </c>
      <c r="H120" s="312" t="s">
        <v>278</v>
      </c>
      <c r="I120" s="477">
        <v>30240</v>
      </c>
      <c r="J120" s="472">
        <v>21384</v>
      </c>
      <c r="K120" s="472">
        <v>0</v>
      </c>
      <c r="L120" s="472">
        <v>7228</v>
      </c>
      <c r="M120" s="472">
        <v>428</v>
      </c>
      <c r="N120" s="472">
        <v>1200</v>
      </c>
      <c r="O120" s="473">
        <v>0.08</v>
      </c>
      <c r="P120" s="474">
        <v>0</v>
      </c>
      <c r="Q120" s="483">
        <v>0.08</v>
      </c>
      <c r="R120" s="485">
        <f t="shared" si="280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81"/>
        <v>0</v>
      </c>
      <c r="Y120" s="475">
        <v>0</v>
      </c>
      <c r="Z120" s="475">
        <v>0</v>
      </c>
      <c r="AA120" s="475">
        <v>0</v>
      </c>
      <c r="AB120" s="475">
        <f t="shared" si="282"/>
        <v>0</v>
      </c>
      <c r="AC120" s="475">
        <f t="shared" si="283"/>
        <v>0</v>
      </c>
      <c r="AD120" s="70">
        <f t="shared" si="284"/>
        <v>0</v>
      </c>
      <c r="AE120" s="70">
        <f t="shared" si="285"/>
        <v>0</v>
      </c>
      <c r="AF120" s="475">
        <v>0</v>
      </c>
      <c r="AG120" s="475">
        <v>0</v>
      </c>
      <c r="AH120" s="475">
        <f t="shared" si="286"/>
        <v>0</v>
      </c>
      <c r="AI120" s="475">
        <f t="shared" si="287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 t="shared" si="288"/>
        <v>0</v>
      </c>
      <c r="AS120" s="476">
        <f t="shared" si="289"/>
        <v>0</v>
      </c>
      <c r="AT120" s="478">
        <f t="shared" si="290"/>
        <v>0</v>
      </c>
      <c r="AU120" s="484">
        <f t="shared" si="291"/>
        <v>30240</v>
      </c>
      <c r="AV120" s="475">
        <f t="shared" si="292"/>
        <v>21384</v>
      </c>
      <c r="AW120" s="475">
        <f t="shared" si="293"/>
        <v>0</v>
      </c>
      <c r="AX120" s="475">
        <f t="shared" si="294"/>
        <v>7228</v>
      </c>
      <c r="AY120" s="475">
        <f t="shared" si="294"/>
        <v>428</v>
      </c>
      <c r="AZ120" s="475">
        <f t="shared" si="295"/>
        <v>1200</v>
      </c>
      <c r="BA120" s="476">
        <f t="shared" si="296"/>
        <v>0.08</v>
      </c>
      <c r="BB120" s="476">
        <f t="shared" si="297"/>
        <v>0</v>
      </c>
      <c r="BC120" s="478">
        <f t="shared" si="297"/>
        <v>0.08</v>
      </c>
    </row>
    <row r="121" spans="1:55" ht="12.95" customHeight="1" x14ac:dyDescent="0.25">
      <c r="A121" s="319">
        <v>21</v>
      </c>
      <c r="B121" s="353">
        <v>5442</v>
      </c>
      <c r="C121" s="354">
        <v>650030541</v>
      </c>
      <c r="D121" s="353">
        <v>75017512</v>
      </c>
      <c r="E121" s="378" t="s">
        <v>470</v>
      </c>
      <c r="F121" s="353"/>
      <c r="G121" s="379"/>
      <c r="H121" s="380"/>
      <c r="I121" s="592">
        <v>16477594</v>
      </c>
      <c r="J121" s="590">
        <v>11951572</v>
      </c>
      <c r="K121" s="590">
        <v>25200</v>
      </c>
      <c r="L121" s="590">
        <v>4048150</v>
      </c>
      <c r="M121" s="590">
        <v>239032</v>
      </c>
      <c r="N121" s="590">
        <v>213640</v>
      </c>
      <c r="O121" s="591">
        <v>25.064599999999992</v>
      </c>
      <c r="P121" s="591">
        <v>19.353899999999999</v>
      </c>
      <c r="Q121" s="593">
        <v>5.7107000000000001</v>
      </c>
      <c r="R121" s="592">
        <f t="shared" ref="R121:BC121" si="298">SUM(R115:R120)</f>
        <v>0</v>
      </c>
      <c r="S121" s="590">
        <f t="shared" si="298"/>
        <v>0</v>
      </c>
      <c r="T121" s="590">
        <f t="shared" si="298"/>
        <v>0</v>
      </c>
      <c r="U121" s="590">
        <f t="shared" si="298"/>
        <v>0</v>
      </c>
      <c r="V121" s="590">
        <f t="shared" si="298"/>
        <v>0</v>
      </c>
      <c r="W121" s="590">
        <f t="shared" si="298"/>
        <v>0</v>
      </c>
      <c r="X121" s="590">
        <f t="shared" si="298"/>
        <v>0</v>
      </c>
      <c r="Y121" s="590">
        <f t="shared" si="298"/>
        <v>0</v>
      </c>
      <c r="Z121" s="590">
        <f t="shared" si="298"/>
        <v>0</v>
      </c>
      <c r="AA121" s="590">
        <f t="shared" si="298"/>
        <v>0</v>
      </c>
      <c r="AB121" s="590">
        <f t="shared" si="298"/>
        <v>0</v>
      </c>
      <c r="AC121" s="590">
        <f t="shared" si="298"/>
        <v>0</v>
      </c>
      <c r="AD121" s="590">
        <f t="shared" si="298"/>
        <v>0</v>
      </c>
      <c r="AE121" s="590">
        <f t="shared" si="298"/>
        <v>0</v>
      </c>
      <c r="AF121" s="590">
        <f t="shared" si="298"/>
        <v>2000</v>
      </c>
      <c r="AG121" s="590">
        <f t="shared" si="298"/>
        <v>0</v>
      </c>
      <c r="AH121" s="590">
        <f t="shared" si="298"/>
        <v>2000</v>
      </c>
      <c r="AI121" s="590">
        <f t="shared" si="298"/>
        <v>2000</v>
      </c>
      <c r="AJ121" s="591">
        <f t="shared" si="298"/>
        <v>0</v>
      </c>
      <c r="AK121" s="591">
        <f t="shared" si="298"/>
        <v>0</v>
      </c>
      <c r="AL121" s="591">
        <f t="shared" si="298"/>
        <v>0</v>
      </c>
      <c r="AM121" s="591">
        <f t="shared" si="298"/>
        <v>0</v>
      </c>
      <c r="AN121" s="591">
        <f t="shared" si="298"/>
        <v>0</v>
      </c>
      <c r="AO121" s="591">
        <f t="shared" si="298"/>
        <v>0</v>
      </c>
      <c r="AP121" s="591">
        <f t="shared" si="298"/>
        <v>0</v>
      </c>
      <c r="AQ121" s="591">
        <f t="shared" si="298"/>
        <v>0</v>
      </c>
      <c r="AR121" s="591">
        <f t="shared" si="298"/>
        <v>0</v>
      </c>
      <c r="AS121" s="591">
        <f t="shared" si="298"/>
        <v>0</v>
      </c>
      <c r="AT121" s="381">
        <f t="shared" si="298"/>
        <v>0</v>
      </c>
      <c r="AU121" s="594">
        <f t="shared" si="298"/>
        <v>16479594</v>
      </c>
      <c r="AV121" s="590">
        <f t="shared" si="298"/>
        <v>11951572</v>
      </c>
      <c r="AW121" s="590">
        <f t="shared" si="298"/>
        <v>25200</v>
      </c>
      <c r="AX121" s="590">
        <f t="shared" si="298"/>
        <v>4048150</v>
      </c>
      <c r="AY121" s="590">
        <f t="shared" si="298"/>
        <v>239032</v>
      </c>
      <c r="AZ121" s="590">
        <f t="shared" si="298"/>
        <v>215640</v>
      </c>
      <c r="BA121" s="591">
        <f t="shared" si="298"/>
        <v>25.064599999999992</v>
      </c>
      <c r="BB121" s="591">
        <f t="shared" si="298"/>
        <v>19.353899999999999</v>
      </c>
      <c r="BC121" s="381">
        <f t="shared" si="298"/>
        <v>5.7107000000000001</v>
      </c>
    </row>
    <row r="122" spans="1:55" ht="12.95" customHeight="1" x14ac:dyDescent="0.25">
      <c r="A122" s="309">
        <v>22</v>
      </c>
      <c r="B122" s="349">
        <v>5453</v>
      </c>
      <c r="C122" s="350">
        <v>600099211</v>
      </c>
      <c r="D122" s="309">
        <v>854760</v>
      </c>
      <c r="E122" s="377" t="s">
        <v>471</v>
      </c>
      <c r="F122" s="349">
        <v>3111</v>
      </c>
      <c r="G122" s="373" t="s">
        <v>325</v>
      </c>
      <c r="H122" s="312" t="s">
        <v>277</v>
      </c>
      <c r="I122" s="477">
        <v>6079175</v>
      </c>
      <c r="J122" s="472">
        <v>4447073</v>
      </c>
      <c r="K122" s="472">
        <v>0</v>
      </c>
      <c r="L122" s="472">
        <v>1503111</v>
      </c>
      <c r="M122" s="472">
        <v>88941</v>
      </c>
      <c r="N122" s="472">
        <v>40050</v>
      </c>
      <c r="O122" s="473">
        <v>9.8402999999999992</v>
      </c>
      <c r="P122" s="474">
        <v>7.7965999999999998</v>
      </c>
      <c r="Q122" s="483">
        <v>2.0436999999999999</v>
      </c>
      <c r="R122" s="485">
        <f t="shared" ref="R122:R128" si="299">Y122*-1</f>
        <v>0</v>
      </c>
      <c r="S122" s="475">
        <v>0</v>
      </c>
      <c r="T122" s="475">
        <v>32101</v>
      </c>
      <c r="U122" s="475">
        <v>0</v>
      </c>
      <c r="V122" s="475">
        <v>0</v>
      </c>
      <c r="W122" s="475">
        <v>0</v>
      </c>
      <c r="X122" s="475">
        <f t="shared" ref="X122:X128" si="300">SUM(R122:W122)</f>
        <v>32101</v>
      </c>
      <c r="Y122" s="475">
        <v>0</v>
      </c>
      <c r="Z122" s="475">
        <v>0</v>
      </c>
      <c r="AA122" s="475">
        <v>0</v>
      </c>
      <c r="AB122" s="475">
        <f t="shared" ref="AB122:AB128" si="301">SUM(Y122:AA122)</f>
        <v>0</v>
      </c>
      <c r="AC122" s="475">
        <f t="shared" ref="AC122:AC128" si="302">X122+AB122</f>
        <v>32101</v>
      </c>
      <c r="AD122" s="70">
        <f t="shared" ref="AD122:AD128" si="303">ROUND((X122+Y122+Z122)*33.8%,0)</f>
        <v>10850</v>
      </c>
      <c r="AE122" s="70">
        <f t="shared" ref="AE122:AE128" si="304">ROUND(X122*2%,0)</f>
        <v>642</v>
      </c>
      <c r="AF122" s="475">
        <v>0</v>
      </c>
      <c r="AG122" s="475">
        <v>0</v>
      </c>
      <c r="AH122" s="475">
        <f t="shared" ref="AH122:AH128" si="305">SUM(AF122:AG122)</f>
        <v>0</v>
      </c>
      <c r="AI122" s="475">
        <f t="shared" ref="AI122:AI128" si="306">AC122+AD122+AE122+AH122</f>
        <v>43593</v>
      </c>
      <c r="AJ122" s="476">
        <v>0</v>
      </c>
      <c r="AK122" s="476">
        <v>0</v>
      </c>
      <c r="AL122" s="476">
        <v>0</v>
      </c>
      <c r="AM122" s="476">
        <v>6.3E-2</v>
      </c>
      <c r="AN122" s="476">
        <v>0</v>
      </c>
      <c r="AO122" s="476">
        <v>0</v>
      </c>
      <c r="AP122" s="476">
        <v>0</v>
      </c>
      <c r="AQ122" s="476">
        <v>0</v>
      </c>
      <c r="AR122" s="476">
        <f t="shared" ref="AR122:AR128" si="307">AJ122+AL122+AM122+AO122+AP122</f>
        <v>6.3E-2</v>
      </c>
      <c r="AS122" s="476">
        <f t="shared" ref="AS122:AS128" si="308">AK122+AN122+AQ122</f>
        <v>0</v>
      </c>
      <c r="AT122" s="478">
        <f t="shared" ref="AT122:AT128" si="309">SUM(AR122:AS122)</f>
        <v>6.3E-2</v>
      </c>
      <c r="AU122" s="484">
        <f t="shared" ref="AU122:AU128" si="310">I122+AI122</f>
        <v>6122768</v>
      </c>
      <c r="AV122" s="475">
        <f t="shared" ref="AV122:AV128" si="311">J122+X122</f>
        <v>4479174</v>
      </c>
      <c r="AW122" s="475">
        <f t="shared" ref="AW122:AW128" si="312">K122+AB122</f>
        <v>0</v>
      </c>
      <c r="AX122" s="475">
        <f t="shared" ref="AX122:AY128" si="313">L122+AD122</f>
        <v>1513961</v>
      </c>
      <c r="AY122" s="475">
        <f t="shared" si="313"/>
        <v>89583</v>
      </c>
      <c r="AZ122" s="475">
        <f t="shared" ref="AZ122:AZ128" si="314">N122+AH122</f>
        <v>40050</v>
      </c>
      <c r="BA122" s="476">
        <f t="shared" ref="BA122:BA128" si="315">O122+AT122</f>
        <v>9.9032999999999998</v>
      </c>
      <c r="BB122" s="476">
        <f t="shared" ref="BB122:BC128" si="316">P122+AR122</f>
        <v>7.8595999999999995</v>
      </c>
      <c r="BC122" s="478">
        <f t="shared" si="316"/>
        <v>2.0436999999999999</v>
      </c>
    </row>
    <row r="123" spans="1:55" ht="12.95" customHeight="1" x14ac:dyDescent="0.25">
      <c r="A123" s="309">
        <v>22</v>
      </c>
      <c r="B123" s="349">
        <v>5453</v>
      </c>
      <c r="C123" s="350">
        <v>600099211</v>
      </c>
      <c r="D123" s="309">
        <v>854760</v>
      </c>
      <c r="E123" s="377" t="s">
        <v>471</v>
      </c>
      <c r="F123" s="349">
        <v>3113</v>
      </c>
      <c r="G123" s="373" t="s">
        <v>329</v>
      </c>
      <c r="H123" s="312" t="s">
        <v>277</v>
      </c>
      <c r="I123" s="477">
        <v>22202903</v>
      </c>
      <c r="J123" s="472">
        <v>16005757</v>
      </c>
      <c r="K123" s="472">
        <v>23000</v>
      </c>
      <c r="L123" s="472">
        <v>5417720</v>
      </c>
      <c r="M123" s="472">
        <v>320116</v>
      </c>
      <c r="N123" s="472">
        <v>436310</v>
      </c>
      <c r="O123" s="473">
        <v>30.141899999999996</v>
      </c>
      <c r="P123" s="474">
        <v>22.642199999999999</v>
      </c>
      <c r="Q123" s="483">
        <v>7.4996999999999998</v>
      </c>
      <c r="R123" s="485">
        <f t="shared" si="299"/>
        <v>0</v>
      </c>
      <c r="S123" s="475">
        <v>0</v>
      </c>
      <c r="T123" s="475">
        <v>-119783</v>
      </c>
      <c r="U123" s="475">
        <v>0</v>
      </c>
      <c r="V123" s="475">
        <v>0</v>
      </c>
      <c r="W123" s="475">
        <v>0</v>
      </c>
      <c r="X123" s="475">
        <f t="shared" si="300"/>
        <v>-119783</v>
      </c>
      <c r="Y123" s="475">
        <v>0</v>
      </c>
      <c r="Z123" s="475">
        <v>0</v>
      </c>
      <c r="AA123" s="475">
        <v>0</v>
      </c>
      <c r="AB123" s="475">
        <f t="shared" si="301"/>
        <v>0</v>
      </c>
      <c r="AC123" s="475">
        <f t="shared" si="302"/>
        <v>-119783</v>
      </c>
      <c r="AD123" s="70">
        <f t="shared" si="303"/>
        <v>-40487</v>
      </c>
      <c r="AE123" s="70">
        <f t="shared" si="304"/>
        <v>-2396</v>
      </c>
      <c r="AF123" s="475">
        <v>0</v>
      </c>
      <c r="AG123" s="475">
        <v>0</v>
      </c>
      <c r="AH123" s="475">
        <f t="shared" si="305"/>
        <v>0</v>
      </c>
      <c r="AI123" s="475">
        <f t="shared" si="306"/>
        <v>-162666</v>
      </c>
      <c r="AJ123" s="476">
        <v>0</v>
      </c>
      <c r="AK123" s="476">
        <v>0</v>
      </c>
      <c r="AL123" s="476">
        <v>0</v>
      </c>
      <c r="AM123" s="476">
        <v>-0.2</v>
      </c>
      <c r="AN123" s="476">
        <v>0</v>
      </c>
      <c r="AO123" s="476">
        <v>0</v>
      </c>
      <c r="AP123" s="476">
        <v>0</v>
      </c>
      <c r="AQ123" s="476">
        <v>0</v>
      </c>
      <c r="AR123" s="476">
        <f t="shared" si="307"/>
        <v>-0.2</v>
      </c>
      <c r="AS123" s="476">
        <f t="shared" si="308"/>
        <v>0</v>
      </c>
      <c r="AT123" s="478">
        <f t="shared" si="309"/>
        <v>-0.2</v>
      </c>
      <c r="AU123" s="484">
        <f t="shared" si="310"/>
        <v>22040237</v>
      </c>
      <c r="AV123" s="475">
        <f t="shared" si="311"/>
        <v>15885974</v>
      </c>
      <c r="AW123" s="475">
        <f t="shared" si="312"/>
        <v>23000</v>
      </c>
      <c r="AX123" s="475">
        <f t="shared" si="313"/>
        <v>5377233</v>
      </c>
      <c r="AY123" s="475">
        <f t="shared" si="313"/>
        <v>317720</v>
      </c>
      <c r="AZ123" s="475">
        <f t="shared" si="314"/>
        <v>436310</v>
      </c>
      <c r="BA123" s="476">
        <f t="shared" si="315"/>
        <v>29.941899999999997</v>
      </c>
      <c r="BB123" s="476">
        <f t="shared" si="316"/>
        <v>22.4422</v>
      </c>
      <c r="BC123" s="478">
        <f t="shared" si="316"/>
        <v>7.4996999999999998</v>
      </c>
    </row>
    <row r="124" spans="1:55" ht="12.95" customHeight="1" x14ac:dyDescent="0.25">
      <c r="A124" s="309">
        <v>22</v>
      </c>
      <c r="B124" s="349">
        <v>5453</v>
      </c>
      <c r="C124" s="350">
        <v>600099211</v>
      </c>
      <c r="D124" s="309">
        <v>854760</v>
      </c>
      <c r="E124" s="377" t="s">
        <v>471</v>
      </c>
      <c r="F124" s="349">
        <v>3113</v>
      </c>
      <c r="G124" s="312" t="s">
        <v>312</v>
      </c>
      <c r="H124" s="312" t="s">
        <v>278</v>
      </c>
      <c r="I124" s="477">
        <v>1549517</v>
      </c>
      <c r="J124" s="472">
        <v>1139371</v>
      </c>
      <c r="K124" s="472">
        <v>0</v>
      </c>
      <c r="L124" s="472">
        <v>385108</v>
      </c>
      <c r="M124" s="472">
        <v>22788</v>
      </c>
      <c r="N124" s="472">
        <v>2250</v>
      </c>
      <c r="O124" s="473">
        <v>2.7399999999999998</v>
      </c>
      <c r="P124" s="474">
        <v>2.7399999999999998</v>
      </c>
      <c r="Q124" s="483">
        <v>0</v>
      </c>
      <c r="R124" s="485">
        <f t="shared" si="299"/>
        <v>0</v>
      </c>
      <c r="S124" s="475">
        <v>-15401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300"/>
        <v>-15401</v>
      </c>
      <c r="Y124" s="475">
        <v>0</v>
      </c>
      <c r="Z124" s="475">
        <v>0</v>
      </c>
      <c r="AA124" s="475">
        <v>0</v>
      </c>
      <c r="AB124" s="475">
        <f t="shared" si="301"/>
        <v>0</v>
      </c>
      <c r="AC124" s="475">
        <f t="shared" si="302"/>
        <v>-15401</v>
      </c>
      <c r="AD124" s="70">
        <f t="shared" si="303"/>
        <v>-5206</v>
      </c>
      <c r="AE124" s="70">
        <f t="shared" si="304"/>
        <v>-308</v>
      </c>
      <c r="AF124" s="475">
        <v>0</v>
      </c>
      <c r="AG124" s="475">
        <v>0</v>
      </c>
      <c r="AH124" s="475">
        <f t="shared" si="305"/>
        <v>0</v>
      </c>
      <c r="AI124" s="475">
        <f t="shared" si="306"/>
        <v>-20915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 t="shared" si="307"/>
        <v>0</v>
      </c>
      <c r="AS124" s="476">
        <f t="shared" si="308"/>
        <v>0</v>
      </c>
      <c r="AT124" s="478">
        <f t="shared" si="309"/>
        <v>0</v>
      </c>
      <c r="AU124" s="484">
        <f t="shared" si="310"/>
        <v>1528602</v>
      </c>
      <c r="AV124" s="475">
        <f t="shared" si="311"/>
        <v>1123970</v>
      </c>
      <c r="AW124" s="475">
        <f t="shared" si="312"/>
        <v>0</v>
      </c>
      <c r="AX124" s="475">
        <f t="shared" si="313"/>
        <v>379902</v>
      </c>
      <c r="AY124" s="475">
        <f t="shared" si="313"/>
        <v>22480</v>
      </c>
      <c r="AZ124" s="475">
        <f t="shared" si="314"/>
        <v>2250</v>
      </c>
      <c r="BA124" s="476">
        <f t="shared" si="315"/>
        <v>2.7399999999999998</v>
      </c>
      <c r="BB124" s="476">
        <f t="shared" si="316"/>
        <v>2.7399999999999998</v>
      </c>
      <c r="BC124" s="478">
        <f t="shared" si="316"/>
        <v>0</v>
      </c>
    </row>
    <row r="125" spans="1:55" ht="12.95" customHeight="1" x14ac:dyDescent="0.25">
      <c r="A125" s="309">
        <v>22</v>
      </c>
      <c r="B125" s="349">
        <v>5453</v>
      </c>
      <c r="C125" s="350">
        <v>600099211</v>
      </c>
      <c r="D125" s="309">
        <v>854760</v>
      </c>
      <c r="E125" s="377" t="s">
        <v>471</v>
      </c>
      <c r="F125" s="349">
        <v>3141</v>
      </c>
      <c r="G125" s="373" t="s">
        <v>315</v>
      </c>
      <c r="H125" s="312" t="s">
        <v>278</v>
      </c>
      <c r="I125" s="477">
        <v>3272410</v>
      </c>
      <c r="J125" s="472">
        <v>2393028</v>
      </c>
      <c r="K125" s="472">
        <v>0</v>
      </c>
      <c r="L125" s="472">
        <v>808843</v>
      </c>
      <c r="M125" s="472">
        <v>47861</v>
      </c>
      <c r="N125" s="472">
        <v>22678</v>
      </c>
      <c r="O125" s="473">
        <v>7.54</v>
      </c>
      <c r="P125" s="474">
        <v>0</v>
      </c>
      <c r="Q125" s="483">
        <v>7.54</v>
      </c>
      <c r="R125" s="485">
        <f t="shared" si="299"/>
        <v>0</v>
      </c>
      <c r="S125" s="475">
        <v>0</v>
      </c>
      <c r="T125" s="475">
        <f>-21734-14098+7349</f>
        <v>-28483</v>
      </c>
      <c r="U125" s="475">
        <v>0</v>
      </c>
      <c r="V125" s="475">
        <v>0</v>
      </c>
      <c r="W125" s="475">
        <v>0</v>
      </c>
      <c r="X125" s="475">
        <f t="shared" si="300"/>
        <v>-28483</v>
      </c>
      <c r="Y125" s="475">
        <v>0</v>
      </c>
      <c r="Z125" s="475">
        <v>0</v>
      </c>
      <c r="AA125" s="475">
        <v>0</v>
      </c>
      <c r="AB125" s="475">
        <f t="shared" si="301"/>
        <v>0</v>
      </c>
      <c r="AC125" s="475">
        <f t="shared" si="302"/>
        <v>-28483</v>
      </c>
      <c r="AD125" s="70">
        <f t="shared" si="303"/>
        <v>-9627</v>
      </c>
      <c r="AE125" s="70">
        <f t="shared" si="304"/>
        <v>-570</v>
      </c>
      <c r="AF125" s="475">
        <v>0</v>
      </c>
      <c r="AG125" s="475">
        <v>0</v>
      </c>
      <c r="AH125" s="475">
        <f t="shared" si="305"/>
        <v>0</v>
      </c>
      <c r="AI125" s="475">
        <f t="shared" si="306"/>
        <v>-38680</v>
      </c>
      <c r="AJ125" s="476">
        <v>0</v>
      </c>
      <c r="AK125" s="476">
        <v>0</v>
      </c>
      <c r="AL125" s="476">
        <v>0</v>
      </c>
      <c r="AM125" s="476">
        <v>0</v>
      </c>
      <c r="AN125" s="476">
        <f>-0.07-0.04+0.03</f>
        <v>-8.0000000000000016E-2</v>
      </c>
      <c r="AO125" s="476">
        <v>0</v>
      </c>
      <c r="AP125" s="476">
        <v>0</v>
      </c>
      <c r="AQ125" s="476">
        <v>0</v>
      </c>
      <c r="AR125" s="476">
        <f t="shared" si="307"/>
        <v>0</v>
      </c>
      <c r="AS125" s="476">
        <f t="shared" si="308"/>
        <v>-8.0000000000000016E-2</v>
      </c>
      <c r="AT125" s="478">
        <f t="shared" si="309"/>
        <v>-8.0000000000000016E-2</v>
      </c>
      <c r="AU125" s="484">
        <f t="shared" si="310"/>
        <v>3233730</v>
      </c>
      <c r="AV125" s="475">
        <f t="shared" si="311"/>
        <v>2364545</v>
      </c>
      <c r="AW125" s="475">
        <f t="shared" si="312"/>
        <v>0</v>
      </c>
      <c r="AX125" s="475">
        <f t="shared" si="313"/>
        <v>799216</v>
      </c>
      <c r="AY125" s="475">
        <f t="shared" si="313"/>
        <v>47291</v>
      </c>
      <c r="AZ125" s="475">
        <f t="shared" si="314"/>
        <v>22678</v>
      </c>
      <c r="BA125" s="476">
        <f t="shared" si="315"/>
        <v>7.46</v>
      </c>
      <c r="BB125" s="476">
        <f t="shared" si="316"/>
        <v>0</v>
      </c>
      <c r="BC125" s="478">
        <f t="shared" si="316"/>
        <v>7.46</v>
      </c>
    </row>
    <row r="126" spans="1:55" ht="12.95" customHeight="1" x14ac:dyDescent="0.25">
      <c r="A126" s="309">
        <v>22</v>
      </c>
      <c r="B126" s="349">
        <v>5453</v>
      </c>
      <c r="C126" s="350">
        <v>600099211</v>
      </c>
      <c r="D126" s="309">
        <v>854760</v>
      </c>
      <c r="E126" s="377" t="s">
        <v>471</v>
      </c>
      <c r="F126" s="349">
        <v>3143</v>
      </c>
      <c r="G126" s="312" t="s">
        <v>626</v>
      </c>
      <c r="H126" s="312" t="s">
        <v>277</v>
      </c>
      <c r="I126" s="477">
        <v>1817069</v>
      </c>
      <c r="J126" s="472">
        <v>1338048</v>
      </c>
      <c r="K126" s="472">
        <v>0</v>
      </c>
      <c r="L126" s="472">
        <v>452260</v>
      </c>
      <c r="M126" s="472">
        <v>26761</v>
      </c>
      <c r="N126" s="472">
        <v>0</v>
      </c>
      <c r="O126" s="473">
        <v>2.63</v>
      </c>
      <c r="P126" s="474">
        <v>2.63</v>
      </c>
      <c r="Q126" s="483">
        <v>0</v>
      </c>
      <c r="R126" s="485">
        <f t="shared" si="299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300"/>
        <v>0</v>
      </c>
      <c r="Y126" s="475">
        <v>0</v>
      </c>
      <c r="Z126" s="475">
        <v>0</v>
      </c>
      <c r="AA126" s="475">
        <v>0</v>
      </c>
      <c r="AB126" s="475">
        <f t="shared" si="301"/>
        <v>0</v>
      </c>
      <c r="AC126" s="475">
        <f t="shared" si="302"/>
        <v>0</v>
      </c>
      <c r="AD126" s="70">
        <f t="shared" si="303"/>
        <v>0</v>
      </c>
      <c r="AE126" s="70">
        <f t="shared" si="304"/>
        <v>0</v>
      </c>
      <c r="AF126" s="475">
        <v>0</v>
      </c>
      <c r="AG126" s="475">
        <v>0</v>
      </c>
      <c r="AH126" s="475">
        <f t="shared" si="305"/>
        <v>0</v>
      </c>
      <c r="AI126" s="475">
        <f t="shared" si="306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 t="shared" si="307"/>
        <v>0</v>
      </c>
      <c r="AS126" s="476">
        <f t="shared" si="308"/>
        <v>0</v>
      </c>
      <c r="AT126" s="478">
        <f t="shared" si="309"/>
        <v>0</v>
      </c>
      <c r="AU126" s="484">
        <f t="shared" si="310"/>
        <v>1817069</v>
      </c>
      <c r="AV126" s="475">
        <f t="shared" si="311"/>
        <v>1338048</v>
      </c>
      <c r="AW126" s="475">
        <f t="shared" si="312"/>
        <v>0</v>
      </c>
      <c r="AX126" s="475">
        <f t="shared" si="313"/>
        <v>452260</v>
      </c>
      <c r="AY126" s="475">
        <f t="shared" si="313"/>
        <v>26761</v>
      </c>
      <c r="AZ126" s="475">
        <f t="shared" si="314"/>
        <v>0</v>
      </c>
      <c r="BA126" s="476">
        <f t="shared" si="315"/>
        <v>2.63</v>
      </c>
      <c r="BB126" s="476">
        <f t="shared" si="316"/>
        <v>2.63</v>
      </c>
      <c r="BC126" s="478">
        <f t="shared" si="316"/>
        <v>0</v>
      </c>
    </row>
    <row r="127" spans="1:55" ht="12.95" customHeight="1" x14ac:dyDescent="0.25">
      <c r="A127" s="309">
        <v>22</v>
      </c>
      <c r="B127" s="349">
        <v>5453</v>
      </c>
      <c r="C127" s="350">
        <v>600099211</v>
      </c>
      <c r="D127" s="309">
        <v>854760</v>
      </c>
      <c r="E127" s="377" t="s">
        <v>471</v>
      </c>
      <c r="F127" s="349">
        <v>3143</v>
      </c>
      <c r="G127" s="312" t="s">
        <v>627</v>
      </c>
      <c r="H127" s="312" t="s">
        <v>278</v>
      </c>
      <c r="I127" s="477">
        <v>65772</v>
      </c>
      <c r="J127" s="472">
        <v>46511</v>
      </c>
      <c r="K127" s="472">
        <v>0</v>
      </c>
      <c r="L127" s="472">
        <v>15721</v>
      </c>
      <c r="M127" s="472">
        <v>930</v>
      </c>
      <c r="N127" s="472">
        <v>2610</v>
      </c>
      <c r="O127" s="473">
        <v>0.18</v>
      </c>
      <c r="P127" s="474">
        <v>0</v>
      </c>
      <c r="Q127" s="483">
        <v>0.18</v>
      </c>
      <c r="R127" s="485">
        <f t="shared" si="299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300"/>
        <v>0</v>
      </c>
      <c r="Y127" s="475">
        <v>0</v>
      </c>
      <c r="Z127" s="475">
        <v>0</v>
      </c>
      <c r="AA127" s="475">
        <v>0</v>
      </c>
      <c r="AB127" s="475">
        <f t="shared" si="301"/>
        <v>0</v>
      </c>
      <c r="AC127" s="475">
        <f t="shared" si="302"/>
        <v>0</v>
      </c>
      <c r="AD127" s="70">
        <f t="shared" si="303"/>
        <v>0</v>
      </c>
      <c r="AE127" s="70">
        <f t="shared" si="304"/>
        <v>0</v>
      </c>
      <c r="AF127" s="475">
        <v>0</v>
      </c>
      <c r="AG127" s="475">
        <v>0</v>
      </c>
      <c r="AH127" s="475">
        <f t="shared" si="305"/>
        <v>0</v>
      </c>
      <c r="AI127" s="475">
        <f t="shared" si="306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 t="shared" si="307"/>
        <v>0</v>
      </c>
      <c r="AS127" s="476">
        <f t="shared" si="308"/>
        <v>0</v>
      </c>
      <c r="AT127" s="478">
        <f t="shared" si="309"/>
        <v>0</v>
      </c>
      <c r="AU127" s="484">
        <f t="shared" si="310"/>
        <v>65772</v>
      </c>
      <c r="AV127" s="475">
        <f t="shared" si="311"/>
        <v>46511</v>
      </c>
      <c r="AW127" s="475">
        <f t="shared" si="312"/>
        <v>0</v>
      </c>
      <c r="AX127" s="475">
        <f t="shared" si="313"/>
        <v>15721</v>
      </c>
      <c r="AY127" s="475">
        <f t="shared" si="313"/>
        <v>930</v>
      </c>
      <c r="AZ127" s="475">
        <f t="shared" si="314"/>
        <v>2610</v>
      </c>
      <c r="BA127" s="476">
        <f t="shared" si="315"/>
        <v>0.18</v>
      </c>
      <c r="BB127" s="476">
        <f t="shared" si="316"/>
        <v>0</v>
      </c>
      <c r="BC127" s="478">
        <f t="shared" si="316"/>
        <v>0.18</v>
      </c>
    </row>
    <row r="128" spans="1:55" ht="12.95" customHeight="1" x14ac:dyDescent="0.25">
      <c r="A128" s="309">
        <v>22</v>
      </c>
      <c r="B128" s="349">
        <v>5453</v>
      </c>
      <c r="C128" s="350">
        <v>600099211</v>
      </c>
      <c r="D128" s="309">
        <v>854760</v>
      </c>
      <c r="E128" s="377" t="s">
        <v>471</v>
      </c>
      <c r="F128" s="349">
        <v>3143</v>
      </c>
      <c r="G128" s="373" t="s">
        <v>472</v>
      </c>
      <c r="H128" s="312" t="s">
        <v>278</v>
      </c>
      <c r="I128" s="477">
        <v>335549</v>
      </c>
      <c r="J128" s="472">
        <v>246723</v>
      </c>
      <c r="K128" s="472">
        <v>0</v>
      </c>
      <c r="L128" s="472">
        <v>83392</v>
      </c>
      <c r="M128" s="472">
        <v>4934</v>
      </c>
      <c r="N128" s="472">
        <v>500</v>
      </c>
      <c r="O128" s="473">
        <v>0.53</v>
      </c>
      <c r="P128" s="474">
        <v>0.48</v>
      </c>
      <c r="Q128" s="483">
        <v>0.05</v>
      </c>
      <c r="R128" s="485">
        <f t="shared" si="299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300"/>
        <v>0</v>
      </c>
      <c r="Y128" s="475">
        <v>0</v>
      </c>
      <c r="Z128" s="475">
        <v>0</v>
      </c>
      <c r="AA128" s="475">
        <v>0</v>
      </c>
      <c r="AB128" s="475">
        <f t="shared" si="301"/>
        <v>0</v>
      </c>
      <c r="AC128" s="475">
        <f t="shared" si="302"/>
        <v>0</v>
      </c>
      <c r="AD128" s="70">
        <f t="shared" si="303"/>
        <v>0</v>
      </c>
      <c r="AE128" s="70">
        <f t="shared" si="304"/>
        <v>0</v>
      </c>
      <c r="AF128" s="475">
        <v>0</v>
      </c>
      <c r="AG128" s="475">
        <v>0</v>
      </c>
      <c r="AH128" s="475">
        <f t="shared" si="305"/>
        <v>0</v>
      </c>
      <c r="AI128" s="475">
        <f t="shared" si="306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 t="shared" si="307"/>
        <v>0</v>
      </c>
      <c r="AS128" s="476">
        <f t="shared" si="308"/>
        <v>0</v>
      </c>
      <c r="AT128" s="478">
        <f t="shared" si="309"/>
        <v>0</v>
      </c>
      <c r="AU128" s="484">
        <f t="shared" si="310"/>
        <v>335549</v>
      </c>
      <c r="AV128" s="475">
        <f t="shared" si="311"/>
        <v>246723</v>
      </c>
      <c r="AW128" s="475">
        <f t="shared" si="312"/>
        <v>0</v>
      </c>
      <c r="AX128" s="475">
        <f t="shared" si="313"/>
        <v>83392</v>
      </c>
      <c r="AY128" s="475">
        <f t="shared" si="313"/>
        <v>4934</v>
      </c>
      <c r="AZ128" s="475">
        <f t="shared" si="314"/>
        <v>500</v>
      </c>
      <c r="BA128" s="476">
        <f t="shared" si="315"/>
        <v>0.53</v>
      </c>
      <c r="BB128" s="476">
        <f t="shared" si="316"/>
        <v>0.48</v>
      </c>
      <c r="BC128" s="478">
        <f t="shared" si="316"/>
        <v>0.05</v>
      </c>
    </row>
    <row r="129" spans="1:55" ht="12.95" customHeight="1" x14ac:dyDescent="0.25">
      <c r="A129" s="319">
        <v>22</v>
      </c>
      <c r="B129" s="353">
        <v>5453</v>
      </c>
      <c r="C129" s="354">
        <v>600099211</v>
      </c>
      <c r="D129" s="353">
        <v>854760</v>
      </c>
      <c r="E129" s="378" t="s">
        <v>473</v>
      </c>
      <c r="F129" s="353"/>
      <c r="G129" s="379"/>
      <c r="H129" s="380"/>
      <c r="I129" s="560">
        <v>35322395</v>
      </c>
      <c r="J129" s="556">
        <v>25616511</v>
      </c>
      <c r="K129" s="556">
        <v>23000</v>
      </c>
      <c r="L129" s="556">
        <v>8666155</v>
      </c>
      <c r="M129" s="556">
        <v>512331</v>
      </c>
      <c r="N129" s="556">
        <v>504398</v>
      </c>
      <c r="O129" s="557">
        <v>53.602199999999996</v>
      </c>
      <c r="P129" s="557">
        <v>36.288800000000002</v>
      </c>
      <c r="Q129" s="562">
        <v>17.313400000000001</v>
      </c>
      <c r="R129" s="560">
        <f t="shared" ref="R129:BC129" si="317">SUM(R122:R128)</f>
        <v>0</v>
      </c>
      <c r="S129" s="556">
        <f t="shared" si="317"/>
        <v>-15401</v>
      </c>
      <c r="T129" s="556">
        <f t="shared" si="317"/>
        <v>-116165</v>
      </c>
      <c r="U129" s="556">
        <f t="shared" si="317"/>
        <v>0</v>
      </c>
      <c r="V129" s="556">
        <f t="shared" si="317"/>
        <v>0</v>
      </c>
      <c r="W129" s="556">
        <f t="shared" si="317"/>
        <v>0</v>
      </c>
      <c r="X129" s="556">
        <f t="shared" si="317"/>
        <v>-131566</v>
      </c>
      <c r="Y129" s="556">
        <f t="shared" si="317"/>
        <v>0</v>
      </c>
      <c r="Z129" s="556">
        <f t="shared" si="317"/>
        <v>0</v>
      </c>
      <c r="AA129" s="556">
        <f t="shared" si="317"/>
        <v>0</v>
      </c>
      <c r="AB129" s="556">
        <f t="shared" si="317"/>
        <v>0</v>
      </c>
      <c r="AC129" s="556">
        <f t="shared" si="317"/>
        <v>-131566</v>
      </c>
      <c r="AD129" s="556">
        <f t="shared" si="317"/>
        <v>-44470</v>
      </c>
      <c r="AE129" s="556">
        <f t="shared" si="317"/>
        <v>-2632</v>
      </c>
      <c r="AF129" s="556">
        <f t="shared" si="317"/>
        <v>0</v>
      </c>
      <c r="AG129" s="556">
        <f t="shared" si="317"/>
        <v>0</v>
      </c>
      <c r="AH129" s="556">
        <f t="shared" si="317"/>
        <v>0</v>
      </c>
      <c r="AI129" s="556">
        <f t="shared" si="317"/>
        <v>-178668</v>
      </c>
      <c r="AJ129" s="557">
        <f t="shared" si="317"/>
        <v>0</v>
      </c>
      <c r="AK129" s="557">
        <f t="shared" si="317"/>
        <v>0</v>
      </c>
      <c r="AL129" s="557">
        <f t="shared" si="317"/>
        <v>0</v>
      </c>
      <c r="AM129" s="557">
        <f t="shared" si="317"/>
        <v>-0.13700000000000001</v>
      </c>
      <c r="AN129" s="557">
        <f t="shared" si="317"/>
        <v>-8.0000000000000016E-2</v>
      </c>
      <c r="AO129" s="557">
        <f t="shared" si="317"/>
        <v>0</v>
      </c>
      <c r="AP129" s="557">
        <f t="shared" si="317"/>
        <v>0</v>
      </c>
      <c r="AQ129" s="557">
        <f t="shared" si="317"/>
        <v>0</v>
      </c>
      <c r="AR129" s="557">
        <f t="shared" si="317"/>
        <v>-0.13700000000000001</v>
      </c>
      <c r="AS129" s="557">
        <f t="shared" si="317"/>
        <v>-8.0000000000000016E-2</v>
      </c>
      <c r="AT129" s="307">
        <f t="shared" si="317"/>
        <v>-0.21700000000000003</v>
      </c>
      <c r="AU129" s="564">
        <f t="shared" si="317"/>
        <v>35143727</v>
      </c>
      <c r="AV129" s="556">
        <f t="shared" si="317"/>
        <v>25484945</v>
      </c>
      <c r="AW129" s="556">
        <f t="shared" si="317"/>
        <v>23000</v>
      </c>
      <c r="AX129" s="556">
        <f t="shared" si="317"/>
        <v>8621685</v>
      </c>
      <c r="AY129" s="556">
        <f t="shared" si="317"/>
        <v>509699</v>
      </c>
      <c r="AZ129" s="556">
        <f t="shared" si="317"/>
        <v>504398</v>
      </c>
      <c r="BA129" s="557">
        <f t="shared" si="317"/>
        <v>53.385200000000005</v>
      </c>
      <c r="BB129" s="557">
        <f t="shared" si="317"/>
        <v>36.151800000000001</v>
      </c>
      <c r="BC129" s="307">
        <f t="shared" si="317"/>
        <v>17.2334</v>
      </c>
    </row>
    <row r="130" spans="1:55" ht="12.95" customHeight="1" x14ac:dyDescent="0.25">
      <c r="A130" s="309">
        <v>23</v>
      </c>
      <c r="B130" s="309">
        <v>5429</v>
      </c>
      <c r="C130" s="358">
        <v>600098656</v>
      </c>
      <c r="D130" s="309">
        <v>70698309</v>
      </c>
      <c r="E130" s="311" t="s">
        <v>474</v>
      </c>
      <c r="F130" s="309">
        <v>3111</v>
      </c>
      <c r="G130" s="373" t="s">
        <v>325</v>
      </c>
      <c r="H130" s="312" t="s">
        <v>277</v>
      </c>
      <c r="I130" s="477">
        <v>3270139</v>
      </c>
      <c r="J130" s="472">
        <v>2346692</v>
      </c>
      <c r="K130" s="472">
        <v>49500</v>
      </c>
      <c r="L130" s="472">
        <v>809913</v>
      </c>
      <c r="M130" s="472">
        <v>46934</v>
      </c>
      <c r="N130" s="472">
        <v>17100</v>
      </c>
      <c r="O130" s="473">
        <v>5.2899999999999991</v>
      </c>
      <c r="P130" s="474">
        <v>4.0999999999999996</v>
      </c>
      <c r="Q130" s="483">
        <v>1.19</v>
      </c>
      <c r="R130" s="485">
        <f t="shared" ref="R130:R132" si="318">Y130*-1</f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ref="AB130:AB132" si="319">SUM(Y130:AA130)</f>
        <v>0</v>
      </c>
      <c r="AC130" s="475">
        <f t="shared" ref="AC130:AC132" si="320">X130+AB130</f>
        <v>0</v>
      </c>
      <c r="AD130" s="70">
        <f t="shared" ref="AD130:AD132" si="321">ROUND((X130+Y130+Z130)*33.8%,0)</f>
        <v>0</v>
      </c>
      <c r="AE130" s="70">
        <f t="shared" ref="AE130:AE132" si="322">ROUND(X130*2%,0)</f>
        <v>0</v>
      </c>
      <c r="AF130" s="475">
        <v>0</v>
      </c>
      <c r="AG130" s="475">
        <v>0</v>
      </c>
      <c r="AH130" s="475">
        <f t="shared" ref="AH130:AH132" si="323">SUM(AF130:AG130)</f>
        <v>0</v>
      </c>
      <c r="AI130" s="475">
        <f t="shared" ref="AI130:AI132" si="324">AC130+AD130+AE130+AH130</f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ref="AT130:AT132" si="325">SUM(AR130:AS130)</f>
        <v>0</v>
      </c>
      <c r="AU130" s="484">
        <f>I130+AI130</f>
        <v>3270139</v>
      </c>
      <c r="AV130" s="475">
        <f>J130+X130</f>
        <v>2346692</v>
      </c>
      <c r="AW130" s="475">
        <f t="shared" ref="AW130:AW132" si="326">K130+AB130</f>
        <v>49500</v>
      </c>
      <c r="AX130" s="475">
        <f t="shared" ref="AX130:AY132" si="327">L130+AD130</f>
        <v>809913</v>
      </c>
      <c r="AY130" s="475">
        <f t="shared" si="327"/>
        <v>46934</v>
      </c>
      <c r="AZ130" s="475">
        <f>N130+AH130</f>
        <v>17100</v>
      </c>
      <c r="BA130" s="476">
        <f>O130+AT130</f>
        <v>5.2899999999999991</v>
      </c>
      <c r="BB130" s="476">
        <f t="shared" ref="BB130:BC132" si="328">P130+AR130</f>
        <v>4.0999999999999996</v>
      </c>
      <c r="BC130" s="478">
        <f t="shared" si="328"/>
        <v>1.19</v>
      </c>
    </row>
    <row r="131" spans="1:55" ht="12.95" customHeight="1" x14ac:dyDescent="0.25">
      <c r="A131" s="309">
        <v>23</v>
      </c>
      <c r="B131" s="349">
        <v>5429</v>
      </c>
      <c r="C131" s="350">
        <v>600098656</v>
      </c>
      <c r="D131" s="309">
        <v>70698309</v>
      </c>
      <c r="E131" s="377" t="s">
        <v>474</v>
      </c>
      <c r="F131" s="309">
        <v>3111</v>
      </c>
      <c r="G131" s="312" t="s">
        <v>312</v>
      </c>
      <c r="H131" s="312" t="s">
        <v>278</v>
      </c>
      <c r="I131" s="477">
        <v>-210</v>
      </c>
      <c r="J131" s="472">
        <v>-10500</v>
      </c>
      <c r="K131" s="472">
        <v>10500</v>
      </c>
      <c r="L131" s="472">
        <v>0</v>
      </c>
      <c r="M131" s="472">
        <v>-210</v>
      </c>
      <c r="N131" s="472">
        <v>0</v>
      </c>
      <c r="O131" s="473">
        <v>-0.04</v>
      </c>
      <c r="P131" s="474">
        <v>0</v>
      </c>
      <c r="Q131" s="483">
        <v>-0.04</v>
      </c>
      <c r="R131" s="485">
        <f t="shared" si="318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>SUM(R131:W131)</f>
        <v>0</v>
      </c>
      <c r="Y131" s="475">
        <v>0</v>
      </c>
      <c r="Z131" s="475">
        <v>0</v>
      </c>
      <c r="AA131" s="475">
        <v>0</v>
      </c>
      <c r="AB131" s="475">
        <f t="shared" si="319"/>
        <v>0</v>
      </c>
      <c r="AC131" s="475">
        <f t="shared" si="320"/>
        <v>0</v>
      </c>
      <c r="AD131" s="70">
        <f t="shared" si="321"/>
        <v>0</v>
      </c>
      <c r="AE131" s="70">
        <f t="shared" si="322"/>
        <v>0</v>
      </c>
      <c r="AF131" s="475">
        <v>0</v>
      </c>
      <c r="AG131" s="475">
        <v>0</v>
      </c>
      <c r="AH131" s="475">
        <f t="shared" si="323"/>
        <v>0</v>
      </c>
      <c r="AI131" s="475">
        <f t="shared" si="324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0</v>
      </c>
      <c r="AT131" s="478">
        <f t="shared" si="325"/>
        <v>0</v>
      </c>
      <c r="AU131" s="484">
        <f>I131+AI131</f>
        <v>-210</v>
      </c>
      <c r="AV131" s="475">
        <f>J131+X131</f>
        <v>-10500</v>
      </c>
      <c r="AW131" s="475">
        <f t="shared" si="326"/>
        <v>10500</v>
      </c>
      <c r="AX131" s="475">
        <f t="shared" si="327"/>
        <v>0</v>
      </c>
      <c r="AY131" s="475">
        <f t="shared" si="327"/>
        <v>-210</v>
      </c>
      <c r="AZ131" s="475">
        <f>N131+AH131</f>
        <v>0</v>
      </c>
      <c r="BA131" s="476">
        <f>O131+AT131</f>
        <v>-0.04</v>
      </c>
      <c r="BB131" s="476">
        <f t="shared" si="328"/>
        <v>0</v>
      </c>
      <c r="BC131" s="478">
        <f t="shared" si="328"/>
        <v>-0.04</v>
      </c>
    </row>
    <row r="132" spans="1:55" ht="12.95" customHeight="1" x14ac:dyDescent="0.25">
      <c r="A132" s="309">
        <v>23</v>
      </c>
      <c r="B132" s="349">
        <v>5429</v>
      </c>
      <c r="C132" s="350">
        <v>600098656</v>
      </c>
      <c r="D132" s="309">
        <v>70698309</v>
      </c>
      <c r="E132" s="377" t="s">
        <v>474</v>
      </c>
      <c r="F132" s="349">
        <v>3141</v>
      </c>
      <c r="G132" s="373" t="s">
        <v>315</v>
      </c>
      <c r="H132" s="312" t="s">
        <v>278</v>
      </c>
      <c r="I132" s="477">
        <v>739188</v>
      </c>
      <c r="J132" s="472">
        <v>542100</v>
      </c>
      <c r="K132" s="472">
        <v>0</v>
      </c>
      <c r="L132" s="472">
        <v>183230</v>
      </c>
      <c r="M132" s="472">
        <v>10842</v>
      </c>
      <c r="N132" s="472">
        <v>3016</v>
      </c>
      <c r="O132" s="473">
        <v>1.71</v>
      </c>
      <c r="P132" s="474">
        <v>0</v>
      </c>
      <c r="Q132" s="483">
        <v>1.71</v>
      </c>
      <c r="R132" s="485">
        <f t="shared" si="318"/>
        <v>0</v>
      </c>
      <c r="S132" s="475">
        <v>0</v>
      </c>
      <c r="T132" s="475">
        <v>-2637</v>
      </c>
      <c r="U132" s="475">
        <v>0</v>
      </c>
      <c r="V132" s="475">
        <v>0</v>
      </c>
      <c r="W132" s="475">
        <v>0</v>
      </c>
      <c r="X132" s="475">
        <f>SUM(R132:W132)</f>
        <v>-2637</v>
      </c>
      <c r="Y132" s="475">
        <v>0</v>
      </c>
      <c r="Z132" s="475">
        <v>0</v>
      </c>
      <c r="AA132" s="475">
        <v>0</v>
      </c>
      <c r="AB132" s="475">
        <f t="shared" si="319"/>
        <v>0</v>
      </c>
      <c r="AC132" s="475">
        <f t="shared" si="320"/>
        <v>-2637</v>
      </c>
      <c r="AD132" s="70">
        <f t="shared" si="321"/>
        <v>-891</v>
      </c>
      <c r="AE132" s="70">
        <f t="shared" si="322"/>
        <v>-53</v>
      </c>
      <c r="AF132" s="475">
        <v>0</v>
      </c>
      <c r="AG132" s="475">
        <v>0</v>
      </c>
      <c r="AH132" s="475">
        <f t="shared" si="323"/>
        <v>0</v>
      </c>
      <c r="AI132" s="475">
        <f t="shared" si="324"/>
        <v>-3581</v>
      </c>
      <c r="AJ132" s="476">
        <v>0</v>
      </c>
      <c r="AK132" s="476">
        <v>0</v>
      </c>
      <c r="AL132" s="476">
        <v>0</v>
      </c>
      <c r="AM132" s="476">
        <v>0</v>
      </c>
      <c r="AN132" s="476">
        <v>-0.01</v>
      </c>
      <c r="AO132" s="476">
        <v>0</v>
      </c>
      <c r="AP132" s="476">
        <v>0</v>
      </c>
      <c r="AQ132" s="476">
        <v>0</v>
      </c>
      <c r="AR132" s="476">
        <f>AJ132+AL132+AM132+AO132+AP132</f>
        <v>0</v>
      </c>
      <c r="AS132" s="476">
        <f>AK132+AN132+AQ132</f>
        <v>-0.01</v>
      </c>
      <c r="AT132" s="478">
        <f t="shared" si="325"/>
        <v>-0.01</v>
      </c>
      <c r="AU132" s="484">
        <f>I132+AI132</f>
        <v>735607</v>
      </c>
      <c r="AV132" s="475">
        <f>J132+X132</f>
        <v>539463</v>
      </c>
      <c r="AW132" s="475">
        <f t="shared" si="326"/>
        <v>0</v>
      </c>
      <c r="AX132" s="475">
        <f t="shared" si="327"/>
        <v>182339</v>
      </c>
      <c r="AY132" s="475">
        <f t="shared" si="327"/>
        <v>10789</v>
      </c>
      <c r="AZ132" s="475">
        <f>N132+AH132</f>
        <v>3016</v>
      </c>
      <c r="BA132" s="476">
        <f>O132+AT132</f>
        <v>1.7</v>
      </c>
      <c r="BB132" s="476">
        <f t="shared" si="328"/>
        <v>0</v>
      </c>
      <c r="BC132" s="478">
        <f t="shared" si="328"/>
        <v>1.7</v>
      </c>
    </row>
    <row r="133" spans="1:55" ht="12.95" customHeight="1" x14ac:dyDescent="0.25">
      <c r="A133" s="319">
        <v>23</v>
      </c>
      <c r="B133" s="353">
        <v>5429</v>
      </c>
      <c r="C133" s="354">
        <v>600098656</v>
      </c>
      <c r="D133" s="353">
        <v>70698309</v>
      </c>
      <c r="E133" s="378" t="s">
        <v>475</v>
      </c>
      <c r="F133" s="353"/>
      <c r="G133" s="379"/>
      <c r="H133" s="380"/>
      <c r="I133" s="560">
        <v>4009117</v>
      </c>
      <c r="J133" s="556">
        <v>2878292</v>
      </c>
      <c r="K133" s="556">
        <v>60000</v>
      </c>
      <c r="L133" s="556">
        <v>993143</v>
      </c>
      <c r="M133" s="556">
        <v>57566</v>
      </c>
      <c r="N133" s="556">
        <v>20116</v>
      </c>
      <c r="O133" s="557">
        <v>6.9599999999999991</v>
      </c>
      <c r="P133" s="557">
        <v>4.0999999999999996</v>
      </c>
      <c r="Q133" s="562">
        <v>2.86</v>
      </c>
      <c r="R133" s="560">
        <f t="shared" ref="R133:BC133" si="329">SUM(R130:R132)</f>
        <v>0</v>
      </c>
      <c r="S133" s="556">
        <f t="shared" si="329"/>
        <v>0</v>
      </c>
      <c r="T133" s="556">
        <f t="shared" si="329"/>
        <v>-2637</v>
      </c>
      <c r="U133" s="556">
        <f t="shared" si="329"/>
        <v>0</v>
      </c>
      <c r="V133" s="556">
        <f t="shared" si="329"/>
        <v>0</v>
      </c>
      <c r="W133" s="556">
        <f t="shared" si="329"/>
        <v>0</v>
      </c>
      <c r="X133" s="556">
        <f t="shared" si="329"/>
        <v>-2637</v>
      </c>
      <c r="Y133" s="556">
        <f t="shared" si="329"/>
        <v>0</v>
      </c>
      <c r="Z133" s="556">
        <f t="shared" si="329"/>
        <v>0</v>
      </c>
      <c r="AA133" s="556">
        <f t="shared" si="329"/>
        <v>0</v>
      </c>
      <c r="AB133" s="556">
        <f t="shared" si="329"/>
        <v>0</v>
      </c>
      <c r="AC133" s="556">
        <f t="shared" si="329"/>
        <v>-2637</v>
      </c>
      <c r="AD133" s="556">
        <f t="shared" si="329"/>
        <v>-891</v>
      </c>
      <c r="AE133" s="556">
        <f t="shared" si="329"/>
        <v>-53</v>
      </c>
      <c r="AF133" s="556">
        <f t="shared" si="329"/>
        <v>0</v>
      </c>
      <c r="AG133" s="556">
        <f t="shared" si="329"/>
        <v>0</v>
      </c>
      <c r="AH133" s="556">
        <f t="shared" si="329"/>
        <v>0</v>
      </c>
      <c r="AI133" s="556">
        <f t="shared" si="329"/>
        <v>-3581</v>
      </c>
      <c r="AJ133" s="557">
        <f t="shared" si="329"/>
        <v>0</v>
      </c>
      <c r="AK133" s="557">
        <f t="shared" si="329"/>
        <v>0</v>
      </c>
      <c r="AL133" s="557">
        <f t="shared" si="329"/>
        <v>0</v>
      </c>
      <c r="AM133" s="557">
        <f t="shared" si="329"/>
        <v>0</v>
      </c>
      <c r="AN133" s="557">
        <f t="shared" si="329"/>
        <v>-0.01</v>
      </c>
      <c r="AO133" s="557">
        <f t="shared" si="329"/>
        <v>0</v>
      </c>
      <c r="AP133" s="557">
        <f t="shared" si="329"/>
        <v>0</v>
      </c>
      <c r="AQ133" s="557">
        <f t="shared" si="329"/>
        <v>0</v>
      </c>
      <c r="AR133" s="557">
        <f t="shared" si="329"/>
        <v>0</v>
      </c>
      <c r="AS133" s="557">
        <f t="shared" si="329"/>
        <v>-0.01</v>
      </c>
      <c r="AT133" s="307">
        <f t="shared" si="329"/>
        <v>-0.01</v>
      </c>
      <c r="AU133" s="564">
        <f t="shared" si="329"/>
        <v>4005536</v>
      </c>
      <c r="AV133" s="556">
        <f t="shared" si="329"/>
        <v>2875655</v>
      </c>
      <c r="AW133" s="556">
        <f t="shared" si="329"/>
        <v>60000</v>
      </c>
      <c r="AX133" s="556">
        <f t="shared" si="329"/>
        <v>992252</v>
      </c>
      <c r="AY133" s="556">
        <f t="shared" si="329"/>
        <v>57513</v>
      </c>
      <c r="AZ133" s="556">
        <f t="shared" si="329"/>
        <v>20116</v>
      </c>
      <c r="BA133" s="557">
        <f t="shared" si="329"/>
        <v>6.9499999999999993</v>
      </c>
      <c r="BB133" s="557">
        <f t="shared" si="329"/>
        <v>4.0999999999999996</v>
      </c>
      <c r="BC133" s="307">
        <f t="shared" si="329"/>
        <v>2.8499999999999996</v>
      </c>
    </row>
    <row r="134" spans="1:55" ht="12.95" customHeight="1" x14ac:dyDescent="0.25">
      <c r="A134" s="309">
        <v>24</v>
      </c>
      <c r="B134" s="349">
        <v>5468</v>
      </c>
      <c r="C134" s="350">
        <v>600099083</v>
      </c>
      <c r="D134" s="309">
        <v>70698317</v>
      </c>
      <c r="E134" s="377" t="s">
        <v>476</v>
      </c>
      <c r="F134" s="349">
        <v>3117</v>
      </c>
      <c r="G134" s="373" t="s">
        <v>329</v>
      </c>
      <c r="H134" s="312" t="s">
        <v>277</v>
      </c>
      <c r="I134" s="477">
        <v>2439014</v>
      </c>
      <c r="J134" s="472">
        <v>1775886</v>
      </c>
      <c r="K134" s="472">
        <v>0</v>
      </c>
      <c r="L134" s="472">
        <v>600250</v>
      </c>
      <c r="M134" s="472">
        <v>35518</v>
      </c>
      <c r="N134" s="472">
        <v>27360</v>
      </c>
      <c r="O134" s="473">
        <v>3.3052999999999999</v>
      </c>
      <c r="P134" s="474">
        <v>2.4089999999999998</v>
      </c>
      <c r="Q134" s="483">
        <v>0.8963000000000001</v>
      </c>
      <c r="R134" s="485">
        <f t="shared" ref="R134:R137" si="330">Y134*-1</f>
        <v>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>SUM(R134:W134)</f>
        <v>0</v>
      </c>
      <c r="Y134" s="475">
        <v>0</v>
      </c>
      <c r="Z134" s="475">
        <v>0</v>
      </c>
      <c r="AA134" s="475">
        <v>0</v>
      </c>
      <c r="AB134" s="475">
        <f t="shared" ref="AB134:AB137" si="331">SUM(Y134:AA134)</f>
        <v>0</v>
      </c>
      <c r="AC134" s="475">
        <f t="shared" ref="AC134:AC137" si="332">X134+AB134</f>
        <v>0</v>
      </c>
      <c r="AD134" s="70">
        <f t="shared" ref="AD134:AD137" si="333">ROUND((X134+Y134+Z134)*33.8%,0)</f>
        <v>0</v>
      </c>
      <c r="AE134" s="70">
        <f t="shared" ref="AE134:AE137" si="334">ROUND(X134*2%,0)</f>
        <v>0</v>
      </c>
      <c r="AF134" s="475">
        <v>0</v>
      </c>
      <c r="AG134" s="475">
        <v>0</v>
      </c>
      <c r="AH134" s="475">
        <f t="shared" ref="AH134:AH137" si="335">SUM(AF134:AG134)</f>
        <v>0</v>
      </c>
      <c r="AI134" s="475">
        <f t="shared" ref="AI134:AI137" si="336">AC134+AD134+AE134+AH134</f>
        <v>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>AJ134+AL134+AM134+AO134+AP134</f>
        <v>0</v>
      </c>
      <c r="AS134" s="476">
        <f>AK134+AN134+AQ134</f>
        <v>0</v>
      </c>
      <c r="AT134" s="478">
        <f t="shared" ref="AT134:AT137" si="337">SUM(AR134:AS134)</f>
        <v>0</v>
      </c>
      <c r="AU134" s="484">
        <f>I134+AI134</f>
        <v>2439014</v>
      </c>
      <c r="AV134" s="475">
        <f>J134+X134</f>
        <v>1775886</v>
      </c>
      <c r="AW134" s="475">
        <f t="shared" ref="AW134:AW137" si="338">K134+AB134</f>
        <v>0</v>
      </c>
      <c r="AX134" s="475">
        <f t="shared" ref="AX134:AY137" si="339">L134+AD134</f>
        <v>600250</v>
      </c>
      <c r="AY134" s="475">
        <f t="shared" si="339"/>
        <v>35518</v>
      </c>
      <c r="AZ134" s="475">
        <f>N134+AH134</f>
        <v>27360</v>
      </c>
      <c r="BA134" s="476">
        <f>O134+AT134</f>
        <v>3.3052999999999999</v>
      </c>
      <c r="BB134" s="476">
        <f t="shared" ref="BB134:BC137" si="340">P134+AR134</f>
        <v>2.4089999999999998</v>
      </c>
      <c r="BC134" s="478">
        <f t="shared" si="340"/>
        <v>0.8963000000000001</v>
      </c>
    </row>
    <row r="135" spans="1:55" ht="12.95" customHeight="1" x14ac:dyDescent="0.25">
      <c r="A135" s="309">
        <v>24</v>
      </c>
      <c r="B135" s="349">
        <v>5468</v>
      </c>
      <c r="C135" s="350">
        <v>600099083</v>
      </c>
      <c r="D135" s="309">
        <v>70698317</v>
      </c>
      <c r="E135" s="377" t="s">
        <v>476</v>
      </c>
      <c r="F135" s="349">
        <v>3117</v>
      </c>
      <c r="G135" s="312" t="s">
        <v>312</v>
      </c>
      <c r="H135" s="312" t="s">
        <v>278</v>
      </c>
      <c r="I135" s="477">
        <v>69953</v>
      </c>
      <c r="J135" s="472">
        <v>51512</v>
      </c>
      <c r="K135" s="472">
        <v>0</v>
      </c>
      <c r="L135" s="472">
        <v>17411</v>
      </c>
      <c r="M135" s="472">
        <v>1030</v>
      </c>
      <c r="N135" s="472">
        <v>0</v>
      </c>
      <c r="O135" s="473">
        <v>0.13999999999999999</v>
      </c>
      <c r="P135" s="474">
        <v>0.13999999999999999</v>
      </c>
      <c r="Q135" s="483">
        <v>0</v>
      </c>
      <c r="R135" s="485">
        <f t="shared" si="330"/>
        <v>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>SUM(R135:W135)</f>
        <v>0</v>
      </c>
      <c r="Y135" s="475">
        <v>0</v>
      </c>
      <c r="Z135" s="475">
        <v>0</v>
      </c>
      <c r="AA135" s="475">
        <v>0</v>
      </c>
      <c r="AB135" s="475">
        <f t="shared" si="331"/>
        <v>0</v>
      </c>
      <c r="AC135" s="475">
        <f t="shared" si="332"/>
        <v>0</v>
      </c>
      <c r="AD135" s="70">
        <f t="shared" si="333"/>
        <v>0</v>
      </c>
      <c r="AE135" s="70">
        <f t="shared" si="334"/>
        <v>0</v>
      </c>
      <c r="AF135" s="475">
        <v>0</v>
      </c>
      <c r="AG135" s="475">
        <v>0</v>
      </c>
      <c r="AH135" s="475">
        <f t="shared" si="335"/>
        <v>0</v>
      </c>
      <c r="AI135" s="475">
        <f t="shared" si="336"/>
        <v>0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476">
        <f>AJ135+AL135+AM135+AO135+AP135</f>
        <v>0</v>
      </c>
      <c r="AS135" s="476">
        <f>AK135+AN135+AQ135</f>
        <v>0</v>
      </c>
      <c r="AT135" s="478">
        <f t="shared" si="337"/>
        <v>0</v>
      </c>
      <c r="AU135" s="484">
        <f>I135+AI135</f>
        <v>69953</v>
      </c>
      <c r="AV135" s="475">
        <f>J135+X135</f>
        <v>51512</v>
      </c>
      <c r="AW135" s="475">
        <f t="shared" si="338"/>
        <v>0</v>
      </c>
      <c r="AX135" s="475">
        <f t="shared" si="339"/>
        <v>17411</v>
      </c>
      <c r="AY135" s="475">
        <f t="shared" si="339"/>
        <v>1030</v>
      </c>
      <c r="AZ135" s="475">
        <f>N135+AH135</f>
        <v>0</v>
      </c>
      <c r="BA135" s="476">
        <f>O135+AT135</f>
        <v>0.13999999999999999</v>
      </c>
      <c r="BB135" s="476">
        <f t="shared" si="340"/>
        <v>0.13999999999999999</v>
      </c>
      <c r="BC135" s="478">
        <f t="shared" si="340"/>
        <v>0</v>
      </c>
    </row>
    <row r="136" spans="1:55" ht="12.95" customHeight="1" x14ac:dyDescent="0.25">
      <c r="A136" s="309">
        <v>24</v>
      </c>
      <c r="B136" s="349">
        <v>5468</v>
      </c>
      <c r="C136" s="350">
        <v>600099083</v>
      </c>
      <c r="D136" s="309">
        <v>70698317</v>
      </c>
      <c r="E136" s="377" t="s">
        <v>476</v>
      </c>
      <c r="F136" s="349">
        <v>3143</v>
      </c>
      <c r="G136" s="312" t="s">
        <v>626</v>
      </c>
      <c r="H136" s="312" t="s">
        <v>277</v>
      </c>
      <c r="I136" s="477">
        <v>545527</v>
      </c>
      <c r="J136" s="472">
        <v>401714</v>
      </c>
      <c r="K136" s="472">
        <v>0</v>
      </c>
      <c r="L136" s="472">
        <v>135779</v>
      </c>
      <c r="M136" s="472">
        <v>8034</v>
      </c>
      <c r="N136" s="472">
        <v>0</v>
      </c>
      <c r="O136" s="473">
        <v>0.83930000000000005</v>
      </c>
      <c r="P136" s="474">
        <v>0.83930000000000005</v>
      </c>
      <c r="Q136" s="483">
        <v>0</v>
      </c>
      <c r="R136" s="485">
        <f t="shared" si="330"/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>SUM(R136:W136)</f>
        <v>0</v>
      </c>
      <c r="Y136" s="475">
        <v>0</v>
      </c>
      <c r="Z136" s="475">
        <v>0</v>
      </c>
      <c r="AA136" s="475">
        <v>0</v>
      </c>
      <c r="AB136" s="475">
        <f t="shared" si="331"/>
        <v>0</v>
      </c>
      <c r="AC136" s="475">
        <f t="shared" si="332"/>
        <v>0</v>
      </c>
      <c r="AD136" s="70">
        <f t="shared" si="333"/>
        <v>0</v>
      </c>
      <c r="AE136" s="70">
        <f t="shared" si="334"/>
        <v>0</v>
      </c>
      <c r="AF136" s="475">
        <v>0</v>
      </c>
      <c r="AG136" s="475">
        <v>0</v>
      </c>
      <c r="AH136" s="475">
        <f t="shared" si="335"/>
        <v>0</v>
      </c>
      <c r="AI136" s="475">
        <f t="shared" si="336"/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>AJ136+AL136+AM136+AO136+AP136</f>
        <v>0</v>
      </c>
      <c r="AS136" s="476">
        <f>AK136+AN136+AQ136</f>
        <v>0</v>
      </c>
      <c r="AT136" s="478">
        <f t="shared" si="337"/>
        <v>0</v>
      </c>
      <c r="AU136" s="484">
        <f>I136+AI136</f>
        <v>545527</v>
      </c>
      <c r="AV136" s="475">
        <f>J136+X136</f>
        <v>401714</v>
      </c>
      <c r="AW136" s="475">
        <f t="shared" si="338"/>
        <v>0</v>
      </c>
      <c r="AX136" s="475">
        <f t="shared" si="339"/>
        <v>135779</v>
      </c>
      <c r="AY136" s="475">
        <f t="shared" si="339"/>
        <v>8034</v>
      </c>
      <c r="AZ136" s="475">
        <f>N136+AH136</f>
        <v>0</v>
      </c>
      <c r="BA136" s="476">
        <f>O136+AT136</f>
        <v>0.83930000000000005</v>
      </c>
      <c r="BB136" s="476">
        <f t="shared" si="340"/>
        <v>0.83930000000000005</v>
      </c>
      <c r="BC136" s="478">
        <f t="shared" si="340"/>
        <v>0</v>
      </c>
    </row>
    <row r="137" spans="1:55" ht="12.95" customHeight="1" x14ac:dyDescent="0.25">
      <c r="A137" s="309">
        <v>24</v>
      </c>
      <c r="B137" s="349">
        <v>5468</v>
      </c>
      <c r="C137" s="350">
        <v>600099083</v>
      </c>
      <c r="D137" s="309">
        <v>70698317</v>
      </c>
      <c r="E137" s="377" t="s">
        <v>476</v>
      </c>
      <c r="F137" s="349">
        <v>3143</v>
      </c>
      <c r="G137" s="312" t="s">
        <v>627</v>
      </c>
      <c r="H137" s="312" t="s">
        <v>278</v>
      </c>
      <c r="I137" s="477">
        <v>11339</v>
      </c>
      <c r="J137" s="472">
        <v>8019</v>
      </c>
      <c r="K137" s="472">
        <v>0</v>
      </c>
      <c r="L137" s="472">
        <v>2710</v>
      </c>
      <c r="M137" s="472">
        <v>160</v>
      </c>
      <c r="N137" s="472">
        <v>450</v>
      </c>
      <c r="O137" s="473">
        <v>0.03</v>
      </c>
      <c r="P137" s="474">
        <v>0</v>
      </c>
      <c r="Q137" s="483">
        <v>0.03</v>
      </c>
      <c r="R137" s="485">
        <f t="shared" si="330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>SUM(R137:W137)</f>
        <v>0</v>
      </c>
      <c r="Y137" s="475">
        <v>0</v>
      </c>
      <c r="Z137" s="475">
        <v>0</v>
      </c>
      <c r="AA137" s="475">
        <v>0</v>
      </c>
      <c r="AB137" s="475">
        <f t="shared" si="331"/>
        <v>0</v>
      </c>
      <c r="AC137" s="475">
        <f t="shared" si="332"/>
        <v>0</v>
      </c>
      <c r="AD137" s="70">
        <f t="shared" si="333"/>
        <v>0</v>
      </c>
      <c r="AE137" s="70">
        <f t="shared" si="334"/>
        <v>0</v>
      </c>
      <c r="AF137" s="475">
        <v>0</v>
      </c>
      <c r="AG137" s="475">
        <v>0</v>
      </c>
      <c r="AH137" s="475">
        <f t="shared" si="335"/>
        <v>0</v>
      </c>
      <c r="AI137" s="475">
        <f t="shared" si="336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>AJ137+AL137+AM137+AO137+AP137</f>
        <v>0</v>
      </c>
      <c r="AS137" s="476">
        <f>AK137+AN137+AQ137</f>
        <v>0</v>
      </c>
      <c r="AT137" s="478">
        <f t="shared" si="337"/>
        <v>0</v>
      </c>
      <c r="AU137" s="484">
        <f>I137+AI137</f>
        <v>11339</v>
      </c>
      <c r="AV137" s="475">
        <f>J137+X137</f>
        <v>8019</v>
      </c>
      <c r="AW137" s="475">
        <f t="shared" si="338"/>
        <v>0</v>
      </c>
      <c r="AX137" s="475">
        <f t="shared" si="339"/>
        <v>2710</v>
      </c>
      <c r="AY137" s="475">
        <f t="shared" si="339"/>
        <v>160</v>
      </c>
      <c r="AZ137" s="475">
        <f>N137+AH137</f>
        <v>450</v>
      </c>
      <c r="BA137" s="476">
        <f>O137+AT137</f>
        <v>0.03</v>
      </c>
      <c r="BB137" s="476">
        <f t="shared" si="340"/>
        <v>0</v>
      </c>
      <c r="BC137" s="478">
        <f t="shared" si="340"/>
        <v>0.03</v>
      </c>
    </row>
    <row r="138" spans="1:55" ht="12.95" customHeight="1" x14ac:dyDescent="0.25">
      <c r="A138" s="319">
        <v>24</v>
      </c>
      <c r="B138" s="353">
        <v>5468</v>
      </c>
      <c r="C138" s="354">
        <v>600099083</v>
      </c>
      <c r="D138" s="353">
        <v>70698317</v>
      </c>
      <c r="E138" s="378" t="s">
        <v>477</v>
      </c>
      <c r="F138" s="353"/>
      <c r="G138" s="379"/>
      <c r="H138" s="380"/>
      <c r="I138" s="560">
        <v>3065833</v>
      </c>
      <c r="J138" s="556">
        <v>2237131</v>
      </c>
      <c r="K138" s="556">
        <v>0</v>
      </c>
      <c r="L138" s="556">
        <v>756150</v>
      </c>
      <c r="M138" s="556">
        <v>44742</v>
      </c>
      <c r="N138" s="556">
        <v>27810</v>
      </c>
      <c r="O138" s="557">
        <v>4.3146000000000004</v>
      </c>
      <c r="P138" s="557">
        <v>3.3883000000000001</v>
      </c>
      <c r="Q138" s="562">
        <v>0.92630000000000012</v>
      </c>
      <c r="R138" s="560">
        <f t="shared" ref="R138:BC138" si="341">SUM(R134:R137)</f>
        <v>0</v>
      </c>
      <c r="S138" s="556">
        <f t="shared" si="341"/>
        <v>0</v>
      </c>
      <c r="T138" s="556">
        <f t="shared" si="341"/>
        <v>0</v>
      </c>
      <c r="U138" s="556">
        <f t="shared" si="341"/>
        <v>0</v>
      </c>
      <c r="V138" s="556">
        <f t="shared" si="341"/>
        <v>0</v>
      </c>
      <c r="W138" s="556">
        <f t="shared" si="341"/>
        <v>0</v>
      </c>
      <c r="X138" s="556">
        <f t="shared" si="341"/>
        <v>0</v>
      </c>
      <c r="Y138" s="556">
        <f t="shared" si="341"/>
        <v>0</v>
      </c>
      <c r="Z138" s="556">
        <f t="shared" si="341"/>
        <v>0</v>
      </c>
      <c r="AA138" s="556">
        <f t="shared" si="341"/>
        <v>0</v>
      </c>
      <c r="AB138" s="556">
        <f t="shared" si="341"/>
        <v>0</v>
      </c>
      <c r="AC138" s="556">
        <f t="shared" si="341"/>
        <v>0</v>
      </c>
      <c r="AD138" s="556">
        <f t="shared" si="341"/>
        <v>0</v>
      </c>
      <c r="AE138" s="556">
        <f t="shared" si="341"/>
        <v>0</v>
      </c>
      <c r="AF138" s="556">
        <f t="shared" si="341"/>
        <v>0</v>
      </c>
      <c r="AG138" s="556">
        <f t="shared" si="341"/>
        <v>0</v>
      </c>
      <c r="AH138" s="556">
        <f t="shared" si="341"/>
        <v>0</v>
      </c>
      <c r="AI138" s="556">
        <f t="shared" si="341"/>
        <v>0</v>
      </c>
      <c r="AJ138" s="557">
        <f t="shared" si="341"/>
        <v>0</v>
      </c>
      <c r="AK138" s="557">
        <f t="shared" si="341"/>
        <v>0</v>
      </c>
      <c r="AL138" s="557">
        <f t="shared" si="341"/>
        <v>0</v>
      </c>
      <c r="AM138" s="557">
        <f t="shared" si="341"/>
        <v>0</v>
      </c>
      <c r="AN138" s="557">
        <f t="shared" si="341"/>
        <v>0</v>
      </c>
      <c r="AO138" s="557">
        <f t="shared" si="341"/>
        <v>0</v>
      </c>
      <c r="AP138" s="557">
        <f t="shared" si="341"/>
        <v>0</v>
      </c>
      <c r="AQ138" s="557">
        <f t="shared" si="341"/>
        <v>0</v>
      </c>
      <c r="AR138" s="557">
        <f t="shared" si="341"/>
        <v>0</v>
      </c>
      <c r="AS138" s="557">
        <f t="shared" si="341"/>
        <v>0</v>
      </c>
      <c r="AT138" s="307">
        <f t="shared" si="341"/>
        <v>0</v>
      </c>
      <c r="AU138" s="564">
        <f t="shared" si="341"/>
        <v>3065833</v>
      </c>
      <c r="AV138" s="556">
        <f t="shared" si="341"/>
        <v>2237131</v>
      </c>
      <c r="AW138" s="556">
        <f t="shared" si="341"/>
        <v>0</v>
      </c>
      <c r="AX138" s="556">
        <f t="shared" si="341"/>
        <v>756150</v>
      </c>
      <c r="AY138" s="556">
        <f t="shared" si="341"/>
        <v>44742</v>
      </c>
      <c r="AZ138" s="556">
        <f t="shared" si="341"/>
        <v>27810</v>
      </c>
      <c r="BA138" s="557">
        <f t="shared" si="341"/>
        <v>4.3146000000000004</v>
      </c>
      <c r="BB138" s="557">
        <f t="shared" si="341"/>
        <v>3.3883000000000001</v>
      </c>
      <c r="BC138" s="307">
        <f t="shared" si="341"/>
        <v>0.92630000000000012</v>
      </c>
    </row>
    <row r="139" spans="1:55" ht="12.95" customHeight="1" x14ac:dyDescent="0.25">
      <c r="A139" s="309">
        <v>25</v>
      </c>
      <c r="B139" s="349">
        <v>5488</v>
      </c>
      <c r="C139" s="350">
        <v>600099326</v>
      </c>
      <c r="D139" s="309">
        <v>70695393</v>
      </c>
      <c r="E139" s="377" t="s">
        <v>478</v>
      </c>
      <c r="F139" s="349">
        <v>3111</v>
      </c>
      <c r="G139" s="373" t="s">
        <v>325</v>
      </c>
      <c r="H139" s="312" t="s">
        <v>277</v>
      </c>
      <c r="I139" s="477">
        <v>666682</v>
      </c>
      <c r="J139" s="472">
        <v>488610</v>
      </c>
      <c r="K139" s="472">
        <v>0</v>
      </c>
      <c r="L139" s="472">
        <v>165150</v>
      </c>
      <c r="M139" s="472">
        <v>9772</v>
      </c>
      <c r="N139" s="472">
        <v>3150</v>
      </c>
      <c r="O139" s="473">
        <v>1.2471000000000001</v>
      </c>
      <c r="P139" s="474">
        <v>0.99890000000000001</v>
      </c>
      <c r="Q139" s="483">
        <v>0.2482</v>
      </c>
      <c r="R139" s="485">
        <f t="shared" ref="R139:R144" si="342">Y139*-1</f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ref="X139:X144" si="343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44">SUM(Y139:AA139)</f>
        <v>0</v>
      </c>
      <c r="AC139" s="475">
        <f t="shared" ref="AC139:AC144" si="345">X139+AB139</f>
        <v>0</v>
      </c>
      <c r="AD139" s="70">
        <f t="shared" ref="AD139:AD144" si="346">ROUND((X139+Y139+Z139)*33.8%,0)</f>
        <v>0</v>
      </c>
      <c r="AE139" s="70">
        <f t="shared" ref="AE139:AE144" si="347">ROUND(X139*2%,0)</f>
        <v>0</v>
      </c>
      <c r="AF139" s="475">
        <v>0</v>
      </c>
      <c r="AG139" s="475">
        <v>0</v>
      </c>
      <c r="AH139" s="475">
        <f t="shared" ref="AH139:AH144" si="348">SUM(AF139:AG139)</f>
        <v>0</v>
      </c>
      <c r="AI139" s="475">
        <f t="shared" ref="AI139:AI144" si="349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476">
        <f t="shared" ref="AR139:AR144" si="350">AJ139+AL139+AM139+AO139+AP139</f>
        <v>0</v>
      </c>
      <c r="AS139" s="476">
        <f t="shared" ref="AS139:AS144" si="351">AK139+AN139+AQ139</f>
        <v>0</v>
      </c>
      <c r="AT139" s="478">
        <f t="shared" ref="AT139:AT144" si="352">SUM(AR139:AS139)</f>
        <v>0</v>
      </c>
      <c r="AU139" s="484">
        <f t="shared" ref="AU139:AU144" si="353">I139+AI139</f>
        <v>666682</v>
      </c>
      <c r="AV139" s="475">
        <f t="shared" ref="AV139:AV144" si="354">J139+X139</f>
        <v>488610</v>
      </c>
      <c r="AW139" s="475">
        <f t="shared" ref="AW139:AW144" si="355">K139+AB139</f>
        <v>0</v>
      </c>
      <c r="AX139" s="475">
        <f t="shared" ref="AX139:AY144" si="356">L139+AD139</f>
        <v>165150</v>
      </c>
      <c r="AY139" s="475">
        <f t="shared" si="356"/>
        <v>9772</v>
      </c>
      <c r="AZ139" s="475">
        <f t="shared" ref="AZ139:AZ144" si="357">N139+AH139</f>
        <v>3150</v>
      </c>
      <c r="BA139" s="476">
        <f t="shared" ref="BA139:BA144" si="358">O139+AT139</f>
        <v>1.2471000000000001</v>
      </c>
      <c r="BB139" s="476">
        <f t="shared" ref="BB139:BC144" si="359">P139+AR139</f>
        <v>0.99890000000000001</v>
      </c>
      <c r="BC139" s="478">
        <f t="shared" si="359"/>
        <v>0.2482</v>
      </c>
    </row>
    <row r="140" spans="1:55" ht="12.95" customHeight="1" x14ac:dyDescent="0.25">
      <c r="A140" s="309">
        <v>25</v>
      </c>
      <c r="B140" s="349">
        <v>5488</v>
      </c>
      <c r="C140" s="350">
        <v>600099326</v>
      </c>
      <c r="D140" s="309">
        <v>70695393</v>
      </c>
      <c r="E140" s="377" t="s">
        <v>478</v>
      </c>
      <c r="F140" s="349">
        <v>3117</v>
      </c>
      <c r="G140" s="373" t="s">
        <v>329</v>
      </c>
      <c r="H140" s="312" t="s">
        <v>277</v>
      </c>
      <c r="I140" s="477">
        <v>2701028</v>
      </c>
      <c r="J140" s="472">
        <v>1972605</v>
      </c>
      <c r="K140" s="472">
        <v>0</v>
      </c>
      <c r="L140" s="472">
        <v>666741</v>
      </c>
      <c r="M140" s="472">
        <v>39452</v>
      </c>
      <c r="N140" s="472">
        <v>22230</v>
      </c>
      <c r="O140" s="473">
        <v>3.8931999999999998</v>
      </c>
      <c r="P140" s="474">
        <v>2.4794999999999998</v>
      </c>
      <c r="Q140" s="483">
        <v>1.4137</v>
      </c>
      <c r="R140" s="485">
        <f t="shared" si="342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43"/>
        <v>0</v>
      </c>
      <c r="Y140" s="475">
        <v>0</v>
      </c>
      <c r="Z140" s="475">
        <v>0</v>
      </c>
      <c r="AA140" s="475">
        <v>0</v>
      </c>
      <c r="AB140" s="475">
        <f t="shared" si="344"/>
        <v>0</v>
      </c>
      <c r="AC140" s="475">
        <f t="shared" si="345"/>
        <v>0</v>
      </c>
      <c r="AD140" s="70">
        <f t="shared" si="346"/>
        <v>0</v>
      </c>
      <c r="AE140" s="70">
        <f t="shared" si="347"/>
        <v>0</v>
      </c>
      <c r="AF140" s="475">
        <v>0</v>
      </c>
      <c r="AG140" s="475">
        <v>0</v>
      </c>
      <c r="AH140" s="475">
        <f t="shared" si="348"/>
        <v>0</v>
      </c>
      <c r="AI140" s="475">
        <f t="shared" si="349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si="350"/>
        <v>0</v>
      </c>
      <c r="AS140" s="476">
        <f t="shared" si="351"/>
        <v>0</v>
      </c>
      <c r="AT140" s="478">
        <f t="shared" si="352"/>
        <v>0</v>
      </c>
      <c r="AU140" s="484">
        <f t="shared" si="353"/>
        <v>2701028</v>
      </c>
      <c r="AV140" s="475">
        <f t="shared" si="354"/>
        <v>1972605</v>
      </c>
      <c r="AW140" s="475">
        <f t="shared" si="355"/>
        <v>0</v>
      </c>
      <c r="AX140" s="475">
        <f t="shared" si="356"/>
        <v>666741</v>
      </c>
      <c r="AY140" s="475">
        <f t="shared" si="356"/>
        <v>39452</v>
      </c>
      <c r="AZ140" s="475">
        <f t="shared" si="357"/>
        <v>22230</v>
      </c>
      <c r="BA140" s="476">
        <f t="shared" si="358"/>
        <v>3.8931999999999998</v>
      </c>
      <c r="BB140" s="476">
        <f t="shared" si="359"/>
        <v>2.4794999999999998</v>
      </c>
      <c r="BC140" s="478">
        <f t="shared" si="359"/>
        <v>1.4137</v>
      </c>
    </row>
    <row r="141" spans="1:55" ht="12.95" customHeight="1" x14ac:dyDescent="0.25">
      <c r="A141" s="309">
        <v>25</v>
      </c>
      <c r="B141" s="349">
        <v>5488</v>
      </c>
      <c r="C141" s="350">
        <v>600099326</v>
      </c>
      <c r="D141" s="309">
        <v>70695393</v>
      </c>
      <c r="E141" s="377" t="s">
        <v>478</v>
      </c>
      <c r="F141" s="349">
        <v>3117</v>
      </c>
      <c r="G141" s="312" t="s">
        <v>312</v>
      </c>
      <c r="H141" s="312" t="s">
        <v>278</v>
      </c>
      <c r="I141" s="477">
        <v>243090</v>
      </c>
      <c r="J141" s="472">
        <v>179006</v>
      </c>
      <c r="K141" s="472">
        <v>0</v>
      </c>
      <c r="L141" s="472">
        <v>60504</v>
      </c>
      <c r="M141" s="472">
        <v>3580</v>
      </c>
      <c r="N141" s="472">
        <v>0</v>
      </c>
      <c r="O141" s="473">
        <v>0.51</v>
      </c>
      <c r="P141" s="474">
        <v>0.51</v>
      </c>
      <c r="Q141" s="483">
        <v>0</v>
      </c>
      <c r="R141" s="485">
        <f t="shared" si="342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43"/>
        <v>0</v>
      </c>
      <c r="Y141" s="475">
        <v>0</v>
      </c>
      <c r="Z141" s="475">
        <v>0</v>
      </c>
      <c r="AA141" s="475">
        <v>0</v>
      </c>
      <c r="AB141" s="475">
        <f t="shared" si="344"/>
        <v>0</v>
      </c>
      <c r="AC141" s="475">
        <f t="shared" si="345"/>
        <v>0</v>
      </c>
      <c r="AD141" s="70">
        <f t="shared" si="346"/>
        <v>0</v>
      </c>
      <c r="AE141" s="70">
        <f t="shared" si="347"/>
        <v>0</v>
      </c>
      <c r="AF141" s="475">
        <v>0</v>
      </c>
      <c r="AG141" s="475">
        <v>0</v>
      </c>
      <c r="AH141" s="475">
        <f t="shared" si="348"/>
        <v>0</v>
      </c>
      <c r="AI141" s="475">
        <f t="shared" si="349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si="350"/>
        <v>0</v>
      </c>
      <c r="AS141" s="476">
        <f t="shared" si="351"/>
        <v>0</v>
      </c>
      <c r="AT141" s="478">
        <f t="shared" si="352"/>
        <v>0</v>
      </c>
      <c r="AU141" s="484">
        <f t="shared" si="353"/>
        <v>243090</v>
      </c>
      <c r="AV141" s="475">
        <f t="shared" si="354"/>
        <v>179006</v>
      </c>
      <c r="AW141" s="475">
        <f t="shared" si="355"/>
        <v>0</v>
      </c>
      <c r="AX141" s="475">
        <f t="shared" si="356"/>
        <v>60504</v>
      </c>
      <c r="AY141" s="475">
        <f t="shared" si="356"/>
        <v>3580</v>
      </c>
      <c r="AZ141" s="475">
        <f t="shared" si="357"/>
        <v>0</v>
      </c>
      <c r="BA141" s="476">
        <f t="shared" si="358"/>
        <v>0.51</v>
      </c>
      <c r="BB141" s="476">
        <f t="shared" si="359"/>
        <v>0.51</v>
      </c>
      <c r="BC141" s="478">
        <f t="shared" si="359"/>
        <v>0</v>
      </c>
    </row>
    <row r="142" spans="1:55" ht="12.95" customHeight="1" x14ac:dyDescent="0.25">
      <c r="A142" s="309">
        <v>25</v>
      </c>
      <c r="B142" s="349">
        <v>5488</v>
      </c>
      <c r="C142" s="350">
        <v>600099326</v>
      </c>
      <c r="D142" s="309">
        <v>70695393</v>
      </c>
      <c r="E142" s="377" t="s">
        <v>478</v>
      </c>
      <c r="F142" s="349">
        <v>3141</v>
      </c>
      <c r="G142" s="373" t="s">
        <v>315</v>
      </c>
      <c r="H142" s="312" t="s">
        <v>278</v>
      </c>
      <c r="I142" s="477">
        <v>288922</v>
      </c>
      <c r="J142" s="472">
        <v>211901</v>
      </c>
      <c r="K142" s="472">
        <v>0</v>
      </c>
      <c r="L142" s="472">
        <v>71623</v>
      </c>
      <c r="M142" s="472">
        <v>4238</v>
      </c>
      <c r="N142" s="472">
        <v>1160</v>
      </c>
      <c r="O142" s="473">
        <v>0.67</v>
      </c>
      <c r="P142" s="474">
        <v>0</v>
      </c>
      <c r="Q142" s="483">
        <v>0.67</v>
      </c>
      <c r="R142" s="485">
        <f t="shared" si="342"/>
        <v>0</v>
      </c>
      <c r="S142" s="475">
        <v>0</v>
      </c>
      <c r="T142" s="475">
        <v>4275</v>
      </c>
      <c r="U142" s="475">
        <v>0</v>
      </c>
      <c r="V142" s="475">
        <v>0</v>
      </c>
      <c r="W142" s="475">
        <v>0</v>
      </c>
      <c r="X142" s="475">
        <f t="shared" si="343"/>
        <v>4275</v>
      </c>
      <c r="Y142" s="475">
        <v>0</v>
      </c>
      <c r="Z142" s="475">
        <v>0</v>
      </c>
      <c r="AA142" s="475">
        <v>0</v>
      </c>
      <c r="AB142" s="475">
        <f t="shared" si="344"/>
        <v>0</v>
      </c>
      <c r="AC142" s="475">
        <f t="shared" si="345"/>
        <v>4275</v>
      </c>
      <c r="AD142" s="70">
        <f t="shared" si="346"/>
        <v>1445</v>
      </c>
      <c r="AE142" s="70">
        <f t="shared" si="347"/>
        <v>86</v>
      </c>
      <c r="AF142" s="475">
        <v>0</v>
      </c>
      <c r="AG142" s="475">
        <v>0</v>
      </c>
      <c r="AH142" s="475">
        <f t="shared" si="348"/>
        <v>0</v>
      </c>
      <c r="AI142" s="475">
        <f t="shared" si="349"/>
        <v>5806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0.02</v>
      </c>
      <c r="AO142" s="476">
        <v>0</v>
      </c>
      <c r="AP142" s="476">
        <v>0</v>
      </c>
      <c r="AQ142" s="476">
        <v>0</v>
      </c>
      <c r="AR142" s="476">
        <f t="shared" si="350"/>
        <v>0</v>
      </c>
      <c r="AS142" s="476">
        <f t="shared" si="351"/>
        <v>0.02</v>
      </c>
      <c r="AT142" s="478">
        <f t="shared" si="352"/>
        <v>0.02</v>
      </c>
      <c r="AU142" s="484">
        <f t="shared" si="353"/>
        <v>294728</v>
      </c>
      <c r="AV142" s="475">
        <f t="shared" si="354"/>
        <v>216176</v>
      </c>
      <c r="AW142" s="475">
        <f t="shared" si="355"/>
        <v>0</v>
      </c>
      <c r="AX142" s="475">
        <f t="shared" si="356"/>
        <v>73068</v>
      </c>
      <c r="AY142" s="475">
        <f t="shared" si="356"/>
        <v>4324</v>
      </c>
      <c r="AZ142" s="475">
        <f t="shared" si="357"/>
        <v>1160</v>
      </c>
      <c r="BA142" s="476">
        <f t="shared" si="358"/>
        <v>0.69000000000000006</v>
      </c>
      <c r="BB142" s="476">
        <f t="shared" si="359"/>
        <v>0</v>
      </c>
      <c r="BC142" s="478">
        <f t="shared" si="359"/>
        <v>0.69000000000000006</v>
      </c>
    </row>
    <row r="143" spans="1:55" ht="12.95" customHeight="1" x14ac:dyDescent="0.25">
      <c r="A143" s="309">
        <v>25</v>
      </c>
      <c r="B143" s="349">
        <v>5488</v>
      </c>
      <c r="C143" s="350">
        <v>600099326</v>
      </c>
      <c r="D143" s="309">
        <v>70695393</v>
      </c>
      <c r="E143" s="377" t="s">
        <v>478</v>
      </c>
      <c r="F143" s="349">
        <v>3143</v>
      </c>
      <c r="G143" s="312" t="s">
        <v>626</v>
      </c>
      <c r="H143" s="312" t="s">
        <v>277</v>
      </c>
      <c r="I143" s="477">
        <v>506539</v>
      </c>
      <c r="J143" s="472">
        <v>373004</v>
      </c>
      <c r="K143" s="472">
        <v>0</v>
      </c>
      <c r="L143" s="472">
        <v>126075</v>
      </c>
      <c r="M143" s="472">
        <v>7460</v>
      </c>
      <c r="N143" s="472">
        <v>0</v>
      </c>
      <c r="O143" s="473">
        <v>0.85119999999999996</v>
      </c>
      <c r="P143" s="474">
        <v>0.85119999999999996</v>
      </c>
      <c r="Q143" s="483">
        <v>0</v>
      </c>
      <c r="R143" s="485">
        <f t="shared" si="342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43"/>
        <v>0</v>
      </c>
      <c r="Y143" s="475">
        <v>0</v>
      </c>
      <c r="Z143" s="475">
        <v>0</v>
      </c>
      <c r="AA143" s="475">
        <v>0</v>
      </c>
      <c r="AB143" s="475">
        <f t="shared" si="344"/>
        <v>0</v>
      </c>
      <c r="AC143" s="475">
        <f t="shared" si="345"/>
        <v>0</v>
      </c>
      <c r="AD143" s="70">
        <f t="shared" si="346"/>
        <v>0</v>
      </c>
      <c r="AE143" s="70">
        <f t="shared" si="347"/>
        <v>0</v>
      </c>
      <c r="AF143" s="475">
        <v>0</v>
      </c>
      <c r="AG143" s="475">
        <v>0</v>
      </c>
      <c r="AH143" s="475">
        <f t="shared" si="348"/>
        <v>0</v>
      </c>
      <c r="AI143" s="475">
        <f t="shared" si="349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350"/>
        <v>0</v>
      </c>
      <c r="AS143" s="476">
        <f t="shared" si="351"/>
        <v>0</v>
      </c>
      <c r="AT143" s="478">
        <f t="shared" si="352"/>
        <v>0</v>
      </c>
      <c r="AU143" s="484">
        <f t="shared" si="353"/>
        <v>506539</v>
      </c>
      <c r="AV143" s="475">
        <f t="shared" si="354"/>
        <v>373004</v>
      </c>
      <c r="AW143" s="475">
        <f t="shared" si="355"/>
        <v>0</v>
      </c>
      <c r="AX143" s="475">
        <f t="shared" si="356"/>
        <v>126075</v>
      </c>
      <c r="AY143" s="475">
        <f t="shared" si="356"/>
        <v>7460</v>
      </c>
      <c r="AZ143" s="475">
        <f t="shared" si="357"/>
        <v>0</v>
      </c>
      <c r="BA143" s="476">
        <f t="shared" si="358"/>
        <v>0.85119999999999996</v>
      </c>
      <c r="BB143" s="476">
        <f t="shared" si="359"/>
        <v>0.85119999999999996</v>
      </c>
      <c r="BC143" s="478">
        <f t="shared" si="359"/>
        <v>0</v>
      </c>
    </row>
    <row r="144" spans="1:55" ht="12.95" customHeight="1" x14ac:dyDescent="0.25">
      <c r="A144" s="309">
        <v>25</v>
      </c>
      <c r="B144" s="349">
        <v>5488</v>
      </c>
      <c r="C144" s="350">
        <v>600099326</v>
      </c>
      <c r="D144" s="309">
        <v>70695393</v>
      </c>
      <c r="E144" s="385" t="s">
        <v>478</v>
      </c>
      <c r="F144" s="386">
        <v>3143</v>
      </c>
      <c r="G144" s="312" t="s">
        <v>627</v>
      </c>
      <c r="H144" s="312" t="s">
        <v>278</v>
      </c>
      <c r="I144" s="477">
        <v>8317</v>
      </c>
      <c r="J144" s="472">
        <v>5881</v>
      </c>
      <c r="K144" s="472">
        <v>0</v>
      </c>
      <c r="L144" s="472">
        <v>1988</v>
      </c>
      <c r="M144" s="472">
        <v>118</v>
      </c>
      <c r="N144" s="472">
        <v>330</v>
      </c>
      <c r="O144" s="473">
        <v>0.02</v>
      </c>
      <c r="P144" s="474">
        <v>0</v>
      </c>
      <c r="Q144" s="483">
        <v>0.02</v>
      </c>
      <c r="R144" s="485">
        <f t="shared" si="342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343"/>
        <v>0</v>
      </c>
      <c r="Y144" s="475">
        <v>0</v>
      </c>
      <c r="Z144" s="475">
        <v>0</v>
      </c>
      <c r="AA144" s="475">
        <v>0</v>
      </c>
      <c r="AB144" s="475">
        <f t="shared" si="344"/>
        <v>0</v>
      </c>
      <c r="AC144" s="475">
        <f t="shared" si="345"/>
        <v>0</v>
      </c>
      <c r="AD144" s="70">
        <f t="shared" si="346"/>
        <v>0</v>
      </c>
      <c r="AE144" s="70">
        <f t="shared" si="347"/>
        <v>0</v>
      </c>
      <c r="AF144" s="475">
        <v>0</v>
      </c>
      <c r="AG144" s="475">
        <v>0</v>
      </c>
      <c r="AH144" s="475">
        <f t="shared" si="348"/>
        <v>0</v>
      </c>
      <c r="AI144" s="475">
        <f t="shared" si="349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 t="shared" si="350"/>
        <v>0</v>
      </c>
      <c r="AS144" s="476">
        <f t="shared" si="351"/>
        <v>0</v>
      </c>
      <c r="AT144" s="478">
        <f t="shared" si="352"/>
        <v>0</v>
      </c>
      <c r="AU144" s="484">
        <f t="shared" si="353"/>
        <v>8317</v>
      </c>
      <c r="AV144" s="475">
        <f t="shared" si="354"/>
        <v>5881</v>
      </c>
      <c r="AW144" s="475">
        <f t="shared" si="355"/>
        <v>0</v>
      </c>
      <c r="AX144" s="475">
        <f t="shared" si="356"/>
        <v>1988</v>
      </c>
      <c r="AY144" s="475">
        <f t="shared" si="356"/>
        <v>118</v>
      </c>
      <c r="AZ144" s="475">
        <f t="shared" si="357"/>
        <v>330</v>
      </c>
      <c r="BA144" s="476">
        <f t="shared" si="358"/>
        <v>0.02</v>
      </c>
      <c r="BB144" s="476">
        <f t="shared" si="359"/>
        <v>0</v>
      </c>
      <c r="BC144" s="478">
        <f t="shared" si="359"/>
        <v>0.02</v>
      </c>
    </row>
    <row r="145" spans="1:55" ht="12.95" customHeight="1" thickBot="1" x14ac:dyDescent="0.3">
      <c r="A145" s="323">
        <v>25</v>
      </c>
      <c r="B145" s="364">
        <v>5488</v>
      </c>
      <c r="C145" s="365">
        <v>600099326</v>
      </c>
      <c r="D145" s="364">
        <v>70695393</v>
      </c>
      <c r="E145" s="387" t="s">
        <v>479</v>
      </c>
      <c r="F145" s="364"/>
      <c r="G145" s="388"/>
      <c r="H145" s="389"/>
      <c r="I145" s="595">
        <v>4414578</v>
      </c>
      <c r="J145" s="596">
        <v>3231007</v>
      </c>
      <c r="K145" s="596">
        <v>0</v>
      </c>
      <c r="L145" s="596">
        <v>1092081</v>
      </c>
      <c r="M145" s="596">
        <v>64620</v>
      </c>
      <c r="N145" s="596">
        <v>26870</v>
      </c>
      <c r="O145" s="597">
        <v>7.1914999999999996</v>
      </c>
      <c r="P145" s="597">
        <v>4.839599999999999</v>
      </c>
      <c r="Q145" s="598">
        <v>2.3519000000000001</v>
      </c>
      <c r="R145" s="751">
        <f t="shared" ref="R145:BC145" si="360">SUM(R139:R144)</f>
        <v>0</v>
      </c>
      <c r="S145" s="752">
        <f t="shared" si="360"/>
        <v>0</v>
      </c>
      <c r="T145" s="752">
        <f t="shared" si="360"/>
        <v>4275</v>
      </c>
      <c r="U145" s="752">
        <f t="shared" si="360"/>
        <v>0</v>
      </c>
      <c r="V145" s="752">
        <f t="shared" si="360"/>
        <v>0</v>
      </c>
      <c r="W145" s="752">
        <f t="shared" si="360"/>
        <v>0</v>
      </c>
      <c r="X145" s="752">
        <f t="shared" si="360"/>
        <v>4275</v>
      </c>
      <c r="Y145" s="752">
        <f t="shared" si="360"/>
        <v>0</v>
      </c>
      <c r="Z145" s="752">
        <f t="shared" si="360"/>
        <v>0</v>
      </c>
      <c r="AA145" s="752">
        <f t="shared" si="360"/>
        <v>0</v>
      </c>
      <c r="AB145" s="752">
        <f t="shared" si="360"/>
        <v>0</v>
      </c>
      <c r="AC145" s="752">
        <f t="shared" si="360"/>
        <v>4275</v>
      </c>
      <c r="AD145" s="752">
        <f t="shared" si="360"/>
        <v>1445</v>
      </c>
      <c r="AE145" s="752">
        <f t="shared" si="360"/>
        <v>86</v>
      </c>
      <c r="AF145" s="752">
        <f t="shared" si="360"/>
        <v>0</v>
      </c>
      <c r="AG145" s="752">
        <f t="shared" si="360"/>
        <v>0</v>
      </c>
      <c r="AH145" s="752">
        <f t="shared" si="360"/>
        <v>0</v>
      </c>
      <c r="AI145" s="752">
        <f t="shared" si="360"/>
        <v>5806</v>
      </c>
      <c r="AJ145" s="753">
        <f t="shared" si="360"/>
        <v>0</v>
      </c>
      <c r="AK145" s="753">
        <f t="shared" si="360"/>
        <v>0</v>
      </c>
      <c r="AL145" s="753">
        <f t="shared" si="360"/>
        <v>0</v>
      </c>
      <c r="AM145" s="753">
        <f t="shared" si="360"/>
        <v>0</v>
      </c>
      <c r="AN145" s="753">
        <f t="shared" si="360"/>
        <v>0.02</v>
      </c>
      <c r="AO145" s="753">
        <f t="shared" si="360"/>
        <v>0</v>
      </c>
      <c r="AP145" s="753">
        <f t="shared" si="360"/>
        <v>0</v>
      </c>
      <c r="AQ145" s="753">
        <f t="shared" si="360"/>
        <v>0</v>
      </c>
      <c r="AR145" s="753">
        <f t="shared" si="360"/>
        <v>0</v>
      </c>
      <c r="AS145" s="753">
        <f t="shared" si="360"/>
        <v>0.02</v>
      </c>
      <c r="AT145" s="754">
        <f t="shared" si="360"/>
        <v>0.02</v>
      </c>
      <c r="AU145" s="600">
        <f t="shared" si="360"/>
        <v>4420384</v>
      </c>
      <c r="AV145" s="596">
        <f t="shared" si="360"/>
        <v>3235282</v>
      </c>
      <c r="AW145" s="596">
        <f t="shared" si="360"/>
        <v>0</v>
      </c>
      <c r="AX145" s="596">
        <f t="shared" si="360"/>
        <v>1093526</v>
      </c>
      <c r="AY145" s="596">
        <f t="shared" si="360"/>
        <v>64706</v>
      </c>
      <c r="AZ145" s="596">
        <f t="shared" si="360"/>
        <v>26870</v>
      </c>
      <c r="BA145" s="597">
        <f t="shared" si="360"/>
        <v>7.2114999999999991</v>
      </c>
      <c r="BB145" s="597">
        <f t="shared" si="360"/>
        <v>4.839599999999999</v>
      </c>
      <c r="BC145" s="599">
        <f t="shared" si="360"/>
        <v>2.3719000000000001</v>
      </c>
    </row>
    <row r="146" spans="1:55" ht="12.95" customHeight="1" thickBot="1" x14ac:dyDescent="0.3">
      <c r="A146" s="390"/>
      <c r="B146" s="391"/>
      <c r="C146" s="392"/>
      <c r="D146" s="391"/>
      <c r="E146" s="333" t="s">
        <v>795</v>
      </c>
      <c r="F146" s="391"/>
      <c r="G146" s="393"/>
      <c r="H146" s="393"/>
      <c r="I146" s="601">
        <f t="shared" ref="I146:BC146" si="361">I145+I138+I133+I129+I121+I114+I107+I103+I99+I97+I91+I87+I83+I76+I69+I65+I62+I54+I47+I40+I32+I29+I27+I21+I16</f>
        <v>291774328</v>
      </c>
      <c r="J146" s="602">
        <f t="shared" si="361"/>
        <v>210894987</v>
      </c>
      <c r="K146" s="602">
        <f t="shared" si="361"/>
        <v>1350100</v>
      </c>
      <c r="L146" s="602">
        <f t="shared" si="361"/>
        <v>71738843</v>
      </c>
      <c r="M146" s="602">
        <f t="shared" si="361"/>
        <v>4217900</v>
      </c>
      <c r="N146" s="602">
        <f t="shared" si="361"/>
        <v>3572498</v>
      </c>
      <c r="O146" s="603">
        <f t="shared" si="361"/>
        <v>439.5601999999999</v>
      </c>
      <c r="P146" s="603">
        <f t="shared" si="361"/>
        <v>309.70639999999997</v>
      </c>
      <c r="Q146" s="604">
        <f t="shared" si="361"/>
        <v>129.85380000000004</v>
      </c>
      <c r="R146" s="747">
        <f t="shared" si="361"/>
        <v>0</v>
      </c>
      <c r="S146" s="748">
        <f t="shared" si="361"/>
        <v>71211</v>
      </c>
      <c r="T146" s="748">
        <f t="shared" si="361"/>
        <v>-102047</v>
      </c>
      <c r="U146" s="748">
        <f t="shared" si="361"/>
        <v>0</v>
      </c>
      <c r="V146" s="748">
        <f t="shared" si="361"/>
        <v>0</v>
      </c>
      <c r="W146" s="748">
        <f t="shared" si="361"/>
        <v>0</v>
      </c>
      <c r="X146" s="748">
        <f t="shared" si="361"/>
        <v>-30836</v>
      </c>
      <c r="Y146" s="748">
        <f t="shared" si="361"/>
        <v>0</v>
      </c>
      <c r="Z146" s="748">
        <f t="shared" si="361"/>
        <v>0</v>
      </c>
      <c r="AA146" s="748">
        <f t="shared" si="361"/>
        <v>0</v>
      </c>
      <c r="AB146" s="748">
        <f t="shared" si="361"/>
        <v>0</v>
      </c>
      <c r="AC146" s="748">
        <f t="shared" si="361"/>
        <v>-30836</v>
      </c>
      <c r="AD146" s="748">
        <f t="shared" si="361"/>
        <v>-10424</v>
      </c>
      <c r="AE146" s="748">
        <f t="shared" si="361"/>
        <v>-619</v>
      </c>
      <c r="AF146" s="748">
        <f t="shared" si="361"/>
        <v>2000</v>
      </c>
      <c r="AG146" s="748">
        <f t="shared" si="361"/>
        <v>0</v>
      </c>
      <c r="AH146" s="748">
        <f t="shared" si="361"/>
        <v>2000</v>
      </c>
      <c r="AI146" s="748">
        <f t="shared" si="361"/>
        <v>-39879</v>
      </c>
      <c r="AJ146" s="749">
        <f t="shared" si="361"/>
        <v>0</v>
      </c>
      <c r="AK146" s="749">
        <f t="shared" si="361"/>
        <v>0</v>
      </c>
      <c r="AL146" s="749">
        <f t="shared" si="361"/>
        <v>0.26</v>
      </c>
      <c r="AM146" s="749">
        <f t="shared" si="361"/>
        <v>9.2999999999999999E-2</v>
      </c>
      <c r="AN146" s="749">
        <f t="shared" si="361"/>
        <v>-0.39000000000000007</v>
      </c>
      <c r="AO146" s="749">
        <f t="shared" si="361"/>
        <v>0</v>
      </c>
      <c r="AP146" s="749">
        <f t="shared" si="361"/>
        <v>0</v>
      </c>
      <c r="AQ146" s="749">
        <f t="shared" si="361"/>
        <v>0</v>
      </c>
      <c r="AR146" s="749">
        <f t="shared" si="361"/>
        <v>0.35299999999999998</v>
      </c>
      <c r="AS146" s="749">
        <f t="shared" si="361"/>
        <v>-0.39000000000000007</v>
      </c>
      <c r="AT146" s="750">
        <f t="shared" si="361"/>
        <v>-3.7000000000000033E-2</v>
      </c>
      <c r="AU146" s="606">
        <f t="shared" si="361"/>
        <v>291734449</v>
      </c>
      <c r="AV146" s="602">
        <f t="shared" si="361"/>
        <v>210864151</v>
      </c>
      <c r="AW146" s="602">
        <f t="shared" si="361"/>
        <v>1350100</v>
      </c>
      <c r="AX146" s="602">
        <f t="shared" si="361"/>
        <v>71728419</v>
      </c>
      <c r="AY146" s="602">
        <f t="shared" si="361"/>
        <v>4217281</v>
      </c>
      <c r="AZ146" s="602">
        <f t="shared" si="361"/>
        <v>3574498</v>
      </c>
      <c r="BA146" s="603">
        <f t="shared" si="361"/>
        <v>439.52319999999997</v>
      </c>
      <c r="BB146" s="603">
        <f t="shared" si="361"/>
        <v>310.05939999999993</v>
      </c>
      <c r="BC146" s="605">
        <f t="shared" si="361"/>
        <v>129.46379999999999</v>
      </c>
    </row>
    <row r="147" spans="1:55" ht="12.95" customHeight="1" x14ac:dyDescent="0.25">
      <c r="B147" s="337"/>
      <c r="C147" s="394"/>
      <c r="D147" s="337"/>
      <c r="E147" s="338"/>
      <c r="F147" s="337"/>
      <c r="I147" s="490">
        <f>SUM(J146:N146)</f>
        <v>291774328</v>
      </c>
      <c r="J147" s="490"/>
      <c r="K147" s="490"/>
      <c r="L147" s="490"/>
      <c r="M147" s="490"/>
      <c r="N147" s="490"/>
      <c r="O147" s="491">
        <f>SUM(P146:Q146)</f>
        <v>439.56020000000001</v>
      </c>
      <c r="P147" s="491"/>
      <c r="Q147" s="491"/>
      <c r="R147" s="490">
        <f>Y146</f>
        <v>0</v>
      </c>
      <c r="S147" s="491"/>
      <c r="T147" s="491"/>
      <c r="U147" s="491"/>
      <c r="V147" s="491"/>
      <c r="W147" s="491"/>
      <c r="X147" s="497">
        <f>SUM(R146:W146)</f>
        <v>-30836</v>
      </c>
      <c r="Y147" s="497">
        <f>R146</f>
        <v>0</v>
      </c>
      <c r="Z147" s="498"/>
      <c r="AA147" s="498"/>
      <c r="AB147" s="497">
        <f>SUM(Y146:AA146)</f>
        <v>0</v>
      </c>
      <c r="AC147" s="497">
        <f>X146+AB146</f>
        <v>-30836</v>
      </c>
      <c r="AD147" s="499"/>
      <c r="AE147" s="499"/>
      <c r="AF147" s="498"/>
      <c r="AG147" s="498"/>
      <c r="AH147" s="497">
        <f>SUM(AF146:AG146)</f>
        <v>2000</v>
      </c>
      <c r="AI147" s="497">
        <f>AC146+AD146+AE146+AH146</f>
        <v>-39879</v>
      </c>
      <c r="AJ147" s="500"/>
      <c r="AK147" s="500"/>
      <c r="AL147" s="500"/>
      <c r="AM147" s="500"/>
      <c r="AN147" s="500"/>
      <c r="AO147" s="500"/>
      <c r="AP147" s="500"/>
      <c r="AQ147" s="500"/>
      <c r="AR147" s="706">
        <f>AJ146+AL146+AM146+AO146+AP146</f>
        <v>0.35299999999999998</v>
      </c>
      <c r="AS147" s="706">
        <f>AK146+AN146+AQ146</f>
        <v>-0.39000000000000007</v>
      </c>
      <c r="AT147" s="706">
        <f>SUM(AR146:AS146)</f>
        <v>-3.7000000000000088E-2</v>
      </c>
      <c r="AU147" s="490">
        <f>SUM(AV146:AZ146)</f>
        <v>291734449</v>
      </c>
      <c r="AV147" s="55"/>
      <c r="AW147" s="55"/>
      <c r="AX147" s="55"/>
      <c r="AY147" s="55"/>
      <c r="AZ147" s="55"/>
      <c r="BA147" s="491">
        <f>SUM(BB146:BC146)</f>
        <v>439.52319999999992</v>
      </c>
      <c r="BB147" s="93"/>
      <c r="BC147" s="93"/>
    </row>
    <row r="148" spans="1:55" ht="12.95" customHeight="1" thickBot="1" x14ac:dyDescent="0.3">
      <c r="B148" s="337"/>
      <c r="C148" s="394"/>
      <c r="D148" s="337"/>
      <c r="F148" s="337"/>
      <c r="I148" s="91">
        <f>SUM(J149:N149)</f>
        <v>291774328</v>
      </c>
      <c r="J148" s="53"/>
      <c r="K148" s="53"/>
      <c r="L148" s="496"/>
      <c r="M148" s="496"/>
      <c r="N148" s="53"/>
      <c r="O148" s="92">
        <f>SUM(P149:Q149)</f>
        <v>439.56020000000007</v>
      </c>
      <c r="P148" s="183"/>
      <c r="Q148" s="183"/>
      <c r="R148" s="491"/>
      <c r="S148" s="491"/>
      <c r="T148" s="491"/>
      <c r="U148" s="491"/>
      <c r="V148" s="491"/>
      <c r="W148" s="491"/>
      <c r="X148" s="497">
        <f>SUM(R149:W149)</f>
        <v>-30836</v>
      </c>
      <c r="Y148" s="498"/>
      <c r="Z148" s="498"/>
      <c r="AA148" s="498"/>
      <c r="AB148" s="497">
        <f>SUM(Y149:AA149)</f>
        <v>0</v>
      </c>
      <c r="AC148" s="497">
        <f>X149+AB149</f>
        <v>-30836</v>
      </c>
      <c r="AD148" s="499"/>
      <c r="AE148" s="499"/>
      <c r="AF148" s="498"/>
      <c r="AG148" s="498"/>
      <c r="AH148" s="497">
        <f>SUM(AF149:AG149)</f>
        <v>2000</v>
      </c>
      <c r="AI148" s="497">
        <f>AC149+AD149+AE149+AH149</f>
        <v>-39879</v>
      </c>
      <c r="AJ148" s="500"/>
      <c r="AK148" s="500"/>
      <c r="AL148" s="500"/>
      <c r="AM148" s="500"/>
      <c r="AN148" s="500"/>
      <c r="AO148" s="500"/>
      <c r="AP148" s="500"/>
      <c r="AQ148" s="500"/>
      <c r="AR148" s="663">
        <f>AJ149+AL149+AM149+AO149+AP149</f>
        <v>0.35299999999999998</v>
      </c>
      <c r="AS148" s="663">
        <f>AK149+AN149+AQ149</f>
        <v>-0.39</v>
      </c>
      <c r="AT148" s="663">
        <f>SUM(AR149:AS149)</f>
        <v>-3.7000000000000033E-2</v>
      </c>
      <c r="AU148" s="490">
        <f>SUM(AV149:AZ149)</f>
        <v>291734449</v>
      </c>
      <c r="AV148" s="55"/>
      <c r="AW148" s="55"/>
      <c r="AX148" s="55"/>
      <c r="AY148" s="55"/>
      <c r="AZ148" s="55"/>
      <c r="BA148" s="491">
        <f>SUM(BB149:BC149)</f>
        <v>439.52320000000009</v>
      </c>
      <c r="BB148" s="93"/>
      <c r="BC148" s="93"/>
    </row>
    <row r="149" spans="1:55" s="95" customFormat="1" ht="12.95" customHeight="1" thickBot="1" x14ac:dyDescent="0.3">
      <c r="D149" s="339"/>
      <c r="E149" s="340"/>
      <c r="F149" s="339"/>
      <c r="G149" s="341"/>
      <c r="H149" s="517" t="s">
        <v>0</v>
      </c>
      <c r="I149" s="146">
        <f t="shared" ref="I149:BC149" si="362">SUM(I150:I159)</f>
        <v>291774328</v>
      </c>
      <c r="J149" s="34">
        <f t="shared" si="362"/>
        <v>210894987</v>
      </c>
      <c r="K149" s="34">
        <f t="shared" si="362"/>
        <v>1350100</v>
      </c>
      <c r="L149" s="34">
        <f t="shared" si="362"/>
        <v>71738843</v>
      </c>
      <c r="M149" s="34">
        <f t="shared" si="362"/>
        <v>4217900</v>
      </c>
      <c r="N149" s="34">
        <f t="shared" si="362"/>
        <v>3572498</v>
      </c>
      <c r="O149" s="35">
        <f t="shared" si="362"/>
        <v>439.56020000000001</v>
      </c>
      <c r="P149" s="35">
        <f t="shared" si="362"/>
        <v>309.70640000000003</v>
      </c>
      <c r="Q149" s="155">
        <f t="shared" si="362"/>
        <v>129.85380000000004</v>
      </c>
      <c r="R149" s="146">
        <f t="shared" si="362"/>
        <v>0</v>
      </c>
      <c r="S149" s="34">
        <f t="shared" si="362"/>
        <v>71211</v>
      </c>
      <c r="T149" s="34">
        <f t="shared" si="362"/>
        <v>-102047</v>
      </c>
      <c r="U149" s="34">
        <f t="shared" si="362"/>
        <v>0</v>
      </c>
      <c r="V149" s="34">
        <f t="shared" si="362"/>
        <v>0</v>
      </c>
      <c r="W149" s="34">
        <f t="shared" si="362"/>
        <v>0</v>
      </c>
      <c r="X149" s="34">
        <f t="shared" si="362"/>
        <v>-30836</v>
      </c>
      <c r="Y149" s="34">
        <f t="shared" si="362"/>
        <v>0</v>
      </c>
      <c r="Z149" s="34">
        <f t="shared" si="362"/>
        <v>0</v>
      </c>
      <c r="AA149" s="34">
        <f t="shared" si="362"/>
        <v>0</v>
      </c>
      <c r="AB149" s="34">
        <f t="shared" si="362"/>
        <v>0</v>
      </c>
      <c r="AC149" s="34">
        <f t="shared" si="362"/>
        <v>-30836</v>
      </c>
      <c r="AD149" s="34">
        <f t="shared" si="362"/>
        <v>-10424</v>
      </c>
      <c r="AE149" s="34">
        <f t="shared" si="362"/>
        <v>-619</v>
      </c>
      <c r="AF149" s="34">
        <f t="shared" si="362"/>
        <v>2000</v>
      </c>
      <c r="AG149" s="34">
        <f t="shared" si="362"/>
        <v>0</v>
      </c>
      <c r="AH149" s="34">
        <f t="shared" si="362"/>
        <v>2000</v>
      </c>
      <c r="AI149" s="34">
        <f t="shared" si="362"/>
        <v>-39879</v>
      </c>
      <c r="AJ149" s="35">
        <f t="shared" si="362"/>
        <v>0</v>
      </c>
      <c r="AK149" s="35">
        <f t="shared" si="362"/>
        <v>0</v>
      </c>
      <c r="AL149" s="35">
        <f t="shared" si="362"/>
        <v>0.26</v>
      </c>
      <c r="AM149" s="35">
        <f t="shared" si="362"/>
        <v>9.2999999999999999E-2</v>
      </c>
      <c r="AN149" s="35">
        <f t="shared" si="362"/>
        <v>-0.39</v>
      </c>
      <c r="AO149" s="35">
        <f t="shared" si="362"/>
        <v>0</v>
      </c>
      <c r="AP149" s="35">
        <f t="shared" si="362"/>
        <v>0</v>
      </c>
      <c r="AQ149" s="35">
        <f t="shared" si="362"/>
        <v>0</v>
      </c>
      <c r="AR149" s="35">
        <f t="shared" si="362"/>
        <v>0.35299999999999998</v>
      </c>
      <c r="AS149" s="35">
        <f t="shared" si="362"/>
        <v>-0.39</v>
      </c>
      <c r="AT149" s="155">
        <f t="shared" si="362"/>
        <v>-3.7000000000000033E-2</v>
      </c>
      <c r="AU149" s="146">
        <f t="shared" si="362"/>
        <v>291734449</v>
      </c>
      <c r="AV149" s="34">
        <f t="shared" si="362"/>
        <v>210864151</v>
      </c>
      <c r="AW149" s="34">
        <f t="shared" si="362"/>
        <v>1350100</v>
      </c>
      <c r="AX149" s="34">
        <f t="shared" si="362"/>
        <v>71728419</v>
      </c>
      <c r="AY149" s="34">
        <f t="shared" si="362"/>
        <v>4217281</v>
      </c>
      <c r="AZ149" s="34">
        <f t="shared" si="362"/>
        <v>3574498</v>
      </c>
      <c r="BA149" s="35">
        <f t="shared" si="362"/>
        <v>439.52319999999997</v>
      </c>
      <c r="BB149" s="35">
        <f t="shared" si="362"/>
        <v>310.05940000000004</v>
      </c>
      <c r="BC149" s="36">
        <f t="shared" si="362"/>
        <v>129.46380000000002</v>
      </c>
    </row>
    <row r="150" spans="1:55" s="95" customFormat="1" ht="12.95" customHeight="1" x14ac:dyDescent="0.25">
      <c r="D150" s="339"/>
      <c r="E150" s="340"/>
      <c r="F150" s="339"/>
      <c r="G150" s="341"/>
      <c r="H150" s="518">
        <v>3111</v>
      </c>
      <c r="I150" s="618">
        <f t="shared" ref="I150:BC150" si="363">SUMIF($F$12:$F$466,"=3111",I$12:I$466)</f>
        <v>64477383</v>
      </c>
      <c r="J150" s="619">
        <f t="shared" si="363"/>
        <v>46765086</v>
      </c>
      <c r="K150" s="619">
        <f t="shared" si="363"/>
        <v>445400</v>
      </c>
      <c r="L150" s="619">
        <f t="shared" si="363"/>
        <v>15957145</v>
      </c>
      <c r="M150" s="619">
        <f t="shared" si="363"/>
        <v>935302</v>
      </c>
      <c r="N150" s="619">
        <f t="shared" si="363"/>
        <v>374450</v>
      </c>
      <c r="O150" s="624">
        <f t="shared" si="363"/>
        <v>104.47739999999999</v>
      </c>
      <c r="P150" s="624">
        <f t="shared" si="363"/>
        <v>80.436099999999996</v>
      </c>
      <c r="Q150" s="625">
        <f t="shared" si="363"/>
        <v>24.0413</v>
      </c>
      <c r="R150" s="618">
        <f t="shared" si="363"/>
        <v>0</v>
      </c>
      <c r="S150" s="619">
        <f t="shared" si="363"/>
        <v>43306</v>
      </c>
      <c r="T150" s="619">
        <f t="shared" si="363"/>
        <v>32101</v>
      </c>
      <c r="U150" s="619">
        <f t="shared" si="363"/>
        <v>0</v>
      </c>
      <c r="V150" s="619">
        <f t="shared" si="363"/>
        <v>0</v>
      </c>
      <c r="W150" s="619">
        <f t="shared" si="363"/>
        <v>0</v>
      </c>
      <c r="X150" s="619">
        <f t="shared" si="363"/>
        <v>75407</v>
      </c>
      <c r="Y150" s="619">
        <f t="shared" si="363"/>
        <v>0</v>
      </c>
      <c r="Z150" s="619">
        <f t="shared" si="363"/>
        <v>0</v>
      </c>
      <c r="AA150" s="619">
        <f t="shared" si="363"/>
        <v>0</v>
      </c>
      <c r="AB150" s="619">
        <f t="shared" si="363"/>
        <v>0</v>
      </c>
      <c r="AC150" s="619">
        <f t="shared" si="363"/>
        <v>75407</v>
      </c>
      <c r="AD150" s="619">
        <f t="shared" si="363"/>
        <v>25487</v>
      </c>
      <c r="AE150" s="619">
        <f t="shared" si="363"/>
        <v>1508</v>
      </c>
      <c r="AF150" s="619">
        <f t="shared" si="363"/>
        <v>0</v>
      </c>
      <c r="AG150" s="619">
        <f t="shared" si="363"/>
        <v>0</v>
      </c>
      <c r="AH150" s="619">
        <f t="shared" si="363"/>
        <v>0</v>
      </c>
      <c r="AI150" s="619">
        <f t="shared" si="363"/>
        <v>102402</v>
      </c>
      <c r="AJ150" s="624">
        <f t="shared" si="363"/>
        <v>0</v>
      </c>
      <c r="AK150" s="624">
        <f t="shared" si="363"/>
        <v>0</v>
      </c>
      <c r="AL150" s="624">
        <f t="shared" si="363"/>
        <v>0.13</v>
      </c>
      <c r="AM150" s="624">
        <f t="shared" si="363"/>
        <v>6.3E-2</v>
      </c>
      <c r="AN150" s="624">
        <f t="shared" si="363"/>
        <v>0</v>
      </c>
      <c r="AO150" s="624">
        <f t="shared" si="363"/>
        <v>0</v>
      </c>
      <c r="AP150" s="624">
        <f t="shared" si="363"/>
        <v>0</v>
      </c>
      <c r="AQ150" s="624">
        <f t="shared" si="363"/>
        <v>0</v>
      </c>
      <c r="AR150" s="624">
        <f t="shared" si="363"/>
        <v>0.193</v>
      </c>
      <c r="AS150" s="624">
        <f t="shared" si="363"/>
        <v>0</v>
      </c>
      <c r="AT150" s="625">
        <f t="shared" si="363"/>
        <v>0.193</v>
      </c>
      <c r="AU150" s="618">
        <f t="shared" si="363"/>
        <v>64579785</v>
      </c>
      <c r="AV150" s="619">
        <f t="shared" si="363"/>
        <v>46840493</v>
      </c>
      <c r="AW150" s="619">
        <f t="shared" si="363"/>
        <v>445400</v>
      </c>
      <c r="AX150" s="619">
        <f t="shared" si="363"/>
        <v>15982632</v>
      </c>
      <c r="AY150" s="619">
        <f t="shared" si="363"/>
        <v>936810</v>
      </c>
      <c r="AZ150" s="619">
        <f t="shared" si="363"/>
        <v>374450</v>
      </c>
      <c r="BA150" s="624">
        <f t="shared" si="363"/>
        <v>104.6704</v>
      </c>
      <c r="BB150" s="624">
        <f t="shared" si="363"/>
        <v>80.629099999999994</v>
      </c>
      <c r="BC150" s="627">
        <f t="shared" si="363"/>
        <v>24.0413</v>
      </c>
    </row>
    <row r="151" spans="1:55" s="95" customFormat="1" ht="12.95" customHeight="1" x14ac:dyDescent="0.25">
      <c r="D151" s="339"/>
      <c r="E151" s="340"/>
      <c r="F151" s="339"/>
      <c r="G151" s="341"/>
      <c r="H151" s="2">
        <v>3113</v>
      </c>
      <c r="I151" s="174">
        <f t="shared" ref="I151:BC151" si="364">SUMIF($F$12:$F$466,"=3113",I$12:I$466)</f>
        <v>151217194</v>
      </c>
      <c r="J151" s="16">
        <f t="shared" si="364"/>
        <v>108710848</v>
      </c>
      <c r="K151" s="16">
        <f t="shared" si="364"/>
        <v>630000</v>
      </c>
      <c r="L151" s="16">
        <f t="shared" si="364"/>
        <v>36957206</v>
      </c>
      <c r="M151" s="16">
        <f t="shared" si="364"/>
        <v>2174220</v>
      </c>
      <c r="N151" s="16">
        <f t="shared" si="364"/>
        <v>2744920</v>
      </c>
      <c r="O151" s="13">
        <f t="shared" si="364"/>
        <v>207.72430000000003</v>
      </c>
      <c r="P151" s="13">
        <f t="shared" si="364"/>
        <v>162.07940000000002</v>
      </c>
      <c r="Q151" s="176">
        <f t="shared" si="364"/>
        <v>45.6449</v>
      </c>
      <c r="R151" s="174">
        <f t="shared" si="364"/>
        <v>0</v>
      </c>
      <c r="S151" s="16">
        <f t="shared" si="364"/>
        <v>27905</v>
      </c>
      <c r="T151" s="16">
        <f t="shared" si="364"/>
        <v>-119783</v>
      </c>
      <c r="U151" s="16">
        <f t="shared" si="364"/>
        <v>0</v>
      </c>
      <c r="V151" s="16">
        <f t="shared" si="364"/>
        <v>0</v>
      </c>
      <c r="W151" s="16">
        <f t="shared" si="364"/>
        <v>0</v>
      </c>
      <c r="X151" s="16">
        <f t="shared" si="364"/>
        <v>-91878</v>
      </c>
      <c r="Y151" s="16">
        <f t="shared" si="364"/>
        <v>0</v>
      </c>
      <c r="Z151" s="16">
        <f t="shared" si="364"/>
        <v>0</v>
      </c>
      <c r="AA151" s="16">
        <f t="shared" si="364"/>
        <v>0</v>
      </c>
      <c r="AB151" s="16">
        <f t="shared" si="364"/>
        <v>0</v>
      </c>
      <c r="AC151" s="16">
        <f t="shared" si="364"/>
        <v>-91878</v>
      </c>
      <c r="AD151" s="16">
        <f t="shared" si="364"/>
        <v>-31056</v>
      </c>
      <c r="AE151" s="16">
        <f t="shared" si="364"/>
        <v>-1838</v>
      </c>
      <c r="AF151" s="16">
        <f t="shared" si="364"/>
        <v>2000</v>
      </c>
      <c r="AG151" s="16">
        <f t="shared" si="364"/>
        <v>0</v>
      </c>
      <c r="AH151" s="16">
        <f t="shared" si="364"/>
        <v>2000</v>
      </c>
      <c r="AI151" s="16">
        <f t="shared" si="364"/>
        <v>-122772</v>
      </c>
      <c r="AJ151" s="13">
        <f t="shared" si="364"/>
        <v>0</v>
      </c>
      <c r="AK151" s="13">
        <f t="shared" si="364"/>
        <v>0</v>
      </c>
      <c r="AL151" s="13">
        <f t="shared" si="364"/>
        <v>0.13</v>
      </c>
      <c r="AM151" s="13">
        <f t="shared" si="364"/>
        <v>-0.2</v>
      </c>
      <c r="AN151" s="13">
        <f t="shared" si="364"/>
        <v>0</v>
      </c>
      <c r="AO151" s="13">
        <f t="shared" si="364"/>
        <v>0</v>
      </c>
      <c r="AP151" s="13">
        <f t="shared" si="364"/>
        <v>0</v>
      </c>
      <c r="AQ151" s="13">
        <f t="shared" si="364"/>
        <v>0</v>
      </c>
      <c r="AR151" s="13">
        <f t="shared" si="364"/>
        <v>-7.0000000000000007E-2</v>
      </c>
      <c r="AS151" s="13">
        <f t="shared" si="364"/>
        <v>0</v>
      </c>
      <c r="AT151" s="176">
        <f t="shared" si="364"/>
        <v>-7.0000000000000007E-2</v>
      </c>
      <c r="AU151" s="174">
        <f t="shared" si="364"/>
        <v>151094422</v>
      </c>
      <c r="AV151" s="16">
        <f t="shared" si="364"/>
        <v>108618970</v>
      </c>
      <c r="AW151" s="16">
        <f t="shared" si="364"/>
        <v>630000</v>
      </c>
      <c r="AX151" s="16">
        <f t="shared" si="364"/>
        <v>36926150</v>
      </c>
      <c r="AY151" s="16">
        <f t="shared" si="364"/>
        <v>2172382</v>
      </c>
      <c r="AZ151" s="16">
        <f t="shared" si="364"/>
        <v>2746920</v>
      </c>
      <c r="BA151" s="13">
        <f t="shared" si="364"/>
        <v>207.65430000000003</v>
      </c>
      <c r="BB151" s="13">
        <f t="shared" si="364"/>
        <v>162.00940000000003</v>
      </c>
      <c r="BC151" s="17">
        <f t="shared" si="364"/>
        <v>45.6449</v>
      </c>
    </row>
    <row r="152" spans="1:55" s="95" customFormat="1" ht="12.95" customHeight="1" x14ac:dyDescent="0.25">
      <c r="D152" s="339"/>
      <c r="E152" s="340"/>
      <c r="F152" s="339"/>
      <c r="G152" s="341"/>
      <c r="H152" s="2">
        <v>3114</v>
      </c>
      <c r="I152" s="174">
        <f t="shared" ref="I152:BC152" si="365">SUMIF($F$12:$F$466,"=3114",I$12:I$466)</f>
        <v>0</v>
      </c>
      <c r="J152" s="16">
        <f t="shared" si="365"/>
        <v>0</v>
      </c>
      <c r="K152" s="16">
        <f t="shared" si="365"/>
        <v>0</v>
      </c>
      <c r="L152" s="16">
        <f t="shared" si="365"/>
        <v>0</v>
      </c>
      <c r="M152" s="16">
        <f t="shared" si="365"/>
        <v>0</v>
      </c>
      <c r="N152" s="16">
        <f t="shared" si="365"/>
        <v>0</v>
      </c>
      <c r="O152" s="13">
        <f t="shared" si="365"/>
        <v>0</v>
      </c>
      <c r="P152" s="13">
        <f t="shared" si="365"/>
        <v>0</v>
      </c>
      <c r="Q152" s="176">
        <f t="shared" si="365"/>
        <v>0</v>
      </c>
      <c r="R152" s="174">
        <f t="shared" si="365"/>
        <v>0</v>
      </c>
      <c r="S152" s="16">
        <f t="shared" si="365"/>
        <v>0</v>
      </c>
      <c r="T152" s="16">
        <f t="shared" si="365"/>
        <v>0</v>
      </c>
      <c r="U152" s="16">
        <f t="shared" si="365"/>
        <v>0</v>
      </c>
      <c r="V152" s="16">
        <f t="shared" si="365"/>
        <v>0</v>
      </c>
      <c r="W152" s="16">
        <f t="shared" si="365"/>
        <v>0</v>
      </c>
      <c r="X152" s="16">
        <f t="shared" si="365"/>
        <v>0</v>
      </c>
      <c r="Y152" s="16">
        <f t="shared" si="365"/>
        <v>0</v>
      </c>
      <c r="Z152" s="16">
        <f t="shared" si="365"/>
        <v>0</v>
      </c>
      <c r="AA152" s="16">
        <f t="shared" si="365"/>
        <v>0</v>
      </c>
      <c r="AB152" s="16">
        <f t="shared" si="365"/>
        <v>0</v>
      </c>
      <c r="AC152" s="16">
        <f t="shared" si="365"/>
        <v>0</v>
      </c>
      <c r="AD152" s="16">
        <f t="shared" si="365"/>
        <v>0</v>
      </c>
      <c r="AE152" s="16">
        <f t="shared" si="365"/>
        <v>0</v>
      </c>
      <c r="AF152" s="16">
        <f t="shared" si="365"/>
        <v>0</v>
      </c>
      <c r="AG152" s="16">
        <f t="shared" si="365"/>
        <v>0</v>
      </c>
      <c r="AH152" s="16">
        <f t="shared" si="365"/>
        <v>0</v>
      </c>
      <c r="AI152" s="16">
        <f t="shared" si="365"/>
        <v>0</v>
      </c>
      <c r="AJ152" s="13">
        <f t="shared" si="365"/>
        <v>0</v>
      </c>
      <c r="AK152" s="13">
        <f t="shared" si="365"/>
        <v>0</v>
      </c>
      <c r="AL152" s="13">
        <f t="shared" si="365"/>
        <v>0</v>
      </c>
      <c r="AM152" s="13">
        <f t="shared" si="365"/>
        <v>0</v>
      </c>
      <c r="AN152" s="13">
        <f t="shared" si="365"/>
        <v>0</v>
      </c>
      <c r="AO152" s="13">
        <f t="shared" si="365"/>
        <v>0</v>
      </c>
      <c r="AP152" s="13">
        <f t="shared" si="365"/>
        <v>0</v>
      </c>
      <c r="AQ152" s="13">
        <f t="shared" si="365"/>
        <v>0</v>
      </c>
      <c r="AR152" s="13">
        <f t="shared" si="365"/>
        <v>0</v>
      </c>
      <c r="AS152" s="13">
        <f t="shared" si="365"/>
        <v>0</v>
      </c>
      <c r="AT152" s="176">
        <f t="shared" si="365"/>
        <v>0</v>
      </c>
      <c r="AU152" s="174">
        <f t="shared" si="365"/>
        <v>0</v>
      </c>
      <c r="AV152" s="16">
        <f t="shared" si="365"/>
        <v>0</v>
      </c>
      <c r="AW152" s="16">
        <f t="shared" si="365"/>
        <v>0</v>
      </c>
      <c r="AX152" s="16">
        <f t="shared" si="365"/>
        <v>0</v>
      </c>
      <c r="AY152" s="16">
        <f t="shared" si="365"/>
        <v>0</v>
      </c>
      <c r="AZ152" s="16">
        <f t="shared" si="365"/>
        <v>0</v>
      </c>
      <c r="BA152" s="13">
        <f t="shared" si="365"/>
        <v>0</v>
      </c>
      <c r="BB152" s="13">
        <f t="shared" si="365"/>
        <v>0</v>
      </c>
      <c r="BC152" s="17">
        <f t="shared" si="365"/>
        <v>0</v>
      </c>
    </row>
    <row r="153" spans="1:55" s="95" customFormat="1" ht="12.95" customHeight="1" x14ac:dyDescent="0.25">
      <c r="D153" s="339"/>
      <c r="E153" s="340"/>
      <c r="F153" s="339"/>
      <c r="G153" s="341"/>
      <c r="H153" s="2">
        <v>3117</v>
      </c>
      <c r="I153" s="174">
        <f t="shared" ref="I153:BC153" si="366">SUMIF($F$12:$F$466,"=3117",I$12:I$466)</f>
        <v>17805694</v>
      </c>
      <c r="J153" s="16">
        <f t="shared" si="366"/>
        <v>12893972</v>
      </c>
      <c r="K153" s="16">
        <f t="shared" si="366"/>
        <v>44400</v>
      </c>
      <c r="L153" s="16">
        <f t="shared" si="366"/>
        <v>4373173</v>
      </c>
      <c r="M153" s="16">
        <f t="shared" si="366"/>
        <v>257879</v>
      </c>
      <c r="N153" s="16">
        <f t="shared" si="366"/>
        <v>236270</v>
      </c>
      <c r="O153" s="13">
        <f t="shared" si="366"/>
        <v>26.219799999999999</v>
      </c>
      <c r="P153" s="13">
        <f t="shared" si="366"/>
        <v>18.796000000000003</v>
      </c>
      <c r="Q153" s="176">
        <f t="shared" si="366"/>
        <v>7.4238</v>
      </c>
      <c r="R153" s="174">
        <f t="shared" si="366"/>
        <v>0</v>
      </c>
      <c r="S153" s="16">
        <f t="shared" si="366"/>
        <v>0</v>
      </c>
      <c r="T153" s="16">
        <f t="shared" si="366"/>
        <v>117203</v>
      </c>
      <c r="U153" s="16">
        <f t="shared" si="366"/>
        <v>0</v>
      </c>
      <c r="V153" s="16">
        <f t="shared" si="366"/>
        <v>0</v>
      </c>
      <c r="W153" s="16">
        <f t="shared" si="366"/>
        <v>0</v>
      </c>
      <c r="X153" s="16">
        <f t="shared" si="366"/>
        <v>117203</v>
      </c>
      <c r="Y153" s="16">
        <f t="shared" si="366"/>
        <v>0</v>
      </c>
      <c r="Z153" s="16">
        <f t="shared" si="366"/>
        <v>0</v>
      </c>
      <c r="AA153" s="16">
        <f t="shared" si="366"/>
        <v>0</v>
      </c>
      <c r="AB153" s="16">
        <f t="shared" si="366"/>
        <v>0</v>
      </c>
      <c r="AC153" s="16">
        <f t="shared" si="366"/>
        <v>117203</v>
      </c>
      <c r="AD153" s="16">
        <f t="shared" si="366"/>
        <v>39615</v>
      </c>
      <c r="AE153" s="16">
        <f t="shared" si="366"/>
        <v>2344</v>
      </c>
      <c r="AF153" s="16">
        <f t="shared" si="366"/>
        <v>0</v>
      </c>
      <c r="AG153" s="16">
        <f t="shared" si="366"/>
        <v>0</v>
      </c>
      <c r="AH153" s="16">
        <f t="shared" si="366"/>
        <v>0</v>
      </c>
      <c r="AI153" s="16">
        <f t="shared" si="366"/>
        <v>159162</v>
      </c>
      <c r="AJ153" s="13">
        <f t="shared" si="366"/>
        <v>0</v>
      </c>
      <c r="AK153" s="13">
        <f t="shared" si="366"/>
        <v>0</v>
      </c>
      <c r="AL153" s="13">
        <f t="shared" si="366"/>
        <v>0</v>
      </c>
      <c r="AM153" s="13">
        <f t="shared" si="366"/>
        <v>0.23</v>
      </c>
      <c r="AN153" s="13">
        <f t="shared" si="366"/>
        <v>0</v>
      </c>
      <c r="AO153" s="13">
        <f t="shared" si="366"/>
        <v>0</v>
      </c>
      <c r="AP153" s="13">
        <f t="shared" si="366"/>
        <v>0</v>
      </c>
      <c r="AQ153" s="13">
        <f t="shared" si="366"/>
        <v>0</v>
      </c>
      <c r="AR153" s="13">
        <f t="shared" si="366"/>
        <v>0.23</v>
      </c>
      <c r="AS153" s="13">
        <f t="shared" si="366"/>
        <v>0</v>
      </c>
      <c r="AT153" s="176">
        <f t="shared" si="366"/>
        <v>0.23</v>
      </c>
      <c r="AU153" s="174">
        <f t="shared" si="366"/>
        <v>17964856</v>
      </c>
      <c r="AV153" s="16">
        <f t="shared" si="366"/>
        <v>13011175</v>
      </c>
      <c r="AW153" s="16">
        <f t="shared" si="366"/>
        <v>44400</v>
      </c>
      <c r="AX153" s="16">
        <f t="shared" si="366"/>
        <v>4412788</v>
      </c>
      <c r="AY153" s="16">
        <f t="shared" si="366"/>
        <v>260223</v>
      </c>
      <c r="AZ153" s="16">
        <f t="shared" si="366"/>
        <v>236270</v>
      </c>
      <c r="BA153" s="13">
        <f t="shared" si="366"/>
        <v>26.449800000000003</v>
      </c>
      <c r="BB153" s="13">
        <f t="shared" si="366"/>
        <v>19.026</v>
      </c>
      <c r="BC153" s="17">
        <f t="shared" si="366"/>
        <v>7.4238</v>
      </c>
    </row>
    <row r="154" spans="1:55" s="95" customFormat="1" ht="12.95" customHeight="1" x14ac:dyDescent="0.25">
      <c r="D154" s="339"/>
      <c r="E154" s="340"/>
      <c r="F154" s="339"/>
      <c r="G154" s="341"/>
      <c r="H154" s="2">
        <v>3122</v>
      </c>
      <c r="I154" s="174">
        <f t="shared" ref="I154:BC154" si="367">SUMIF($F$12:$F$466,"=3122",I$12:I$466)</f>
        <v>0</v>
      </c>
      <c r="J154" s="16">
        <f t="shared" si="367"/>
        <v>0</v>
      </c>
      <c r="K154" s="16">
        <f t="shared" si="367"/>
        <v>0</v>
      </c>
      <c r="L154" s="16">
        <f t="shared" si="367"/>
        <v>0</v>
      </c>
      <c r="M154" s="16">
        <f t="shared" si="367"/>
        <v>0</v>
      </c>
      <c r="N154" s="16">
        <f t="shared" si="367"/>
        <v>0</v>
      </c>
      <c r="O154" s="13">
        <f t="shared" si="367"/>
        <v>0</v>
      </c>
      <c r="P154" s="13">
        <f t="shared" si="367"/>
        <v>0</v>
      </c>
      <c r="Q154" s="176">
        <f t="shared" si="367"/>
        <v>0</v>
      </c>
      <c r="R154" s="174">
        <f t="shared" si="367"/>
        <v>0</v>
      </c>
      <c r="S154" s="16">
        <f t="shared" si="367"/>
        <v>0</v>
      </c>
      <c r="T154" s="16">
        <f t="shared" si="367"/>
        <v>0</v>
      </c>
      <c r="U154" s="16">
        <f t="shared" si="367"/>
        <v>0</v>
      </c>
      <c r="V154" s="16">
        <f t="shared" si="367"/>
        <v>0</v>
      </c>
      <c r="W154" s="16">
        <f t="shared" si="367"/>
        <v>0</v>
      </c>
      <c r="X154" s="16">
        <f t="shared" si="367"/>
        <v>0</v>
      </c>
      <c r="Y154" s="16">
        <f t="shared" si="367"/>
        <v>0</v>
      </c>
      <c r="Z154" s="16">
        <f t="shared" si="367"/>
        <v>0</v>
      </c>
      <c r="AA154" s="16">
        <f t="shared" si="367"/>
        <v>0</v>
      </c>
      <c r="AB154" s="16">
        <f t="shared" si="367"/>
        <v>0</v>
      </c>
      <c r="AC154" s="16">
        <f t="shared" si="367"/>
        <v>0</v>
      </c>
      <c r="AD154" s="16">
        <f t="shared" si="367"/>
        <v>0</v>
      </c>
      <c r="AE154" s="16">
        <f t="shared" si="367"/>
        <v>0</v>
      </c>
      <c r="AF154" s="16">
        <f t="shared" si="367"/>
        <v>0</v>
      </c>
      <c r="AG154" s="16">
        <f t="shared" si="367"/>
        <v>0</v>
      </c>
      <c r="AH154" s="16">
        <f t="shared" si="367"/>
        <v>0</v>
      </c>
      <c r="AI154" s="16">
        <f t="shared" si="367"/>
        <v>0</v>
      </c>
      <c r="AJ154" s="13">
        <f t="shared" si="367"/>
        <v>0</v>
      </c>
      <c r="AK154" s="13">
        <f t="shared" si="367"/>
        <v>0</v>
      </c>
      <c r="AL154" s="13">
        <f t="shared" si="367"/>
        <v>0</v>
      </c>
      <c r="AM154" s="13">
        <f t="shared" si="367"/>
        <v>0</v>
      </c>
      <c r="AN154" s="13">
        <f t="shared" si="367"/>
        <v>0</v>
      </c>
      <c r="AO154" s="13">
        <f t="shared" si="367"/>
        <v>0</v>
      </c>
      <c r="AP154" s="13">
        <f t="shared" si="367"/>
        <v>0</v>
      </c>
      <c r="AQ154" s="13">
        <f t="shared" si="367"/>
        <v>0</v>
      </c>
      <c r="AR154" s="13">
        <f t="shared" si="367"/>
        <v>0</v>
      </c>
      <c r="AS154" s="13">
        <f t="shared" si="367"/>
        <v>0</v>
      </c>
      <c r="AT154" s="176">
        <f t="shared" si="367"/>
        <v>0</v>
      </c>
      <c r="AU154" s="174">
        <f t="shared" si="367"/>
        <v>0</v>
      </c>
      <c r="AV154" s="16">
        <f t="shared" si="367"/>
        <v>0</v>
      </c>
      <c r="AW154" s="16">
        <f t="shared" si="367"/>
        <v>0</v>
      </c>
      <c r="AX154" s="16">
        <f t="shared" si="367"/>
        <v>0</v>
      </c>
      <c r="AY154" s="16">
        <f t="shared" si="367"/>
        <v>0</v>
      </c>
      <c r="AZ154" s="16">
        <f t="shared" si="367"/>
        <v>0</v>
      </c>
      <c r="BA154" s="13">
        <f t="shared" si="367"/>
        <v>0</v>
      </c>
      <c r="BB154" s="13">
        <f t="shared" si="367"/>
        <v>0</v>
      </c>
      <c r="BC154" s="17">
        <f t="shared" si="367"/>
        <v>0</v>
      </c>
    </row>
    <row r="155" spans="1:55" s="95" customFormat="1" ht="12.95" customHeight="1" x14ac:dyDescent="0.25">
      <c r="D155" s="339"/>
      <c r="E155" s="340"/>
      <c r="F155" s="339"/>
      <c r="G155" s="341"/>
      <c r="H155" s="2">
        <v>3124</v>
      </c>
      <c r="I155" s="174">
        <f t="shared" ref="I155:BC155" si="368">SUMIF($F$12:$F$466,"=3124",I$12:I$466)</f>
        <v>0</v>
      </c>
      <c r="J155" s="16">
        <f t="shared" si="368"/>
        <v>0</v>
      </c>
      <c r="K155" s="16">
        <f t="shared" si="368"/>
        <v>0</v>
      </c>
      <c r="L155" s="16">
        <f t="shared" si="368"/>
        <v>0</v>
      </c>
      <c r="M155" s="16">
        <f t="shared" si="368"/>
        <v>0</v>
      </c>
      <c r="N155" s="16">
        <f t="shared" si="368"/>
        <v>0</v>
      </c>
      <c r="O155" s="13">
        <f t="shared" si="368"/>
        <v>0</v>
      </c>
      <c r="P155" s="13">
        <f t="shared" si="368"/>
        <v>0</v>
      </c>
      <c r="Q155" s="176">
        <f t="shared" si="368"/>
        <v>0</v>
      </c>
      <c r="R155" s="174">
        <f t="shared" si="368"/>
        <v>0</v>
      </c>
      <c r="S155" s="16">
        <f t="shared" si="368"/>
        <v>0</v>
      </c>
      <c r="T155" s="16">
        <f t="shared" si="368"/>
        <v>0</v>
      </c>
      <c r="U155" s="16">
        <f t="shared" si="368"/>
        <v>0</v>
      </c>
      <c r="V155" s="16">
        <f t="shared" si="368"/>
        <v>0</v>
      </c>
      <c r="W155" s="16">
        <f t="shared" si="368"/>
        <v>0</v>
      </c>
      <c r="X155" s="16">
        <f t="shared" si="368"/>
        <v>0</v>
      </c>
      <c r="Y155" s="16">
        <f t="shared" si="368"/>
        <v>0</v>
      </c>
      <c r="Z155" s="16">
        <f t="shared" si="368"/>
        <v>0</v>
      </c>
      <c r="AA155" s="16">
        <f t="shared" si="368"/>
        <v>0</v>
      </c>
      <c r="AB155" s="16">
        <f t="shared" si="368"/>
        <v>0</v>
      </c>
      <c r="AC155" s="16">
        <f t="shared" si="368"/>
        <v>0</v>
      </c>
      <c r="AD155" s="16">
        <f t="shared" si="368"/>
        <v>0</v>
      </c>
      <c r="AE155" s="16">
        <f t="shared" si="368"/>
        <v>0</v>
      </c>
      <c r="AF155" s="16">
        <f t="shared" si="368"/>
        <v>0</v>
      </c>
      <c r="AG155" s="16">
        <f t="shared" si="368"/>
        <v>0</v>
      </c>
      <c r="AH155" s="16">
        <f t="shared" si="368"/>
        <v>0</v>
      </c>
      <c r="AI155" s="16">
        <f t="shared" si="368"/>
        <v>0</v>
      </c>
      <c r="AJ155" s="13">
        <f t="shared" si="368"/>
        <v>0</v>
      </c>
      <c r="AK155" s="13">
        <f t="shared" si="368"/>
        <v>0</v>
      </c>
      <c r="AL155" s="13">
        <f t="shared" si="368"/>
        <v>0</v>
      </c>
      <c r="AM155" s="13">
        <f t="shared" si="368"/>
        <v>0</v>
      </c>
      <c r="AN155" s="13">
        <f t="shared" si="368"/>
        <v>0</v>
      </c>
      <c r="AO155" s="13">
        <f t="shared" si="368"/>
        <v>0</v>
      </c>
      <c r="AP155" s="13">
        <f t="shared" si="368"/>
        <v>0</v>
      </c>
      <c r="AQ155" s="13">
        <f t="shared" si="368"/>
        <v>0</v>
      </c>
      <c r="AR155" s="13">
        <f t="shared" si="368"/>
        <v>0</v>
      </c>
      <c r="AS155" s="13">
        <f t="shared" si="368"/>
        <v>0</v>
      </c>
      <c r="AT155" s="176">
        <f t="shared" si="368"/>
        <v>0</v>
      </c>
      <c r="AU155" s="174">
        <f t="shared" si="368"/>
        <v>0</v>
      </c>
      <c r="AV155" s="16">
        <f t="shared" si="368"/>
        <v>0</v>
      </c>
      <c r="AW155" s="16">
        <f t="shared" si="368"/>
        <v>0</v>
      </c>
      <c r="AX155" s="16">
        <f t="shared" si="368"/>
        <v>0</v>
      </c>
      <c r="AY155" s="16">
        <f t="shared" si="368"/>
        <v>0</v>
      </c>
      <c r="AZ155" s="16">
        <f t="shared" si="368"/>
        <v>0</v>
      </c>
      <c r="BA155" s="13">
        <f t="shared" si="368"/>
        <v>0</v>
      </c>
      <c r="BB155" s="13">
        <f t="shared" si="368"/>
        <v>0</v>
      </c>
      <c r="BC155" s="17">
        <f t="shared" si="368"/>
        <v>0</v>
      </c>
    </row>
    <row r="156" spans="1:55" s="95" customFormat="1" ht="12.95" customHeight="1" x14ac:dyDescent="0.25">
      <c r="D156" s="339"/>
      <c r="E156" s="340"/>
      <c r="F156" s="339"/>
      <c r="G156" s="341"/>
      <c r="H156" s="2">
        <v>3141</v>
      </c>
      <c r="I156" s="174">
        <f t="shared" ref="I156:BC156" si="369">SUMIF($F$12:$F$466,"=3141",I$12:I$466)</f>
        <v>20060108</v>
      </c>
      <c r="J156" s="16">
        <f t="shared" si="369"/>
        <v>14657713</v>
      </c>
      <c r="K156" s="16">
        <f t="shared" si="369"/>
        <v>32000</v>
      </c>
      <c r="L156" s="16">
        <f t="shared" si="369"/>
        <v>4965124</v>
      </c>
      <c r="M156" s="16">
        <f t="shared" si="369"/>
        <v>293153</v>
      </c>
      <c r="N156" s="16">
        <f t="shared" si="369"/>
        <v>112118</v>
      </c>
      <c r="O156" s="13">
        <f t="shared" si="369"/>
        <v>46.370000000000005</v>
      </c>
      <c r="P156" s="13">
        <f t="shared" si="369"/>
        <v>0</v>
      </c>
      <c r="Q156" s="176">
        <f t="shared" si="369"/>
        <v>46.370000000000005</v>
      </c>
      <c r="R156" s="174">
        <f t="shared" si="369"/>
        <v>0</v>
      </c>
      <c r="S156" s="16">
        <f t="shared" si="369"/>
        <v>0</v>
      </c>
      <c r="T156" s="16">
        <f t="shared" si="369"/>
        <v>-131568</v>
      </c>
      <c r="U156" s="16">
        <f t="shared" si="369"/>
        <v>0</v>
      </c>
      <c r="V156" s="16">
        <f t="shared" si="369"/>
        <v>0</v>
      </c>
      <c r="W156" s="16">
        <f t="shared" si="369"/>
        <v>0</v>
      </c>
      <c r="X156" s="16">
        <f t="shared" si="369"/>
        <v>-131568</v>
      </c>
      <c r="Y156" s="16">
        <f t="shared" si="369"/>
        <v>0</v>
      </c>
      <c r="Z156" s="16">
        <f t="shared" si="369"/>
        <v>0</v>
      </c>
      <c r="AA156" s="16">
        <f t="shared" si="369"/>
        <v>0</v>
      </c>
      <c r="AB156" s="16">
        <f t="shared" si="369"/>
        <v>0</v>
      </c>
      <c r="AC156" s="16">
        <f t="shared" si="369"/>
        <v>-131568</v>
      </c>
      <c r="AD156" s="16">
        <f t="shared" si="369"/>
        <v>-44470</v>
      </c>
      <c r="AE156" s="16">
        <f t="shared" si="369"/>
        <v>-2633</v>
      </c>
      <c r="AF156" s="16">
        <f t="shared" si="369"/>
        <v>0</v>
      </c>
      <c r="AG156" s="16">
        <f t="shared" si="369"/>
        <v>0</v>
      </c>
      <c r="AH156" s="16">
        <f t="shared" si="369"/>
        <v>0</v>
      </c>
      <c r="AI156" s="16">
        <f t="shared" si="369"/>
        <v>-178671</v>
      </c>
      <c r="AJ156" s="13">
        <f t="shared" si="369"/>
        <v>0</v>
      </c>
      <c r="AK156" s="13">
        <f t="shared" si="369"/>
        <v>0</v>
      </c>
      <c r="AL156" s="13">
        <f t="shared" si="369"/>
        <v>0</v>
      </c>
      <c r="AM156" s="13">
        <f t="shared" si="369"/>
        <v>0</v>
      </c>
      <c r="AN156" s="13">
        <f t="shared" si="369"/>
        <v>-0.39</v>
      </c>
      <c r="AO156" s="13">
        <f t="shared" si="369"/>
        <v>0</v>
      </c>
      <c r="AP156" s="13">
        <f t="shared" si="369"/>
        <v>0</v>
      </c>
      <c r="AQ156" s="13">
        <f t="shared" si="369"/>
        <v>0</v>
      </c>
      <c r="AR156" s="13">
        <f t="shared" si="369"/>
        <v>0</v>
      </c>
      <c r="AS156" s="13">
        <f t="shared" si="369"/>
        <v>-0.39</v>
      </c>
      <c r="AT156" s="176">
        <f t="shared" si="369"/>
        <v>-0.39</v>
      </c>
      <c r="AU156" s="174">
        <f t="shared" si="369"/>
        <v>19881437</v>
      </c>
      <c r="AV156" s="16">
        <f t="shared" si="369"/>
        <v>14526145</v>
      </c>
      <c r="AW156" s="16">
        <f t="shared" si="369"/>
        <v>32000</v>
      </c>
      <c r="AX156" s="16">
        <f t="shared" si="369"/>
        <v>4920654</v>
      </c>
      <c r="AY156" s="16">
        <f t="shared" si="369"/>
        <v>290520</v>
      </c>
      <c r="AZ156" s="16">
        <f t="shared" si="369"/>
        <v>112118</v>
      </c>
      <c r="BA156" s="13">
        <f t="shared" si="369"/>
        <v>45.980000000000004</v>
      </c>
      <c r="BB156" s="13">
        <f t="shared" si="369"/>
        <v>0</v>
      </c>
      <c r="BC156" s="17">
        <f t="shared" si="369"/>
        <v>45.980000000000004</v>
      </c>
    </row>
    <row r="157" spans="1:55" s="95" customFormat="1" ht="12.95" customHeight="1" x14ac:dyDescent="0.25">
      <c r="D157" s="339"/>
      <c r="E157" s="340"/>
      <c r="F157" s="339"/>
      <c r="G157" s="341"/>
      <c r="H157" s="2">
        <v>3143</v>
      </c>
      <c r="I157" s="174">
        <f t="shared" ref="I157:BC157" si="370">SUMIF($F$12:$F$466,"=3143",I$12:I$466)</f>
        <v>15669265</v>
      </c>
      <c r="J157" s="16">
        <f t="shared" si="370"/>
        <v>11518208</v>
      </c>
      <c r="K157" s="16">
        <f t="shared" si="370"/>
        <v>5000</v>
      </c>
      <c r="L157" s="16">
        <f t="shared" si="370"/>
        <v>3894844</v>
      </c>
      <c r="M157" s="16">
        <f t="shared" si="370"/>
        <v>230363</v>
      </c>
      <c r="N157" s="16">
        <f t="shared" si="370"/>
        <v>20850</v>
      </c>
      <c r="O157" s="13">
        <f t="shared" si="370"/>
        <v>24.130499999999998</v>
      </c>
      <c r="P157" s="13">
        <f t="shared" si="370"/>
        <v>21.6462</v>
      </c>
      <c r="Q157" s="176">
        <f t="shared" si="370"/>
        <v>2.4843000000000002</v>
      </c>
      <c r="R157" s="174">
        <f t="shared" si="370"/>
        <v>0</v>
      </c>
      <c r="S157" s="16">
        <f t="shared" si="370"/>
        <v>0</v>
      </c>
      <c r="T157" s="16">
        <f t="shared" si="370"/>
        <v>0</v>
      </c>
      <c r="U157" s="16">
        <f t="shared" si="370"/>
        <v>0</v>
      </c>
      <c r="V157" s="16">
        <f t="shared" si="370"/>
        <v>0</v>
      </c>
      <c r="W157" s="16">
        <f t="shared" si="370"/>
        <v>0</v>
      </c>
      <c r="X157" s="16">
        <f t="shared" si="370"/>
        <v>0</v>
      </c>
      <c r="Y157" s="16">
        <f t="shared" si="370"/>
        <v>0</v>
      </c>
      <c r="Z157" s="16">
        <f t="shared" si="370"/>
        <v>0</v>
      </c>
      <c r="AA157" s="16">
        <f t="shared" si="370"/>
        <v>0</v>
      </c>
      <c r="AB157" s="16">
        <f t="shared" si="370"/>
        <v>0</v>
      </c>
      <c r="AC157" s="16">
        <f t="shared" si="370"/>
        <v>0</v>
      </c>
      <c r="AD157" s="16">
        <f t="shared" si="370"/>
        <v>0</v>
      </c>
      <c r="AE157" s="16">
        <f t="shared" si="370"/>
        <v>0</v>
      </c>
      <c r="AF157" s="16">
        <f t="shared" si="370"/>
        <v>0</v>
      </c>
      <c r="AG157" s="16">
        <f t="shared" si="370"/>
        <v>0</v>
      </c>
      <c r="AH157" s="16">
        <f t="shared" si="370"/>
        <v>0</v>
      </c>
      <c r="AI157" s="16">
        <f t="shared" si="370"/>
        <v>0</v>
      </c>
      <c r="AJ157" s="13">
        <f t="shared" si="370"/>
        <v>0</v>
      </c>
      <c r="AK157" s="13">
        <f t="shared" si="370"/>
        <v>0</v>
      </c>
      <c r="AL157" s="13">
        <f t="shared" si="370"/>
        <v>0</v>
      </c>
      <c r="AM157" s="13">
        <f t="shared" si="370"/>
        <v>0</v>
      </c>
      <c r="AN157" s="13">
        <f t="shared" si="370"/>
        <v>0</v>
      </c>
      <c r="AO157" s="13">
        <f t="shared" si="370"/>
        <v>0</v>
      </c>
      <c r="AP157" s="13">
        <f t="shared" si="370"/>
        <v>0</v>
      </c>
      <c r="AQ157" s="13">
        <f t="shared" si="370"/>
        <v>0</v>
      </c>
      <c r="AR157" s="13">
        <f t="shared" si="370"/>
        <v>0</v>
      </c>
      <c r="AS157" s="13">
        <f t="shared" si="370"/>
        <v>0</v>
      </c>
      <c r="AT157" s="176">
        <f t="shared" si="370"/>
        <v>0</v>
      </c>
      <c r="AU157" s="174">
        <f t="shared" si="370"/>
        <v>15669265</v>
      </c>
      <c r="AV157" s="16">
        <f t="shared" si="370"/>
        <v>11518208</v>
      </c>
      <c r="AW157" s="16">
        <f t="shared" si="370"/>
        <v>5000</v>
      </c>
      <c r="AX157" s="16">
        <f t="shared" si="370"/>
        <v>3894844</v>
      </c>
      <c r="AY157" s="16">
        <f t="shared" si="370"/>
        <v>230363</v>
      </c>
      <c r="AZ157" s="16">
        <f t="shared" si="370"/>
        <v>20850</v>
      </c>
      <c r="BA157" s="13">
        <f t="shared" si="370"/>
        <v>24.130499999999998</v>
      </c>
      <c r="BB157" s="13">
        <f t="shared" si="370"/>
        <v>21.6462</v>
      </c>
      <c r="BC157" s="17">
        <f t="shared" si="370"/>
        <v>2.4843000000000002</v>
      </c>
    </row>
    <row r="158" spans="1:55" s="95" customFormat="1" ht="12.95" customHeight="1" x14ac:dyDescent="0.25">
      <c r="D158" s="339"/>
      <c r="E158" s="340"/>
      <c r="F158" s="339"/>
      <c r="G158" s="341"/>
      <c r="H158" s="2">
        <v>3231</v>
      </c>
      <c r="I158" s="174">
        <f t="shared" ref="I158:BC158" si="371">SUMIF($F$12:$F$466,"=3231",I$12:I$466)</f>
        <v>19918455</v>
      </c>
      <c r="J158" s="16">
        <f t="shared" si="371"/>
        <v>14574396</v>
      </c>
      <c r="K158" s="16">
        <f t="shared" si="371"/>
        <v>43300</v>
      </c>
      <c r="L158" s="16">
        <f t="shared" si="371"/>
        <v>4940781</v>
      </c>
      <c r="M158" s="16">
        <f t="shared" si="371"/>
        <v>291488</v>
      </c>
      <c r="N158" s="16">
        <f t="shared" si="371"/>
        <v>68490</v>
      </c>
      <c r="O158" s="13">
        <f t="shared" si="371"/>
        <v>26.838199999999997</v>
      </c>
      <c r="P158" s="13">
        <f t="shared" si="371"/>
        <v>24.058700000000002</v>
      </c>
      <c r="Q158" s="176">
        <f t="shared" si="371"/>
        <v>2.7794999999999996</v>
      </c>
      <c r="R158" s="174">
        <f t="shared" si="371"/>
        <v>0</v>
      </c>
      <c r="S158" s="16">
        <f t="shared" si="371"/>
        <v>0</v>
      </c>
      <c r="T158" s="16">
        <f t="shared" si="371"/>
        <v>0</v>
      </c>
      <c r="U158" s="16">
        <f t="shared" si="371"/>
        <v>0</v>
      </c>
      <c r="V158" s="16">
        <f t="shared" si="371"/>
        <v>0</v>
      </c>
      <c r="W158" s="16">
        <f t="shared" si="371"/>
        <v>0</v>
      </c>
      <c r="X158" s="16">
        <f t="shared" si="371"/>
        <v>0</v>
      </c>
      <c r="Y158" s="16">
        <f t="shared" si="371"/>
        <v>0</v>
      </c>
      <c r="Z158" s="16">
        <f t="shared" si="371"/>
        <v>0</v>
      </c>
      <c r="AA158" s="16">
        <f t="shared" si="371"/>
        <v>0</v>
      </c>
      <c r="AB158" s="16">
        <f t="shared" si="371"/>
        <v>0</v>
      </c>
      <c r="AC158" s="16">
        <f t="shared" si="371"/>
        <v>0</v>
      </c>
      <c r="AD158" s="16">
        <f t="shared" si="371"/>
        <v>0</v>
      </c>
      <c r="AE158" s="16">
        <f t="shared" si="371"/>
        <v>0</v>
      </c>
      <c r="AF158" s="16">
        <f t="shared" si="371"/>
        <v>0</v>
      </c>
      <c r="AG158" s="16">
        <f t="shared" si="371"/>
        <v>0</v>
      </c>
      <c r="AH158" s="16">
        <f t="shared" si="371"/>
        <v>0</v>
      </c>
      <c r="AI158" s="16">
        <f t="shared" si="371"/>
        <v>0</v>
      </c>
      <c r="AJ158" s="13">
        <f t="shared" si="371"/>
        <v>0</v>
      </c>
      <c r="AK158" s="13">
        <f t="shared" si="371"/>
        <v>0</v>
      </c>
      <c r="AL158" s="13">
        <f t="shared" si="371"/>
        <v>0</v>
      </c>
      <c r="AM158" s="13">
        <f t="shared" si="371"/>
        <v>0</v>
      </c>
      <c r="AN158" s="13">
        <f t="shared" si="371"/>
        <v>0</v>
      </c>
      <c r="AO158" s="13">
        <f t="shared" si="371"/>
        <v>0</v>
      </c>
      <c r="AP158" s="13">
        <f t="shared" si="371"/>
        <v>0</v>
      </c>
      <c r="AQ158" s="13">
        <f t="shared" si="371"/>
        <v>0</v>
      </c>
      <c r="AR158" s="13">
        <f t="shared" si="371"/>
        <v>0</v>
      </c>
      <c r="AS158" s="13">
        <f t="shared" si="371"/>
        <v>0</v>
      </c>
      <c r="AT158" s="176">
        <f t="shared" si="371"/>
        <v>0</v>
      </c>
      <c r="AU158" s="174">
        <f t="shared" si="371"/>
        <v>19918455</v>
      </c>
      <c r="AV158" s="16">
        <f t="shared" si="371"/>
        <v>14574396</v>
      </c>
      <c r="AW158" s="16">
        <f t="shared" si="371"/>
        <v>43300</v>
      </c>
      <c r="AX158" s="16">
        <f t="shared" si="371"/>
        <v>4940781</v>
      </c>
      <c r="AY158" s="16">
        <f t="shared" si="371"/>
        <v>291488</v>
      </c>
      <c r="AZ158" s="16">
        <f t="shared" si="371"/>
        <v>68490</v>
      </c>
      <c r="BA158" s="13">
        <f t="shared" si="371"/>
        <v>26.838199999999997</v>
      </c>
      <c r="BB158" s="13">
        <f t="shared" si="371"/>
        <v>24.058700000000002</v>
      </c>
      <c r="BC158" s="17">
        <f t="shared" si="371"/>
        <v>2.7794999999999996</v>
      </c>
    </row>
    <row r="159" spans="1:55" s="95" customFormat="1" ht="15.75" thickBot="1" x14ac:dyDescent="0.3">
      <c r="D159" s="339"/>
      <c r="E159" s="340"/>
      <c r="F159" s="339"/>
      <c r="G159" s="341"/>
      <c r="H159" s="158">
        <v>3233</v>
      </c>
      <c r="I159" s="177">
        <f t="shared" ref="I159:BC159" si="372">SUMIF($F$12:$F$466,"=3233",I$12:I$466)</f>
        <v>2626229</v>
      </c>
      <c r="J159" s="178">
        <f t="shared" si="372"/>
        <v>1774764</v>
      </c>
      <c r="K159" s="178">
        <f t="shared" si="372"/>
        <v>150000</v>
      </c>
      <c r="L159" s="178">
        <f t="shared" si="372"/>
        <v>650570</v>
      </c>
      <c r="M159" s="178">
        <f t="shared" si="372"/>
        <v>35495</v>
      </c>
      <c r="N159" s="178">
        <f t="shared" si="372"/>
        <v>15400</v>
      </c>
      <c r="O159" s="179">
        <f t="shared" si="372"/>
        <v>3.8000000000000003</v>
      </c>
      <c r="P159" s="179">
        <f t="shared" si="372"/>
        <v>2.6900000000000004</v>
      </c>
      <c r="Q159" s="182">
        <f t="shared" si="372"/>
        <v>1.1099999999999999</v>
      </c>
      <c r="R159" s="177">
        <f t="shared" si="372"/>
        <v>0</v>
      </c>
      <c r="S159" s="178">
        <f t="shared" si="372"/>
        <v>0</v>
      </c>
      <c r="T159" s="178">
        <f t="shared" si="372"/>
        <v>0</v>
      </c>
      <c r="U159" s="178">
        <f t="shared" si="372"/>
        <v>0</v>
      </c>
      <c r="V159" s="178">
        <f t="shared" si="372"/>
        <v>0</v>
      </c>
      <c r="W159" s="178">
        <f t="shared" si="372"/>
        <v>0</v>
      </c>
      <c r="X159" s="178">
        <f t="shared" si="372"/>
        <v>0</v>
      </c>
      <c r="Y159" s="178">
        <f t="shared" si="372"/>
        <v>0</v>
      </c>
      <c r="Z159" s="178">
        <f t="shared" si="372"/>
        <v>0</v>
      </c>
      <c r="AA159" s="178">
        <f t="shared" si="372"/>
        <v>0</v>
      </c>
      <c r="AB159" s="178">
        <f t="shared" si="372"/>
        <v>0</v>
      </c>
      <c r="AC159" s="178">
        <f t="shared" si="372"/>
        <v>0</v>
      </c>
      <c r="AD159" s="178">
        <f t="shared" si="372"/>
        <v>0</v>
      </c>
      <c r="AE159" s="178">
        <f t="shared" si="372"/>
        <v>0</v>
      </c>
      <c r="AF159" s="178">
        <f t="shared" si="372"/>
        <v>0</v>
      </c>
      <c r="AG159" s="178">
        <f t="shared" si="372"/>
        <v>0</v>
      </c>
      <c r="AH159" s="178">
        <f t="shared" si="372"/>
        <v>0</v>
      </c>
      <c r="AI159" s="178">
        <f t="shared" si="372"/>
        <v>0</v>
      </c>
      <c r="AJ159" s="179">
        <f t="shared" si="372"/>
        <v>0</v>
      </c>
      <c r="AK159" s="179">
        <f t="shared" si="372"/>
        <v>0</v>
      </c>
      <c r="AL159" s="179">
        <f t="shared" si="372"/>
        <v>0</v>
      </c>
      <c r="AM159" s="179">
        <f t="shared" si="372"/>
        <v>0</v>
      </c>
      <c r="AN159" s="179">
        <f t="shared" si="372"/>
        <v>0</v>
      </c>
      <c r="AO159" s="179">
        <f t="shared" si="372"/>
        <v>0</v>
      </c>
      <c r="AP159" s="179">
        <f t="shared" si="372"/>
        <v>0</v>
      </c>
      <c r="AQ159" s="179">
        <f t="shared" si="372"/>
        <v>0</v>
      </c>
      <c r="AR159" s="179">
        <f t="shared" si="372"/>
        <v>0</v>
      </c>
      <c r="AS159" s="179">
        <f t="shared" si="372"/>
        <v>0</v>
      </c>
      <c r="AT159" s="182">
        <f t="shared" si="372"/>
        <v>0</v>
      </c>
      <c r="AU159" s="177">
        <f t="shared" si="372"/>
        <v>2626229</v>
      </c>
      <c r="AV159" s="178">
        <f t="shared" si="372"/>
        <v>1774764</v>
      </c>
      <c r="AW159" s="178">
        <f t="shared" si="372"/>
        <v>150000</v>
      </c>
      <c r="AX159" s="178">
        <f t="shared" si="372"/>
        <v>650570</v>
      </c>
      <c r="AY159" s="178">
        <f t="shared" si="372"/>
        <v>35495</v>
      </c>
      <c r="AZ159" s="178">
        <f t="shared" si="372"/>
        <v>15400</v>
      </c>
      <c r="BA159" s="179">
        <f t="shared" si="372"/>
        <v>3.8000000000000003</v>
      </c>
      <c r="BB159" s="179">
        <f t="shared" si="372"/>
        <v>2.6900000000000004</v>
      </c>
      <c r="BC159" s="180">
        <f t="shared" si="372"/>
        <v>1.1099999999999999</v>
      </c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219"/>
  <sheetViews>
    <sheetView workbookViewId="0">
      <pane xSplit="8" ySplit="11" topLeftCell="I195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N216" sqref="N216"/>
    </sheetView>
  </sheetViews>
  <sheetFormatPr defaultColWidth="9.140625" defaultRowHeight="15" x14ac:dyDescent="0.25"/>
  <cols>
    <col min="1" max="1" width="5" style="429" customWidth="1"/>
    <col min="2" max="2" width="8" style="337" customWidth="1"/>
    <col min="3" max="3" width="10.28515625" style="337" customWidth="1"/>
    <col min="4" max="4" width="9.42578125" style="337" customWidth="1"/>
    <col min="5" max="5" width="26.28515625" style="278" customWidth="1"/>
    <col min="6" max="6" width="5.5703125" style="278" bestFit="1" customWidth="1"/>
    <col min="7" max="7" width="10.7109375" style="278" customWidth="1"/>
    <col min="8" max="8" width="8.5703125" style="430" customWidth="1"/>
    <col min="9" max="14" width="10.42578125" style="342" customWidth="1"/>
    <col min="15" max="15" width="11.28515625" style="343" customWidth="1"/>
    <col min="16" max="17" width="10.42578125" style="343" customWidth="1"/>
    <col min="18" max="22" width="9.140625" style="342" customWidth="1"/>
    <col min="23" max="23" width="9.7109375" style="342" customWidth="1"/>
    <col min="24" max="35" width="9.140625" style="342" customWidth="1"/>
    <col min="36" max="46" width="9.140625" style="343" customWidth="1"/>
    <col min="47" max="47" width="12" style="342" customWidth="1"/>
    <col min="48" max="48" width="11.28515625" style="342" customWidth="1"/>
    <col min="49" max="49" width="9.140625" style="342" customWidth="1"/>
    <col min="50" max="50" width="12.5703125" style="342" customWidth="1"/>
    <col min="51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39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2" customHeight="1" x14ac:dyDescent="0.25">
      <c r="A2" s="39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63" t="s">
        <v>4</v>
      </c>
      <c r="B3" s="863"/>
      <c r="C3" s="863"/>
      <c r="D3" s="863"/>
      <c r="E3" s="863"/>
      <c r="F3" s="277"/>
      <c r="G3" s="277"/>
      <c r="H3" s="277"/>
      <c r="S3" s="699"/>
      <c r="T3" s="699"/>
      <c r="U3" s="699"/>
    </row>
    <row r="4" spans="1:55" ht="12" customHeight="1" x14ac:dyDescent="0.25">
      <c r="A4" s="397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397"/>
      <c r="B6" s="279"/>
      <c r="C6" s="279"/>
      <c r="D6" s="279"/>
      <c r="E6" s="277"/>
      <c r="F6" s="277"/>
      <c r="G6" s="277"/>
      <c r="H6" s="277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397"/>
      <c r="B7" s="281"/>
      <c r="C7" s="95"/>
      <c r="D7" s="282"/>
      <c r="E7" s="281"/>
      <c r="F7" s="277"/>
      <c r="G7" s="277"/>
      <c r="H7" s="277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398"/>
      <c r="B8" s="284"/>
      <c r="C8" s="284"/>
      <c r="D8" s="284"/>
      <c r="E8" s="284"/>
      <c r="F8" s="284"/>
      <c r="G8" s="284"/>
      <c r="H8" s="284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5.75" customHeight="1" thickBot="1" x14ac:dyDescent="0.3">
      <c r="A9" s="396" t="s">
        <v>814</v>
      </c>
      <c r="B9" s="95"/>
      <c r="C9" s="95"/>
      <c r="D9" s="286"/>
      <c r="E9" s="95"/>
      <c r="F9" s="287"/>
      <c r="G9" s="288"/>
      <c r="H9" s="288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57" thickBot="1" x14ac:dyDescent="0.3">
      <c r="A10" s="39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295" customFormat="1" ht="12" thickBot="1" x14ac:dyDescent="0.25">
      <c r="A11" s="400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3" t="s">
        <v>268</v>
      </c>
      <c r="J11" s="144" t="s">
        <v>269</v>
      </c>
      <c r="K11" s="144" t="s">
        <v>275</v>
      </c>
      <c r="L11" s="144" t="s">
        <v>270</v>
      </c>
      <c r="M11" s="144" t="s">
        <v>271</v>
      </c>
      <c r="N11" s="144" t="s">
        <v>272</v>
      </c>
      <c r="O11" s="669" t="s">
        <v>273</v>
      </c>
      <c r="P11" s="197" t="s">
        <v>563</v>
      </c>
      <c r="Q11" s="198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5">
      <c r="A12" s="296">
        <v>1</v>
      </c>
      <c r="B12" s="297">
        <v>5490</v>
      </c>
      <c r="C12" s="297">
        <v>600099474</v>
      </c>
      <c r="D12" s="297">
        <v>71173854</v>
      </c>
      <c r="E12" s="401" t="s">
        <v>480</v>
      </c>
      <c r="F12" s="297">
        <v>3111</v>
      </c>
      <c r="G12" s="402" t="s">
        <v>325</v>
      </c>
      <c r="H12" s="403" t="s">
        <v>277</v>
      </c>
      <c r="I12" s="664">
        <v>13416902</v>
      </c>
      <c r="J12" s="665">
        <v>9746467</v>
      </c>
      <c r="K12" s="665">
        <v>0</v>
      </c>
      <c r="L12" s="665">
        <v>3294306</v>
      </c>
      <c r="M12" s="665">
        <v>194930</v>
      </c>
      <c r="N12" s="665">
        <v>181199</v>
      </c>
      <c r="O12" s="666">
        <v>22.122299999999999</v>
      </c>
      <c r="P12" s="667">
        <v>17.399999999999999</v>
      </c>
      <c r="Q12" s="668">
        <v>4.7222999999999997</v>
      </c>
      <c r="R12" s="462">
        <f t="shared" ref="R12:R17" si="0">Y12*-1</f>
        <v>0</v>
      </c>
      <c r="S12" s="460">
        <v>0</v>
      </c>
      <c r="T12" s="460">
        <v>224372</v>
      </c>
      <c r="U12" s="460">
        <v>0</v>
      </c>
      <c r="V12" s="460">
        <v>0</v>
      </c>
      <c r="W12" s="460">
        <v>0</v>
      </c>
      <c r="X12" s="460">
        <f t="shared" ref="X12:X17" si="1">SUM(R12:W12)</f>
        <v>224372</v>
      </c>
      <c r="Y12" s="460">
        <v>0</v>
      </c>
      <c r="Z12" s="460">
        <v>0</v>
      </c>
      <c r="AA12" s="460">
        <v>0</v>
      </c>
      <c r="AB12" s="460">
        <f t="shared" ref="AB12:AB17" si="2">SUM(Y12:AA12)</f>
        <v>0</v>
      </c>
      <c r="AC12" s="460">
        <f t="shared" ref="AC12:AC17" si="3">X12+AB12</f>
        <v>224372</v>
      </c>
      <c r="AD12" s="151">
        <f t="shared" ref="AD12:AD17" si="4">ROUND((X12+Y12+Z12)*33.8%,0)</f>
        <v>75838</v>
      </c>
      <c r="AE12" s="151">
        <f t="shared" ref="AE12:AE17" si="5">ROUND(X12*2%,0)</f>
        <v>4487</v>
      </c>
      <c r="AF12" s="460">
        <v>0</v>
      </c>
      <c r="AG12" s="460">
        <v>0</v>
      </c>
      <c r="AH12" s="460">
        <f t="shared" ref="AH12:AH17" si="6">SUM(AF12:AG12)</f>
        <v>0</v>
      </c>
      <c r="AI12" s="460">
        <f t="shared" ref="AI12:AI17" si="7">AC12+AD12+AE12+AH12</f>
        <v>304697</v>
      </c>
      <c r="AJ12" s="461">
        <v>0</v>
      </c>
      <c r="AK12" s="461">
        <v>0</v>
      </c>
      <c r="AL12" s="461">
        <v>0</v>
      </c>
      <c r="AM12" s="461">
        <v>0.45</v>
      </c>
      <c r="AN12" s="461">
        <v>0</v>
      </c>
      <c r="AO12" s="461">
        <v>0</v>
      </c>
      <c r="AP12" s="461">
        <v>0</v>
      </c>
      <c r="AQ12" s="461">
        <v>0</v>
      </c>
      <c r="AR12" s="461">
        <f t="shared" ref="AR12:AR17" si="8">AJ12+AL12+AM12+AO12+AP12</f>
        <v>0.45</v>
      </c>
      <c r="AS12" s="461">
        <f t="shared" ref="AS12:AS17" si="9">AK12+AN12+AQ12</f>
        <v>0</v>
      </c>
      <c r="AT12" s="463">
        <f t="shared" ref="AT12:AT17" si="10">SUM(AR12:AS12)</f>
        <v>0.45</v>
      </c>
      <c r="AU12" s="459">
        <f t="shared" ref="AU12:AU17" si="11">I12+AI12</f>
        <v>13721599</v>
      </c>
      <c r="AV12" s="460">
        <f t="shared" ref="AV12:AV17" si="12">J12+X12</f>
        <v>9970839</v>
      </c>
      <c r="AW12" s="460">
        <f>K12+AB12</f>
        <v>0</v>
      </c>
      <c r="AX12" s="460">
        <f t="shared" ref="AX12:AY17" si="13">L12+AD12</f>
        <v>3370144</v>
      </c>
      <c r="AY12" s="460">
        <f t="shared" si="13"/>
        <v>199417</v>
      </c>
      <c r="AZ12" s="460">
        <f t="shared" ref="AZ12:AZ17" si="14">N12+AH12</f>
        <v>181199</v>
      </c>
      <c r="BA12" s="461">
        <f t="shared" ref="BA12:BA17" si="15">O12+AT12</f>
        <v>22.572299999999998</v>
      </c>
      <c r="BB12" s="461">
        <f t="shared" ref="BB12:BC17" si="16">P12+AR12</f>
        <v>17.849999999999998</v>
      </c>
      <c r="BC12" s="463">
        <f t="shared" si="16"/>
        <v>4.7222999999999997</v>
      </c>
    </row>
    <row r="13" spans="1:55" ht="12" customHeight="1" x14ac:dyDescent="0.25">
      <c r="A13" s="308">
        <v>1</v>
      </c>
      <c r="B13" s="404">
        <v>5490</v>
      </c>
      <c r="C13" s="404">
        <v>600099474</v>
      </c>
      <c r="D13" s="404">
        <v>71173854</v>
      </c>
      <c r="E13" s="405" t="s">
        <v>480</v>
      </c>
      <c r="F13" s="404">
        <v>3111</v>
      </c>
      <c r="G13" s="359" t="s">
        <v>313</v>
      </c>
      <c r="H13" s="313" t="s">
        <v>277</v>
      </c>
      <c r="I13" s="477">
        <v>2128681</v>
      </c>
      <c r="J13" s="472">
        <v>1567512</v>
      </c>
      <c r="K13" s="472">
        <v>0</v>
      </c>
      <c r="L13" s="472">
        <v>529819</v>
      </c>
      <c r="M13" s="472">
        <v>31350</v>
      </c>
      <c r="N13" s="472">
        <v>0</v>
      </c>
      <c r="O13" s="473">
        <v>4</v>
      </c>
      <c r="P13" s="474">
        <v>4</v>
      </c>
      <c r="Q13" s="483">
        <v>0</v>
      </c>
      <c r="R13" s="485">
        <f t="shared" si="0"/>
        <v>0</v>
      </c>
      <c r="S13" s="475">
        <v>0</v>
      </c>
      <c r="T13" s="475">
        <v>130626</v>
      </c>
      <c r="U13" s="475">
        <v>0</v>
      </c>
      <c r="V13" s="475">
        <v>0</v>
      </c>
      <c r="W13" s="475">
        <v>0</v>
      </c>
      <c r="X13" s="475">
        <f t="shared" si="1"/>
        <v>130626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130626</v>
      </c>
      <c r="AD13" s="70">
        <f t="shared" si="4"/>
        <v>44152</v>
      </c>
      <c r="AE13" s="70">
        <f t="shared" si="5"/>
        <v>2613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177391</v>
      </c>
      <c r="AJ13" s="476">
        <v>0</v>
      </c>
      <c r="AK13" s="476">
        <v>0</v>
      </c>
      <c r="AL13" s="476">
        <v>0</v>
      </c>
      <c r="AM13" s="476">
        <v>0.33</v>
      </c>
      <c r="AN13" s="476">
        <v>0</v>
      </c>
      <c r="AO13" s="476">
        <v>0</v>
      </c>
      <c r="AP13" s="476">
        <v>0</v>
      </c>
      <c r="AQ13" s="476">
        <v>0</v>
      </c>
      <c r="AR13" s="476">
        <f t="shared" si="8"/>
        <v>0.33</v>
      </c>
      <c r="AS13" s="476">
        <f t="shared" si="9"/>
        <v>0</v>
      </c>
      <c r="AT13" s="478">
        <f t="shared" si="10"/>
        <v>0.33</v>
      </c>
      <c r="AU13" s="484">
        <f t="shared" si="11"/>
        <v>2306072</v>
      </c>
      <c r="AV13" s="475">
        <f t="shared" si="12"/>
        <v>1698138</v>
      </c>
      <c r="AW13" s="475">
        <f>K13+AB13</f>
        <v>0</v>
      </c>
      <c r="AX13" s="475">
        <f t="shared" si="13"/>
        <v>573971</v>
      </c>
      <c r="AY13" s="475">
        <f t="shared" si="13"/>
        <v>33963</v>
      </c>
      <c r="AZ13" s="475">
        <f t="shared" si="14"/>
        <v>0</v>
      </c>
      <c r="BA13" s="476">
        <f t="shared" si="15"/>
        <v>4.33</v>
      </c>
      <c r="BB13" s="476">
        <f t="shared" si="16"/>
        <v>4.33</v>
      </c>
      <c r="BC13" s="478">
        <f t="shared" si="16"/>
        <v>0</v>
      </c>
    </row>
    <row r="14" spans="1:55" ht="12.95" customHeight="1" x14ac:dyDescent="0.25">
      <c r="A14" s="308">
        <v>1</v>
      </c>
      <c r="B14" s="225">
        <v>5490</v>
      </c>
      <c r="C14" s="404">
        <v>600099474</v>
      </c>
      <c r="D14" s="225">
        <v>71173854</v>
      </c>
      <c r="E14" s="406" t="s">
        <v>480</v>
      </c>
      <c r="F14" s="225">
        <v>3114</v>
      </c>
      <c r="G14" s="359" t="s">
        <v>556</v>
      </c>
      <c r="H14" s="313" t="s">
        <v>277</v>
      </c>
      <c r="I14" s="477">
        <v>5953045</v>
      </c>
      <c r="J14" s="472">
        <v>4360122</v>
      </c>
      <c r="K14" s="472">
        <v>0</v>
      </c>
      <c r="L14" s="472">
        <v>1473721</v>
      </c>
      <c r="M14" s="472">
        <v>87202</v>
      </c>
      <c r="N14" s="472">
        <v>32000</v>
      </c>
      <c r="O14" s="473">
        <v>8.1664999999999992</v>
      </c>
      <c r="P14" s="474">
        <v>5</v>
      </c>
      <c r="Q14" s="483">
        <v>3.1665000000000001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0</v>
      </c>
      <c r="Y14" s="475">
        <v>0</v>
      </c>
      <c r="Z14" s="475">
        <v>0</v>
      </c>
      <c r="AA14" s="475">
        <v>0</v>
      </c>
      <c r="AB14" s="475">
        <f t="shared" si="2"/>
        <v>0</v>
      </c>
      <c r="AC14" s="475">
        <f t="shared" si="3"/>
        <v>0</v>
      </c>
      <c r="AD14" s="70">
        <f t="shared" si="4"/>
        <v>0</v>
      </c>
      <c r="AE14" s="70">
        <f t="shared" si="5"/>
        <v>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 t="shared" si="8"/>
        <v>0</v>
      </c>
      <c r="AS14" s="476">
        <f t="shared" si="9"/>
        <v>0</v>
      </c>
      <c r="AT14" s="478">
        <f t="shared" si="10"/>
        <v>0</v>
      </c>
      <c r="AU14" s="484">
        <f t="shared" si="11"/>
        <v>5953045</v>
      </c>
      <c r="AV14" s="475">
        <f t="shared" si="12"/>
        <v>4360122</v>
      </c>
      <c r="AW14" s="475">
        <f t="shared" ref="AW14:AW17" si="17">K14+AB14</f>
        <v>0</v>
      </c>
      <c r="AX14" s="475">
        <f t="shared" si="13"/>
        <v>1473721</v>
      </c>
      <c r="AY14" s="475">
        <f t="shared" si="13"/>
        <v>87202</v>
      </c>
      <c r="AZ14" s="475">
        <f t="shared" si="14"/>
        <v>32000</v>
      </c>
      <c r="BA14" s="476">
        <f t="shared" si="15"/>
        <v>8.1664999999999992</v>
      </c>
      <c r="BB14" s="476">
        <f t="shared" si="16"/>
        <v>5</v>
      </c>
      <c r="BC14" s="478">
        <f t="shared" si="16"/>
        <v>3.1665000000000001</v>
      </c>
    </row>
    <row r="15" spans="1:55" ht="12.95" customHeight="1" x14ac:dyDescent="0.25">
      <c r="A15" s="308">
        <v>1</v>
      </c>
      <c r="B15" s="404">
        <v>5490</v>
      </c>
      <c r="C15" s="404">
        <v>600099474</v>
      </c>
      <c r="D15" s="404">
        <v>71173854</v>
      </c>
      <c r="E15" s="405" t="s">
        <v>480</v>
      </c>
      <c r="F15" s="225">
        <v>3114</v>
      </c>
      <c r="G15" s="351" t="s">
        <v>312</v>
      </c>
      <c r="H15" s="313" t="s">
        <v>278</v>
      </c>
      <c r="I15" s="477">
        <v>534650</v>
      </c>
      <c r="J15" s="472">
        <v>393705</v>
      </c>
      <c r="K15" s="472">
        <v>0</v>
      </c>
      <c r="L15" s="472">
        <v>133072</v>
      </c>
      <c r="M15" s="472">
        <v>7873</v>
      </c>
      <c r="N15" s="472">
        <v>0</v>
      </c>
      <c r="O15" s="473">
        <v>1.0900000000000001</v>
      </c>
      <c r="P15" s="474">
        <v>1.0900000000000001</v>
      </c>
      <c r="Q15" s="483">
        <v>0</v>
      </c>
      <c r="R15" s="485">
        <f t="shared" si="0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"/>
        <v>0</v>
      </c>
      <c r="Y15" s="475">
        <v>0</v>
      </c>
      <c r="Z15" s="475">
        <v>0</v>
      </c>
      <c r="AA15" s="475">
        <v>0</v>
      </c>
      <c r="AB15" s="475">
        <f t="shared" si="2"/>
        <v>0</v>
      </c>
      <c r="AC15" s="475">
        <f t="shared" si="3"/>
        <v>0</v>
      </c>
      <c r="AD15" s="70">
        <f t="shared" si="4"/>
        <v>0</v>
      </c>
      <c r="AE15" s="70">
        <f t="shared" si="5"/>
        <v>0</v>
      </c>
      <c r="AF15" s="475">
        <v>0</v>
      </c>
      <c r="AG15" s="475">
        <v>0</v>
      </c>
      <c r="AH15" s="475">
        <f t="shared" si="6"/>
        <v>0</v>
      </c>
      <c r="AI15" s="475">
        <f t="shared" si="7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 t="shared" si="8"/>
        <v>0</v>
      </c>
      <c r="AS15" s="476">
        <f t="shared" si="9"/>
        <v>0</v>
      </c>
      <c r="AT15" s="478">
        <f t="shared" si="10"/>
        <v>0</v>
      </c>
      <c r="AU15" s="484">
        <f t="shared" si="11"/>
        <v>534650</v>
      </c>
      <c r="AV15" s="475">
        <f t="shared" si="12"/>
        <v>393705</v>
      </c>
      <c r="AW15" s="475">
        <f t="shared" si="17"/>
        <v>0</v>
      </c>
      <c r="AX15" s="475">
        <f t="shared" si="13"/>
        <v>133072</v>
      </c>
      <c r="AY15" s="475">
        <f t="shared" si="13"/>
        <v>7873</v>
      </c>
      <c r="AZ15" s="475">
        <f t="shared" si="14"/>
        <v>0</v>
      </c>
      <c r="BA15" s="476">
        <f t="shared" si="15"/>
        <v>1.0900000000000001</v>
      </c>
      <c r="BB15" s="476">
        <f t="shared" si="16"/>
        <v>1.0900000000000001</v>
      </c>
      <c r="BC15" s="478">
        <f t="shared" si="16"/>
        <v>0</v>
      </c>
    </row>
    <row r="16" spans="1:55" ht="12.95" customHeight="1" x14ac:dyDescent="0.25">
      <c r="A16" s="308">
        <v>1</v>
      </c>
      <c r="B16" s="225">
        <v>5490</v>
      </c>
      <c r="C16" s="404">
        <v>600099474</v>
      </c>
      <c r="D16" s="225">
        <v>71173854</v>
      </c>
      <c r="E16" s="406" t="s">
        <v>480</v>
      </c>
      <c r="F16" s="225">
        <v>3114</v>
      </c>
      <c r="G16" s="359" t="s">
        <v>313</v>
      </c>
      <c r="H16" s="313" t="s">
        <v>277</v>
      </c>
      <c r="I16" s="477">
        <v>3994231</v>
      </c>
      <c r="J16" s="472">
        <v>2941260</v>
      </c>
      <c r="K16" s="472">
        <v>0</v>
      </c>
      <c r="L16" s="472">
        <v>994146</v>
      </c>
      <c r="M16" s="472">
        <v>58825</v>
      </c>
      <c r="N16" s="472">
        <v>0</v>
      </c>
      <c r="O16" s="473">
        <v>7.5</v>
      </c>
      <c r="P16" s="474">
        <v>7.5</v>
      </c>
      <c r="Q16" s="483">
        <v>0</v>
      </c>
      <c r="R16" s="485">
        <f t="shared" si="0"/>
        <v>0</v>
      </c>
      <c r="S16" s="475">
        <v>0</v>
      </c>
      <c r="T16" s="475">
        <v>-294126</v>
      </c>
      <c r="U16" s="475">
        <v>0</v>
      </c>
      <c r="V16" s="475">
        <v>0</v>
      </c>
      <c r="W16" s="475">
        <v>0</v>
      </c>
      <c r="X16" s="475">
        <f t="shared" si="1"/>
        <v>-294126</v>
      </c>
      <c r="Y16" s="475">
        <v>0</v>
      </c>
      <c r="Z16" s="475">
        <v>0</v>
      </c>
      <c r="AA16" s="475">
        <v>0</v>
      </c>
      <c r="AB16" s="475">
        <f t="shared" si="2"/>
        <v>0</v>
      </c>
      <c r="AC16" s="475">
        <f t="shared" si="3"/>
        <v>-294126</v>
      </c>
      <c r="AD16" s="70">
        <f t="shared" si="4"/>
        <v>-99415</v>
      </c>
      <c r="AE16" s="70">
        <f t="shared" si="5"/>
        <v>-5883</v>
      </c>
      <c r="AF16" s="475">
        <v>0</v>
      </c>
      <c r="AG16" s="475">
        <v>0</v>
      </c>
      <c r="AH16" s="475">
        <f t="shared" si="6"/>
        <v>0</v>
      </c>
      <c r="AI16" s="475">
        <f t="shared" si="7"/>
        <v>-399424</v>
      </c>
      <c r="AJ16" s="476">
        <v>0</v>
      </c>
      <c r="AK16" s="476">
        <v>0</v>
      </c>
      <c r="AL16" s="476">
        <v>0</v>
      </c>
      <c r="AM16" s="476">
        <v>-0.75</v>
      </c>
      <c r="AN16" s="476">
        <v>0</v>
      </c>
      <c r="AO16" s="476">
        <v>0</v>
      </c>
      <c r="AP16" s="476">
        <v>0</v>
      </c>
      <c r="AQ16" s="476">
        <v>0</v>
      </c>
      <c r="AR16" s="476">
        <f t="shared" si="8"/>
        <v>-0.75</v>
      </c>
      <c r="AS16" s="476">
        <f t="shared" si="9"/>
        <v>0</v>
      </c>
      <c r="AT16" s="478">
        <f t="shared" si="10"/>
        <v>-0.75</v>
      </c>
      <c r="AU16" s="484">
        <f t="shared" si="11"/>
        <v>3594807</v>
      </c>
      <c r="AV16" s="475">
        <f t="shared" si="12"/>
        <v>2647134</v>
      </c>
      <c r="AW16" s="475">
        <f t="shared" si="17"/>
        <v>0</v>
      </c>
      <c r="AX16" s="475">
        <f t="shared" si="13"/>
        <v>894731</v>
      </c>
      <c r="AY16" s="475">
        <f t="shared" si="13"/>
        <v>52942</v>
      </c>
      <c r="AZ16" s="475">
        <f t="shared" si="14"/>
        <v>0</v>
      </c>
      <c r="BA16" s="476">
        <f t="shared" si="15"/>
        <v>6.75</v>
      </c>
      <c r="BB16" s="476">
        <f t="shared" si="16"/>
        <v>6.75</v>
      </c>
      <c r="BC16" s="478">
        <f t="shared" si="16"/>
        <v>0</v>
      </c>
    </row>
    <row r="17" spans="1:55" ht="12.95" customHeight="1" x14ac:dyDescent="0.25">
      <c r="A17" s="308">
        <v>1</v>
      </c>
      <c r="B17" s="404">
        <v>5490</v>
      </c>
      <c r="C17" s="404">
        <v>600099474</v>
      </c>
      <c r="D17" s="404">
        <v>71173854</v>
      </c>
      <c r="E17" s="405" t="s">
        <v>480</v>
      </c>
      <c r="F17" s="404">
        <v>3141</v>
      </c>
      <c r="G17" s="407" t="s">
        <v>315</v>
      </c>
      <c r="H17" s="313" t="s">
        <v>278</v>
      </c>
      <c r="I17" s="477">
        <v>1869270</v>
      </c>
      <c r="J17" s="472">
        <v>1369197</v>
      </c>
      <c r="K17" s="472">
        <v>0</v>
      </c>
      <c r="L17" s="472">
        <v>462789</v>
      </c>
      <c r="M17" s="472">
        <v>27384</v>
      </c>
      <c r="N17" s="472">
        <v>9900</v>
      </c>
      <c r="O17" s="473">
        <v>4.3099999999999996</v>
      </c>
      <c r="P17" s="474">
        <v>0</v>
      </c>
      <c r="Q17" s="483">
        <v>4.3099999999999996</v>
      </c>
      <c r="R17" s="485">
        <f t="shared" si="0"/>
        <v>0</v>
      </c>
      <c r="S17" s="475">
        <v>0</v>
      </c>
      <c r="T17" s="475">
        <v>-93715</v>
      </c>
      <c r="U17" s="475">
        <v>0</v>
      </c>
      <c r="V17" s="475">
        <v>0</v>
      </c>
      <c r="W17" s="475">
        <v>0</v>
      </c>
      <c r="X17" s="475">
        <f t="shared" si="1"/>
        <v>-93715</v>
      </c>
      <c r="Y17" s="475">
        <v>0</v>
      </c>
      <c r="Z17" s="475">
        <v>0</v>
      </c>
      <c r="AA17" s="475">
        <v>0</v>
      </c>
      <c r="AB17" s="475">
        <f t="shared" si="2"/>
        <v>0</v>
      </c>
      <c r="AC17" s="475">
        <f t="shared" si="3"/>
        <v>-93715</v>
      </c>
      <c r="AD17" s="70">
        <f t="shared" si="4"/>
        <v>-31676</v>
      </c>
      <c r="AE17" s="70">
        <f t="shared" si="5"/>
        <v>-1874</v>
      </c>
      <c r="AF17" s="475">
        <v>0</v>
      </c>
      <c r="AG17" s="475">
        <v>0</v>
      </c>
      <c r="AH17" s="475">
        <f t="shared" si="6"/>
        <v>0</v>
      </c>
      <c r="AI17" s="475">
        <f t="shared" si="7"/>
        <v>-127265</v>
      </c>
      <c r="AJ17" s="476">
        <v>0</v>
      </c>
      <c r="AK17" s="476">
        <v>0</v>
      </c>
      <c r="AL17" s="476">
        <v>0</v>
      </c>
      <c r="AM17" s="476">
        <v>0</v>
      </c>
      <c r="AN17" s="476">
        <v>-0.3</v>
      </c>
      <c r="AO17" s="476">
        <v>0</v>
      </c>
      <c r="AP17" s="476">
        <v>0</v>
      </c>
      <c r="AQ17" s="476">
        <v>0</v>
      </c>
      <c r="AR17" s="476">
        <f t="shared" si="8"/>
        <v>0</v>
      </c>
      <c r="AS17" s="476">
        <f t="shared" si="9"/>
        <v>-0.3</v>
      </c>
      <c r="AT17" s="478">
        <f t="shared" si="10"/>
        <v>-0.3</v>
      </c>
      <c r="AU17" s="484">
        <f t="shared" si="11"/>
        <v>1742005</v>
      </c>
      <c r="AV17" s="475">
        <f t="shared" si="12"/>
        <v>1275482</v>
      </c>
      <c r="AW17" s="475">
        <f t="shared" si="17"/>
        <v>0</v>
      </c>
      <c r="AX17" s="475">
        <f t="shared" si="13"/>
        <v>431113</v>
      </c>
      <c r="AY17" s="475">
        <f t="shared" si="13"/>
        <v>25510</v>
      </c>
      <c r="AZ17" s="475">
        <f t="shared" si="14"/>
        <v>9900</v>
      </c>
      <c r="BA17" s="476">
        <f t="shared" si="15"/>
        <v>4.01</v>
      </c>
      <c r="BB17" s="476">
        <f t="shared" si="16"/>
        <v>0</v>
      </c>
      <c r="BC17" s="478">
        <f t="shared" si="16"/>
        <v>4.01</v>
      </c>
    </row>
    <row r="18" spans="1:55" ht="12.95" customHeight="1" x14ac:dyDescent="0.25">
      <c r="A18" s="226">
        <v>1</v>
      </c>
      <c r="B18" s="46">
        <v>5490</v>
      </c>
      <c r="C18" s="46">
        <v>600099474</v>
      </c>
      <c r="D18" s="46">
        <v>71173854</v>
      </c>
      <c r="E18" s="408" t="s">
        <v>481</v>
      </c>
      <c r="F18" s="46"/>
      <c r="G18" s="408"/>
      <c r="H18" s="190"/>
      <c r="I18" s="611">
        <v>27896779</v>
      </c>
      <c r="J18" s="607">
        <v>20378263</v>
      </c>
      <c r="K18" s="607">
        <v>0</v>
      </c>
      <c r="L18" s="607">
        <v>6887853</v>
      </c>
      <c r="M18" s="607">
        <v>407564</v>
      </c>
      <c r="N18" s="607">
        <v>223099</v>
      </c>
      <c r="O18" s="608">
        <v>47.188800000000001</v>
      </c>
      <c r="P18" s="608">
        <v>34.989999999999995</v>
      </c>
      <c r="Q18" s="613">
        <v>12.198799999999999</v>
      </c>
      <c r="R18" s="611">
        <f t="shared" ref="R18:BC18" si="18">SUM(R12:R17)</f>
        <v>0</v>
      </c>
      <c r="S18" s="607">
        <f t="shared" si="18"/>
        <v>0</v>
      </c>
      <c r="T18" s="607">
        <f t="shared" si="18"/>
        <v>-32843</v>
      </c>
      <c r="U18" s="607">
        <f t="shared" si="18"/>
        <v>0</v>
      </c>
      <c r="V18" s="607">
        <f t="shared" si="18"/>
        <v>0</v>
      </c>
      <c r="W18" s="607">
        <f t="shared" si="18"/>
        <v>0</v>
      </c>
      <c r="X18" s="607">
        <f t="shared" si="18"/>
        <v>-32843</v>
      </c>
      <c r="Y18" s="607">
        <f t="shared" si="18"/>
        <v>0</v>
      </c>
      <c r="Z18" s="607">
        <f t="shared" si="18"/>
        <v>0</v>
      </c>
      <c r="AA18" s="607">
        <f t="shared" si="18"/>
        <v>0</v>
      </c>
      <c r="AB18" s="607">
        <f t="shared" si="18"/>
        <v>0</v>
      </c>
      <c r="AC18" s="607">
        <f t="shared" si="18"/>
        <v>-32843</v>
      </c>
      <c r="AD18" s="607">
        <f t="shared" si="18"/>
        <v>-11101</v>
      </c>
      <c r="AE18" s="607">
        <f t="shared" si="18"/>
        <v>-657</v>
      </c>
      <c r="AF18" s="607">
        <f t="shared" si="18"/>
        <v>0</v>
      </c>
      <c r="AG18" s="607">
        <f t="shared" si="18"/>
        <v>0</v>
      </c>
      <c r="AH18" s="607">
        <f t="shared" si="18"/>
        <v>0</v>
      </c>
      <c r="AI18" s="607">
        <f t="shared" si="18"/>
        <v>-44601</v>
      </c>
      <c r="AJ18" s="608">
        <f t="shared" si="18"/>
        <v>0</v>
      </c>
      <c r="AK18" s="608">
        <f t="shared" si="18"/>
        <v>0</v>
      </c>
      <c r="AL18" s="608">
        <f t="shared" si="18"/>
        <v>0</v>
      </c>
      <c r="AM18" s="608">
        <f t="shared" si="18"/>
        <v>3.0000000000000027E-2</v>
      </c>
      <c r="AN18" s="608">
        <f t="shared" si="18"/>
        <v>-0.3</v>
      </c>
      <c r="AO18" s="608">
        <f t="shared" si="18"/>
        <v>0</v>
      </c>
      <c r="AP18" s="608">
        <f t="shared" si="18"/>
        <v>0</v>
      </c>
      <c r="AQ18" s="608">
        <f t="shared" si="18"/>
        <v>0</v>
      </c>
      <c r="AR18" s="608">
        <f t="shared" si="18"/>
        <v>3.0000000000000027E-2</v>
      </c>
      <c r="AS18" s="608">
        <f t="shared" si="18"/>
        <v>-0.3</v>
      </c>
      <c r="AT18" s="409">
        <f t="shared" si="18"/>
        <v>-0.26999999999999996</v>
      </c>
      <c r="AU18" s="615">
        <f t="shared" si="18"/>
        <v>27852178</v>
      </c>
      <c r="AV18" s="607">
        <f t="shared" si="18"/>
        <v>20345420</v>
      </c>
      <c r="AW18" s="607">
        <f t="shared" si="18"/>
        <v>0</v>
      </c>
      <c r="AX18" s="607">
        <f t="shared" si="18"/>
        <v>6876752</v>
      </c>
      <c r="AY18" s="607">
        <f t="shared" si="18"/>
        <v>406907</v>
      </c>
      <c r="AZ18" s="607">
        <f t="shared" si="18"/>
        <v>223099</v>
      </c>
      <c r="BA18" s="608">
        <f t="shared" si="18"/>
        <v>46.918799999999997</v>
      </c>
      <c r="BB18" s="608">
        <f t="shared" si="18"/>
        <v>35.019999999999996</v>
      </c>
      <c r="BC18" s="409">
        <f t="shared" si="18"/>
        <v>11.8988</v>
      </c>
    </row>
    <row r="19" spans="1:55" ht="12.95" customHeight="1" x14ac:dyDescent="0.25">
      <c r="A19" s="308">
        <v>2</v>
      </c>
      <c r="B19" s="410">
        <v>5460</v>
      </c>
      <c r="C19" s="410">
        <v>600098621</v>
      </c>
      <c r="D19" s="410">
        <v>72743549</v>
      </c>
      <c r="E19" s="224" t="s">
        <v>482</v>
      </c>
      <c r="F19" s="410">
        <v>3111</v>
      </c>
      <c r="G19" s="407" t="s">
        <v>325</v>
      </c>
      <c r="H19" s="411" t="s">
        <v>277</v>
      </c>
      <c r="I19" s="477">
        <v>5239620</v>
      </c>
      <c r="J19" s="472">
        <v>3784551</v>
      </c>
      <c r="K19" s="472">
        <v>50000</v>
      </c>
      <c r="L19" s="472">
        <v>1296078</v>
      </c>
      <c r="M19" s="472">
        <v>75691</v>
      </c>
      <c r="N19" s="472">
        <v>33300</v>
      </c>
      <c r="O19" s="473">
        <v>8.129999999999999</v>
      </c>
      <c r="P19" s="474">
        <v>6</v>
      </c>
      <c r="Q19" s="483">
        <v>2.13</v>
      </c>
      <c r="R19" s="485">
        <f t="shared" ref="R19:R21" si="19">Y19*-1</f>
        <v>0</v>
      </c>
      <c r="S19" s="475">
        <v>0</v>
      </c>
      <c r="T19" s="475">
        <v>359958</v>
      </c>
      <c r="U19" s="475">
        <v>0</v>
      </c>
      <c r="V19" s="475">
        <v>0</v>
      </c>
      <c r="W19" s="475">
        <v>0</v>
      </c>
      <c r="X19" s="475">
        <f>SUM(R19:W19)</f>
        <v>359958</v>
      </c>
      <c r="Y19" s="475">
        <v>0</v>
      </c>
      <c r="Z19" s="475">
        <v>0</v>
      </c>
      <c r="AA19" s="475">
        <v>0</v>
      </c>
      <c r="AB19" s="475">
        <f t="shared" ref="AB19:AB21" si="20">SUM(Y19:AA19)</f>
        <v>0</v>
      </c>
      <c r="AC19" s="475">
        <f t="shared" ref="AC19:AC21" si="21">X19+AB19</f>
        <v>359958</v>
      </c>
      <c r="AD19" s="70">
        <f t="shared" ref="AD19:AD21" si="22">ROUND((X19+Y19+Z19)*33.8%,0)</f>
        <v>121666</v>
      </c>
      <c r="AE19" s="70">
        <f t="shared" ref="AE19:AE21" si="23">ROUND(X19*2%,0)</f>
        <v>7199</v>
      </c>
      <c r="AF19" s="475">
        <v>0</v>
      </c>
      <c r="AG19" s="475">
        <v>0</v>
      </c>
      <c r="AH19" s="475">
        <f t="shared" ref="AH19:AH21" si="24">SUM(AF19:AG19)</f>
        <v>0</v>
      </c>
      <c r="AI19" s="475">
        <f t="shared" ref="AI19:AI21" si="25">AC19+AD19+AE19+AH19</f>
        <v>488823</v>
      </c>
      <c r="AJ19" s="476">
        <v>0</v>
      </c>
      <c r="AK19" s="476">
        <v>0</v>
      </c>
      <c r="AL19" s="476">
        <v>0</v>
      </c>
      <c r="AM19" s="476">
        <v>0.67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0.67</v>
      </c>
      <c r="AS19" s="476">
        <f>AK19+AN19+AQ19</f>
        <v>0</v>
      </c>
      <c r="AT19" s="478">
        <f t="shared" ref="AT19:AT21" si="26">SUM(AR19:AS19)</f>
        <v>0.67</v>
      </c>
      <c r="AU19" s="484">
        <f>I19+AI19</f>
        <v>5728443</v>
      </c>
      <c r="AV19" s="475">
        <f>J19+X19</f>
        <v>4144509</v>
      </c>
      <c r="AW19" s="475">
        <f t="shared" ref="AW19:AW21" si="27">K19+AB19</f>
        <v>50000</v>
      </c>
      <c r="AX19" s="475">
        <f t="shared" ref="AX19:AY21" si="28">L19+AD19</f>
        <v>1417744</v>
      </c>
      <c r="AY19" s="475">
        <f t="shared" si="28"/>
        <v>82890</v>
      </c>
      <c r="AZ19" s="475">
        <f>N19+AH19</f>
        <v>33300</v>
      </c>
      <c r="BA19" s="476">
        <f>O19+AT19</f>
        <v>8.7999999999999989</v>
      </c>
      <c r="BB19" s="476">
        <f t="shared" ref="BB19:BC21" si="29">P19+AR19</f>
        <v>6.67</v>
      </c>
      <c r="BC19" s="478">
        <f t="shared" si="29"/>
        <v>2.13</v>
      </c>
    </row>
    <row r="20" spans="1:55" ht="12.95" customHeight="1" x14ac:dyDescent="0.25">
      <c r="A20" s="308">
        <v>2</v>
      </c>
      <c r="B20" s="225">
        <v>5460</v>
      </c>
      <c r="C20" s="225">
        <v>600098621</v>
      </c>
      <c r="D20" s="225">
        <v>72743549</v>
      </c>
      <c r="E20" s="406" t="s">
        <v>482</v>
      </c>
      <c r="F20" s="410">
        <v>3111</v>
      </c>
      <c r="G20" s="351" t="s">
        <v>312</v>
      </c>
      <c r="H20" s="313" t="s">
        <v>278</v>
      </c>
      <c r="I20" s="477">
        <v>470471</v>
      </c>
      <c r="J20" s="472">
        <v>346444</v>
      </c>
      <c r="K20" s="472">
        <v>0</v>
      </c>
      <c r="L20" s="472">
        <v>117098</v>
      </c>
      <c r="M20" s="472">
        <v>6929</v>
      </c>
      <c r="N20" s="472">
        <v>0</v>
      </c>
      <c r="O20" s="473">
        <v>1</v>
      </c>
      <c r="P20" s="474">
        <v>1</v>
      </c>
      <c r="Q20" s="483">
        <v>0</v>
      </c>
      <c r="R20" s="485">
        <f t="shared" si="19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0"/>
        <v>0</v>
      </c>
      <c r="AC20" s="475">
        <f t="shared" si="21"/>
        <v>0</v>
      </c>
      <c r="AD20" s="70">
        <f t="shared" si="22"/>
        <v>0</v>
      </c>
      <c r="AE20" s="70">
        <f t="shared" si="23"/>
        <v>0</v>
      </c>
      <c r="AF20" s="475">
        <v>0</v>
      </c>
      <c r="AG20" s="475">
        <v>0</v>
      </c>
      <c r="AH20" s="475">
        <f t="shared" si="24"/>
        <v>0</v>
      </c>
      <c r="AI20" s="475">
        <f t="shared" si="25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26"/>
        <v>0</v>
      </c>
      <c r="AU20" s="484">
        <f>I20+AI20</f>
        <v>470471</v>
      </c>
      <c r="AV20" s="475">
        <f>J20+X20</f>
        <v>346444</v>
      </c>
      <c r="AW20" s="475">
        <f t="shared" si="27"/>
        <v>0</v>
      </c>
      <c r="AX20" s="475">
        <f t="shared" si="28"/>
        <v>117098</v>
      </c>
      <c r="AY20" s="475">
        <f t="shared" si="28"/>
        <v>6929</v>
      </c>
      <c r="AZ20" s="475">
        <f>N20+AH20</f>
        <v>0</v>
      </c>
      <c r="BA20" s="476">
        <f>O20+AT20</f>
        <v>1</v>
      </c>
      <c r="BB20" s="476">
        <f t="shared" si="29"/>
        <v>1</v>
      </c>
      <c r="BC20" s="478">
        <f t="shared" si="29"/>
        <v>0</v>
      </c>
    </row>
    <row r="21" spans="1:55" ht="12.95" customHeight="1" x14ac:dyDescent="0.25">
      <c r="A21" s="308">
        <v>2</v>
      </c>
      <c r="B21" s="225">
        <v>5460</v>
      </c>
      <c r="C21" s="225">
        <v>600098621</v>
      </c>
      <c r="D21" s="225">
        <v>72743549</v>
      </c>
      <c r="E21" s="406" t="s">
        <v>482</v>
      </c>
      <c r="F21" s="225">
        <v>3141</v>
      </c>
      <c r="G21" s="407" t="s">
        <v>315</v>
      </c>
      <c r="H21" s="313" t="s">
        <v>278</v>
      </c>
      <c r="I21" s="477">
        <v>896607</v>
      </c>
      <c r="J21" s="472">
        <v>657080</v>
      </c>
      <c r="K21" s="472">
        <v>0</v>
      </c>
      <c r="L21" s="472">
        <v>222093</v>
      </c>
      <c r="M21" s="472">
        <v>13142</v>
      </c>
      <c r="N21" s="472">
        <v>4292</v>
      </c>
      <c r="O21" s="473">
        <v>2.0699999999999998</v>
      </c>
      <c r="P21" s="474">
        <v>0</v>
      </c>
      <c r="Q21" s="483">
        <v>2.0699999999999998</v>
      </c>
      <c r="R21" s="485">
        <f t="shared" si="19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0"/>
        <v>0</v>
      </c>
      <c r="AC21" s="475">
        <f t="shared" si="21"/>
        <v>0</v>
      </c>
      <c r="AD21" s="70">
        <f t="shared" si="22"/>
        <v>0</v>
      </c>
      <c r="AE21" s="70">
        <f t="shared" si="23"/>
        <v>0</v>
      </c>
      <c r="AF21" s="475">
        <v>0</v>
      </c>
      <c r="AG21" s="475">
        <v>0</v>
      </c>
      <c r="AH21" s="475">
        <f t="shared" si="24"/>
        <v>0</v>
      </c>
      <c r="AI21" s="475">
        <f t="shared" si="25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26"/>
        <v>0</v>
      </c>
      <c r="AU21" s="484">
        <f>I21+AI21</f>
        <v>896607</v>
      </c>
      <c r="AV21" s="475">
        <f>J21+X21</f>
        <v>657080</v>
      </c>
      <c r="AW21" s="475">
        <f t="shared" si="27"/>
        <v>0</v>
      </c>
      <c r="AX21" s="475">
        <f t="shared" si="28"/>
        <v>222093</v>
      </c>
      <c r="AY21" s="475">
        <f t="shared" si="28"/>
        <v>13142</v>
      </c>
      <c r="AZ21" s="475">
        <f>N21+AH21</f>
        <v>4292</v>
      </c>
      <c r="BA21" s="476">
        <f>O21+AT21</f>
        <v>2.0699999999999998</v>
      </c>
      <c r="BB21" s="476">
        <f t="shared" si="29"/>
        <v>0</v>
      </c>
      <c r="BC21" s="478">
        <f t="shared" si="29"/>
        <v>2.0699999999999998</v>
      </c>
    </row>
    <row r="22" spans="1:55" ht="12.95" customHeight="1" x14ac:dyDescent="0.25">
      <c r="A22" s="226">
        <v>2</v>
      </c>
      <c r="B22" s="46">
        <v>5460</v>
      </c>
      <c r="C22" s="46">
        <v>600098621</v>
      </c>
      <c r="D22" s="46">
        <v>72743549</v>
      </c>
      <c r="E22" s="408" t="s">
        <v>483</v>
      </c>
      <c r="F22" s="46"/>
      <c r="G22" s="408"/>
      <c r="H22" s="190"/>
      <c r="I22" s="560">
        <v>6606698</v>
      </c>
      <c r="J22" s="556">
        <v>4788075</v>
      </c>
      <c r="K22" s="556">
        <v>50000</v>
      </c>
      <c r="L22" s="556">
        <v>1635269</v>
      </c>
      <c r="M22" s="556">
        <v>95762</v>
      </c>
      <c r="N22" s="556">
        <v>37592</v>
      </c>
      <c r="O22" s="557">
        <v>11.2</v>
      </c>
      <c r="P22" s="557">
        <v>7</v>
      </c>
      <c r="Q22" s="562">
        <v>4.1999999999999993</v>
      </c>
      <c r="R22" s="560">
        <f t="shared" ref="R22:BC22" si="30">SUM(R19:R21)</f>
        <v>0</v>
      </c>
      <c r="S22" s="556">
        <f t="shared" si="30"/>
        <v>0</v>
      </c>
      <c r="T22" s="556">
        <f t="shared" si="30"/>
        <v>359958</v>
      </c>
      <c r="U22" s="556">
        <f t="shared" si="30"/>
        <v>0</v>
      </c>
      <c r="V22" s="556">
        <f t="shared" si="30"/>
        <v>0</v>
      </c>
      <c r="W22" s="556">
        <f t="shared" si="30"/>
        <v>0</v>
      </c>
      <c r="X22" s="556">
        <f t="shared" si="30"/>
        <v>359958</v>
      </c>
      <c r="Y22" s="556">
        <f t="shared" si="30"/>
        <v>0</v>
      </c>
      <c r="Z22" s="556">
        <f t="shared" si="30"/>
        <v>0</v>
      </c>
      <c r="AA22" s="556">
        <f t="shared" si="30"/>
        <v>0</v>
      </c>
      <c r="AB22" s="556">
        <f t="shared" si="30"/>
        <v>0</v>
      </c>
      <c r="AC22" s="556">
        <f t="shared" si="30"/>
        <v>359958</v>
      </c>
      <c r="AD22" s="556">
        <f t="shared" si="30"/>
        <v>121666</v>
      </c>
      <c r="AE22" s="556">
        <f t="shared" si="30"/>
        <v>7199</v>
      </c>
      <c r="AF22" s="556">
        <f t="shared" si="30"/>
        <v>0</v>
      </c>
      <c r="AG22" s="556">
        <f t="shared" si="30"/>
        <v>0</v>
      </c>
      <c r="AH22" s="556">
        <f t="shared" si="30"/>
        <v>0</v>
      </c>
      <c r="AI22" s="556">
        <f t="shared" si="30"/>
        <v>488823</v>
      </c>
      <c r="AJ22" s="557">
        <f t="shared" si="30"/>
        <v>0</v>
      </c>
      <c r="AK22" s="557">
        <f t="shared" si="30"/>
        <v>0</v>
      </c>
      <c r="AL22" s="557">
        <f t="shared" si="30"/>
        <v>0</v>
      </c>
      <c r="AM22" s="557">
        <f t="shared" si="30"/>
        <v>0.67</v>
      </c>
      <c r="AN22" s="557">
        <f t="shared" si="30"/>
        <v>0</v>
      </c>
      <c r="AO22" s="557">
        <f t="shared" si="30"/>
        <v>0</v>
      </c>
      <c r="AP22" s="557">
        <f t="shared" si="30"/>
        <v>0</v>
      </c>
      <c r="AQ22" s="557">
        <f t="shared" si="30"/>
        <v>0</v>
      </c>
      <c r="AR22" s="557">
        <f t="shared" si="30"/>
        <v>0.67</v>
      </c>
      <c r="AS22" s="557">
        <f t="shared" si="30"/>
        <v>0</v>
      </c>
      <c r="AT22" s="307">
        <f t="shared" si="30"/>
        <v>0.67</v>
      </c>
      <c r="AU22" s="564">
        <f t="shared" si="30"/>
        <v>7095521</v>
      </c>
      <c r="AV22" s="556">
        <f t="shared" si="30"/>
        <v>5148033</v>
      </c>
      <c r="AW22" s="556">
        <f t="shared" si="30"/>
        <v>50000</v>
      </c>
      <c r="AX22" s="556">
        <f t="shared" si="30"/>
        <v>1756935</v>
      </c>
      <c r="AY22" s="556">
        <f t="shared" si="30"/>
        <v>102961</v>
      </c>
      <c r="AZ22" s="556">
        <f t="shared" si="30"/>
        <v>37592</v>
      </c>
      <c r="BA22" s="557">
        <f t="shared" si="30"/>
        <v>11.87</v>
      </c>
      <c r="BB22" s="557">
        <f t="shared" si="30"/>
        <v>7.67</v>
      </c>
      <c r="BC22" s="307">
        <f t="shared" si="30"/>
        <v>4.1999999999999993</v>
      </c>
    </row>
    <row r="23" spans="1:55" ht="12.95" customHeight="1" x14ac:dyDescent="0.25">
      <c r="A23" s="308">
        <v>3</v>
      </c>
      <c r="B23" s="410">
        <v>5462</v>
      </c>
      <c r="C23" s="410">
        <v>600098851</v>
      </c>
      <c r="D23" s="410">
        <v>72743620</v>
      </c>
      <c r="E23" s="224" t="s">
        <v>484</v>
      </c>
      <c r="F23" s="410">
        <v>3111</v>
      </c>
      <c r="G23" s="407" t="s">
        <v>325</v>
      </c>
      <c r="H23" s="313" t="s">
        <v>277</v>
      </c>
      <c r="I23" s="477">
        <v>4749237</v>
      </c>
      <c r="J23" s="472">
        <v>3479998</v>
      </c>
      <c r="K23" s="472">
        <v>0</v>
      </c>
      <c r="L23" s="472">
        <v>1176239</v>
      </c>
      <c r="M23" s="472">
        <v>69600</v>
      </c>
      <c r="N23" s="472">
        <v>23400</v>
      </c>
      <c r="O23" s="473">
        <v>7.9841999999999995</v>
      </c>
      <c r="P23" s="474">
        <v>6</v>
      </c>
      <c r="Q23" s="483">
        <v>1.9842</v>
      </c>
      <c r="R23" s="485">
        <f t="shared" ref="R23:R25" si="31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ref="AB23:AB25" si="32">SUM(Y23:AA23)</f>
        <v>0</v>
      </c>
      <c r="AC23" s="475">
        <f t="shared" ref="AC23:AC25" si="33">X23+AB23</f>
        <v>0</v>
      </c>
      <c r="AD23" s="70">
        <f t="shared" ref="AD23:AD25" si="34">ROUND((X23+Y23+Z23)*33.8%,0)</f>
        <v>0</v>
      </c>
      <c r="AE23" s="70">
        <f t="shared" ref="AE23:AE25" si="35">ROUND(X23*2%,0)</f>
        <v>0</v>
      </c>
      <c r="AF23" s="475">
        <v>0</v>
      </c>
      <c r="AG23" s="475">
        <v>0</v>
      </c>
      <c r="AH23" s="475">
        <f t="shared" ref="AH23:AH25" si="36">SUM(AF23:AG23)</f>
        <v>0</v>
      </c>
      <c r="AI23" s="475">
        <f t="shared" ref="AI23:AI25" si="37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ref="AT23:AT25" si="38">SUM(AR23:AS23)</f>
        <v>0</v>
      </c>
      <c r="AU23" s="484">
        <f>I23+AI23</f>
        <v>4749237</v>
      </c>
      <c r="AV23" s="475">
        <f>J23+X23</f>
        <v>3479998</v>
      </c>
      <c r="AW23" s="475">
        <f t="shared" ref="AW23:AW25" si="39">K23+AB23</f>
        <v>0</v>
      </c>
      <c r="AX23" s="475">
        <f t="shared" ref="AX23:AY25" si="40">L23+AD23</f>
        <v>1176239</v>
      </c>
      <c r="AY23" s="475">
        <f t="shared" si="40"/>
        <v>69600</v>
      </c>
      <c r="AZ23" s="475">
        <f>N23+AH23</f>
        <v>23400</v>
      </c>
      <c r="BA23" s="476">
        <f>O23+AT23</f>
        <v>7.9841999999999995</v>
      </c>
      <c r="BB23" s="476">
        <f t="shared" ref="BB23:BC25" si="41">P23+AR23</f>
        <v>6</v>
      </c>
      <c r="BC23" s="478">
        <f t="shared" si="41"/>
        <v>1.9842</v>
      </c>
    </row>
    <row r="24" spans="1:55" ht="12.95" customHeight="1" x14ac:dyDescent="0.25">
      <c r="A24" s="308">
        <v>3</v>
      </c>
      <c r="B24" s="410">
        <v>5462</v>
      </c>
      <c r="C24" s="410">
        <v>600098851</v>
      </c>
      <c r="D24" s="410">
        <v>72743620</v>
      </c>
      <c r="E24" s="224" t="s">
        <v>484</v>
      </c>
      <c r="F24" s="410">
        <v>3111</v>
      </c>
      <c r="G24" s="407" t="s">
        <v>312</v>
      </c>
      <c r="H24" s="313" t="s">
        <v>278</v>
      </c>
      <c r="I24" s="477">
        <v>0</v>
      </c>
      <c r="J24" s="472">
        <v>0</v>
      </c>
      <c r="K24" s="472">
        <v>0</v>
      </c>
      <c r="L24" s="472">
        <v>0</v>
      </c>
      <c r="M24" s="472">
        <v>0</v>
      </c>
      <c r="N24" s="472">
        <v>0</v>
      </c>
      <c r="O24" s="473">
        <v>0</v>
      </c>
      <c r="P24" s="474">
        <v>0</v>
      </c>
      <c r="Q24" s="483">
        <v>0</v>
      </c>
      <c r="R24" s="485">
        <f t="shared" si="31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32"/>
        <v>0</v>
      </c>
      <c r="AC24" s="475">
        <f t="shared" si="33"/>
        <v>0</v>
      </c>
      <c r="AD24" s="70">
        <f t="shared" si="34"/>
        <v>0</v>
      </c>
      <c r="AE24" s="70">
        <f t="shared" si="35"/>
        <v>0</v>
      </c>
      <c r="AF24" s="475">
        <v>0</v>
      </c>
      <c r="AG24" s="475">
        <v>0</v>
      </c>
      <c r="AH24" s="475">
        <f t="shared" si="36"/>
        <v>0</v>
      </c>
      <c r="AI24" s="475">
        <f t="shared" si="37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38"/>
        <v>0</v>
      </c>
      <c r="AU24" s="484">
        <f>I24+AI24</f>
        <v>0</v>
      </c>
      <c r="AV24" s="475">
        <f>J24+X24</f>
        <v>0</v>
      </c>
      <c r="AW24" s="475">
        <f t="shared" si="39"/>
        <v>0</v>
      </c>
      <c r="AX24" s="475">
        <f t="shared" si="40"/>
        <v>0</v>
      </c>
      <c r="AY24" s="475">
        <f t="shared" si="40"/>
        <v>0</v>
      </c>
      <c r="AZ24" s="475">
        <f>N24+AH24</f>
        <v>0</v>
      </c>
      <c r="BA24" s="476">
        <f>O24+AT24</f>
        <v>0</v>
      </c>
      <c r="BB24" s="476">
        <f t="shared" si="41"/>
        <v>0</v>
      </c>
      <c r="BC24" s="478">
        <f t="shared" si="41"/>
        <v>0</v>
      </c>
    </row>
    <row r="25" spans="1:55" ht="12.95" customHeight="1" x14ac:dyDescent="0.25">
      <c r="A25" s="308">
        <v>3</v>
      </c>
      <c r="B25" s="410">
        <v>5462</v>
      </c>
      <c r="C25" s="410">
        <v>600098851</v>
      </c>
      <c r="D25" s="410">
        <v>72743620</v>
      </c>
      <c r="E25" s="224" t="s">
        <v>484</v>
      </c>
      <c r="F25" s="410">
        <v>3141</v>
      </c>
      <c r="G25" s="407" t="s">
        <v>315</v>
      </c>
      <c r="H25" s="313" t="s">
        <v>278</v>
      </c>
      <c r="I25" s="477">
        <v>706361</v>
      </c>
      <c r="J25" s="472">
        <v>517927</v>
      </c>
      <c r="K25" s="472">
        <v>0</v>
      </c>
      <c r="L25" s="472">
        <v>175059</v>
      </c>
      <c r="M25" s="472">
        <v>10359</v>
      </c>
      <c r="N25" s="472">
        <v>3016</v>
      </c>
      <c r="O25" s="473">
        <v>1.63</v>
      </c>
      <c r="P25" s="474">
        <v>0</v>
      </c>
      <c r="Q25" s="483">
        <v>1.63</v>
      </c>
      <c r="R25" s="485">
        <f t="shared" si="31"/>
        <v>0</v>
      </c>
      <c r="S25" s="475">
        <v>0</v>
      </c>
      <c r="T25" s="475">
        <v>-2264</v>
      </c>
      <c r="U25" s="475">
        <v>0</v>
      </c>
      <c r="V25" s="475">
        <v>0</v>
      </c>
      <c r="W25" s="475">
        <v>0</v>
      </c>
      <c r="X25" s="475">
        <f>SUM(R25:W25)</f>
        <v>-2264</v>
      </c>
      <c r="Y25" s="475">
        <v>0</v>
      </c>
      <c r="Z25" s="475">
        <v>0</v>
      </c>
      <c r="AA25" s="475">
        <v>0</v>
      </c>
      <c r="AB25" s="475">
        <f t="shared" si="32"/>
        <v>0</v>
      </c>
      <c r="AC25" s="475">
        <f t="shared" si="33"/>
        <v>-2264</v>
      </c>
      <c r="AD25" s="70">
        <f t="shared" si="34"/>
        <v>-765</v>
      </c>
      <c r="AE25" s="70">
        <f t="shared" si="35"/>
        <v>-45</v>
      </c>
      <c r="AF25" s="475">
        <v>0</v>
      </c>
      <c r="AG25" s="475">
        <v>0</v>
      </c>
      <c r="AH25" s="475">
        <f t="shared" si="36"/>
        <v>0</v>
      </c>
      <c r="AI25" s="475">
        <f t="shared" si="37"/>
        <v>-3074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38"/>
        <v>0</v>
      </c>
      <c r="AU25" s="484">
        <f>I25+AI25</f>
        <v>703287</v>
      </c>
      <c r="AV25" s="475">
        <f>J25+X25</f>
        <v>515663</v>
      </c>
      <c r="AW25" s="475">
        <f t="shared" si="39"/>
        <v>0</v>
      </c>
      <c r="AX25" s="475">
        <f t="shared" si="40"/>
        <v>174294</v>
      </c>
      <c r="AY25" s="475">
        <f t="shared" si="40"/>
        <v>10314</v>
      </c>
      <c r="AZ25" s="475">
        <f>N25+AH25</f>
        <v>3016</v>
      </c>
      <c r="BA25" s="476">
        <f>O25+AT25</f>
        <v>1.63</v>
      </c>
      <c r="BB25" s="476">
        <f t="shared" si="41"/>
        <v>0</v>
      </c>
      <c r="BC25" s="478">
        <f t="shared" si="41"/>
        <v>1.63</v>
      </c>
    </row>
    <row r="26" spans="1:55" ht="12.95" customHeight="1" x14ac:dyDescent="0.25">
      <c r="A26" s="226">
        <v>3</v>
      </c>
      <c r="B26" s="47">
        <v>5462</v>
      </c>
      <c r="C26" s="47">
        <v>600098851</v>
      </c>
      <c r="D26" s="47">
        <v>72743620</v>
      </c>
      <c r="E26" s="412" t="s">
        <v>485</v>
      </c>
      <c r="F26" s="47"/>
      <c r="G26" s="412"/>
      <c r="H26" s="191"/>
      <c r="I26" s="612">
        <v>5455598</v>
      </c>
      <c r="J26" s="609">
        <v>3997925</v>
      </c>
      <c r="K26" s="609">
        <v>0</v>
      </c>
      <c r="L26" s="609">
        <v>1351298</v>
      </c>
      <c r="M26" s="609">
        <v>79959</v>
      </c>
      <c r="N26" s="609">
        <v>26416</v>
      </c>
      <c r="O26" s="610">
        <v>9.6142000000000003</v>
      </c>
      <c r="P26" s="610">
        <v>6</v>
      </c>
      <c r="Q26" s="614">
        <v>3.6141999999999999</v>
      </c>
      <c r="R26" s="612">
        <f t="shared" ref="R26:BC26" si="42">SUM(R23:R25)</f>
        <v>0</v>
      </c>
      <c r="S26" s="609">
        <f t="shared" si="42"/>
        <v>0</v>
      </c>
      <c r="T26" s="609">
        <f t="shared" si="42"/>
        <v>-2264</v>
      </c>
      <c r="U26" s="609">
        <f t="shared" si="42"/>
        <v>0</v>
      </c>
      <c r="V26" s="609">
        <f t="shared" si="42"/>
        <v>0</v>
      </c>
      <c r="W26" s="609">
        <f t="shared" si="42"/>
        <v>0</v>
      </c>
      <c r="X26" s="609">
        <f t="shared" si="42"/>
        <v>-2264</v>
      </c>
      <c r="Y26" s="609">
        <f t="shared" si="42"/>
        <v>0</v>
      </c>
      <c r="Z26" s="609">
        <f t="shared" si="42"/>
        <v>0</v>
      </c>
      <c r="AA26" s="609">
        <f t="shared" si="42"/>
        <v>0</v>
      </c>
      <c r="AB26" s="609">
        <f t="shared" si="42"/>
        <v>0</v>
      </c>
      <c r="AC26" s="609">
        <f t="shared" si="42"/>
        <v>-2264</v>
      </c>
      <c r="AD26" s="609">
        <f t="shared" si="42"/>
        <v>-765</v>
      </c>
      <c r="AE26" s="609">
        <f t="shared" si="42"/>
        <v>-45</v>
      </c>
      <c r="AF26" s="609">
        <f t="shared" si="42"/>
        <v>0</v>
      </c>
      <c r="AG26" s="609">
        <f t="shared" si="42"/>
        <v>0</v>
      </c>
      <c r="AH26" s="609">
        <f t="shared" si="42"/>
        <v>0</v>
      </c>
      <c r="AI26" s="609">
        <f t="shared" si="42"/>
        <v>-3074</v>
      </c>
      <c r="AJ26" s="610">
        <f t="shared" si="42"/>
        <v>0</v>
      </c>
      <c r="AK26" s="610">
        <f t="shared" si="42"/>
        <v>0</v>
      </c>
      <c r="AL26" s="610">
        <f t="shared" si="42"/>
        <v>0</v>
      </c>
      <c r="AM26" s="610">
        <f t="shared" si="42"/>
        <v>0</v>
      </c>
      <c r="AN26" s="610">
        <f t="shared" si="42"/>
        <v>0</v>
      </c>
      <c r="AO26" s="610">
        <f t="shared" si="42"/>
        <v>0</v>
      </c>
      <c r="AP26" s="610">
        <f t="shared" si="42"/>
        <v>0</v>
      </c>
      <c r="AQ26" s="610">
        <f t="shared" si="42"/>
        <v>0</v>
      </c>
      <c r="AR26" s="610">
        <f t="shared" si="42"/>
        <v>0</v>
      </c>
      <c r="AS26" s="610">
        <f t="shared" si="42"/>
        <v>0</v>
      </c>
      <c r="AT26" s="413">
        <f t="shared" si="42"/>
        <v>0</v>
      </c>
      <c r="AU26" s="616">
        <f t="shared" si="42"/>
        <v>5452524</v>
      </c>
      <c r="AV26" s="609">
        <f t="shared" si="42"/>
        <v>3995661</v>
      </c>
      <c r="AW26" s="609">
        <f t="shared" si="42"/>
        <v>0</v>
      </c>
      <c r="AX26" s="609">
        <f t="shared" si="42"/>
        <v>1350533</v>
      </c>
      <c r="AY26" s="609">
        <f t="shared" si="42"/>
        <v>79914</v>
      </c>
      <c r="AZ26" s="609">
        <f t="shared" si="42"/>
        <v>26416</v>
      </c>
      <c r="BA26" s="610">
        <f t="shared" si="42"/>
        <v>9.6142000000000003</v>
      </c>
      <c r="BB26" s="610">
        <f t="shared" si="42"/>
        <v>6</v>
      </c>
      <c r="BC26" s="413">
        <f t="shared" si="42"/>
        <v>3.6141999999999999</v>
      </c>
    </row>
    <row r="27" spans="1:55" ht="12.95" customHeight="1" x14ac:dyDescent="0.25">
      <c r="A27" s="308">
        <v>4</v>
      </c>
      <c r="B27" s="225">
        <v>5464</v>
      </c>
      <c r="C27" s="225">
        <v>600098869</v>
      </c>
      <c r="D27" s="225">
        <v>72743719</v>
      </c>
      <c r="E27" s="414" t="s">
        <v>486</v>
      </c>
      <c r="F27" s="415">
        <v>3111</v>
      </c>
      <c r="G27" s="407" t="s">
        <v>325</v>
      </c>
      <c r="H27" s="313" t="s">
        <v>277</v>
      </c>
      <c r="I27" s="477">
        <v>4993530</v>
      </c>
      <c r="J27" s="472">
        <v>3604264</v>
      </c>
      <c r="K27" s="472">
        <v>30000</v>
      </c>
      <c r="L27" s="472">
        <v>1228381</v>
      </c>
      <c r="M27" s="472">
        <v>72085</v>
      </c>
      <c r="N27" s="472">
        <v>58800</v>
      </c>
      <c r="O27" s="473">
        <v>8.1042000000000005</v>
      </c>
      <c r="P27" s="474">
        <v>5.9700000000000006</v>
      </c>
      <c r="Q27" s="483">
        <v>2.1341999999999999</v>
      </c>
      <c r="R27" s="485">
        <f t="shared" ref="R27:R29" si="43">Y27*-1</f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ref="AB27:AB29" si="44">SUM(Y27:AA27)</f>
        <v>0</v>
      </c>
      <c r="AC27" s="475">
        <f t="shared" ref="AC27:AC29" si="45">X27+AB27</f>
        <v>0</v>
      </c>
      <c r="AD27" s="70">
        <f t="shared" ref="AD27:AD29" si="46">ROUND((X27+Y27+Z27)*33.8%,0)</f>
        <v>0</v>
      </c>
      <c r="AE27" s="70">
        <f t="shared" ref="AE27:AE29" si="47">ROUND(X27*2%,0)</f>
        <v>0</v>
      </c>
      <c r="AF27" s="475">
        <v>0</v>
      </c>
      <c r="AG27" s="475">
        <v>0</v>
      </c>
      <c r="AH27" s="475">
        <f t="shared" ref="AH27:AH29" si="48">SUM(AF27:AG27)</f>
        <v>0</v>
      </c>
      <c r="AI27" s="475">
        <f t="shared" ref="AI27:AI29" si="49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ref="AT27:AT29" si="50">SUM(AR27:AS27)</f>
        <v>0</v>
      </c>
      <c r="AU27" s="484">
        <f>I27+AI27</f>
        <v>4993530</v>
      </c>
      <c r="AV27" s="475">
        <f>J27+X27</f>
        <v>3604264</v>
      </c>
      <c r="AW27" s="475">
        <f t="shared" ref="AW27:AW29" si="51">K27+AB27</f>
        <v>30000</v>
      </c>
      <c r="AX27" s="475">
        <f t="shared" ref="AX27:AY29" si="52">L27+AD27</f>
        <v>1228381</v>
      </c>
      <c r="AY27" s="475">
        <f t="shared" si="52"/>
        <v>72085</v>
      </c>
      <c r="AZ27" s="475">
        <f>N27+AH27</f>
        <v>58800</v>
      </c>
      <c r="BA27" s="476">
        <f>O27+AT27</f>
        <v>8.1042000000000005</v>
      </c>
      <c r="BB27" s="476">
        <f t="shared" ref="BB27:BC29" si="53">P27+AR27</f>
        <v>5.9700000000000006</v>
      </c>
      <c r="BC27" s="478">
        <f t="shared" si="53"/>
        <v>2.1341999999999999</v>
      </c>
    </row>
    <row r="28" spans="1:55" ht="12.95" customHeight="1" x14ac:dyDescent="0.25">
      <c r="A28" s="308">
        <v>4</v>
      </c>
      <c r="B28" s="225">
        <v>5464</v>
      </c>
      <c r="C28" s="225">
        <v>600098869</v>
      </c>
      <c r="D28" s="225">
        <v>72743719</v>
      </c>
      <c r="E28" s="405" t="s">
        <v>486</v>
      </c>
      <c r="F28" s="415">
        <v>3111</v>
      </c>
      <c r="G28" s="351" t="s">
        <v>312</v>
      </c>
      <c r="H28" s="313" t="s">
        <v>278</v>
      </c>
      <c r="I28" s="477">
        <v>3000</v>
      </c>
      <c r="J28" s="472">
        <v>0</v>
      </c>
      <c r="K28" s="472">
        <v>0</v>
      </c>
      <c r="L28" s="472">
        <v>0</v>
      </c>
      <c r="M28" s="472">
        <v>0</v>
      </c>
      <c r="N28" s="472">
        <v>3000</v>
      </c>
      <c r="O28" s="473">
        <v>0</v>
      </c>
      <c r="P28" s="474">
        <v>0</v>
      </c>
      <c r="Q28" s="483">
        <v>0</v>
      </c>
      <c r="R28" s="485">
        <f t="shared" si="43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si="44"/>
        <v>0</v>
      </c>
      <c r="AC28" s="475">
        <f t="shared" si="45"/>
        <v>0</v>
      </c>
      <c r="AD28" s="70">
        <f t="shared" si="46"/>
        <v>0</v>
      </c>
      <c r="AE28" s="70">
        <f t="shared" si="47"/>
        <v>0</v>
      </c>
      <c r="AF28" s="475">
        <v>0</v>
      </c>
      <c r="AG28" s="475">
        <v>0</v>
      </c>
      <c r="AH28" s="475">
        <f t="shared" si="48"/>
        <v>0</v>
      </c>
      <c r="AI28" s="475">
        <f t="shared" si="49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si="50"/>
        <v>0</v>
      </c>
      <c r="AU28" s="484">
        <f>I28+AI28</f>
        <v>3000</v>
      </c>
      <c r="AV28" s="475">
        <f>J28+X28</f>
        <v>0</v>
      </c>
      <c r="AW28" s="475">
        <f t="shared" si="51"/>
        <v>0</v>
      </c>
      <c r="AX28" s="475">
        <f t="shared" si="52"/>
        <v>0</v>
      </c>
      <c r="AY28" s="475">
        <f t="shared" si="52"/>
        <v>0</v>
      </c>
      <c r="AZ28" s="475">
        <f>N28+AH28</f>
        <v>3000</v>
      </c>
      <c r="BA28" s="476">
        <f>O28+AT28</f>
        <v>0</v>
      </c>
      <c r="BB28" s="476">
        <f t="shared" si="53"/>
        <v>0</v>
      </c>
      <c r="BC28" s="478">
        <f t="shared" si="53"/>
        <v>0</v>
      </c>
    </row>
    <row r="29" spans="1:55" ht="12.95" customHeight="1" x14ac:dyDescent="0.25">
      <c r="A29" s="308">
        <v>4</v>
      </c>
      <c r="B29" s="225">
        <v>5464</v>
      </c>
      <c r="C29" s="225">
        <v>600098869</v>
      </c>
      <c r="D29" s="225">
        <v>72743719</v>
      </c>
      <c r="E29" s="405" t="s">
        <v>486</v>
      </c>
      <c r="F29" s="416">
        <v>3141</v>
      </c>
      <c r="G29" s="407" t="s">
        <v>315</v>
      </c>
      <c r="H29" s="313" t="s">
        <v>278</v>
      </c>
      <c r="I29" s="477">
        <v>812756</v>
      </c>
      <c r="J29" s="472">
        <v>590835</v>
      </c>
      <c r="K29" s="472">
        <v>5000</v>
      </c>
      <c r="L29" s="472">
        <v>201392</v>
      </c>
      <c r="M29" s="472">
        <v>11817</v>
      </c>
      <c r="N29" s="472">
        <v>3712</v>
      </c>
      <c r="O29" s="473">
        <v>1.88</v>
      </c>
      <c r="P29" s="474">
        <v>0</v>
      </c>
      <c r="Q29" s="483">
        <v>1.88</v>
      </c>
      <c r="R29" s="485">
        <f t="shared" si="43"/>
        <v>0</v>
      </c>
      <c r="S29" s="475">
        <v>0</v>
      </c>
      <c r="T29" s="475">
        <v>-8439</v>
      </c>
      <c r="U29" s="475">
        <v>0</v>
      </c>
      <c r="V29" s="475">
        <v>0</v>
      </c>
      <c r="W29" s="475">
        <v>0</v>
      </c>
      <c r="X29" s="475">
        <f>SUM(R29:W29)</f>
        <v>-8439</v>
      </c>
      <c r="Y29" s="475">
        <v>0</v>
      </c>
      <c r="Z29" s="475">
        <v>0</v>
      </c>
      <c r="AA29" s="475">
        <v>0</v>
      </c>
      <c r="AB29" s="475">
        <f t="shared" si="44"/>
        <v>0</v>
      </c>
      <c r="AC29" s="475">
        <f t="shared" si="45"/>
        <v>-8439</v>
      </c>
      <c r="AD29" s="70">
        <f t="shared" si="46"/>
        <v>-2852</v>
      </c>
      <c r="AE29" s="70">
        <f t="shared" si="47"/>
        <v>-169</v>
      </c>
      <c r="AF29" s="475">
        <v>0</v>
      </c>
      <c r="AG29" s="475">
        <v>0</v>
      </c>
      <c r="AH29" s="475">
        <f t="shared" si="48"/>
        <v>0</v>
      </c>
      <c r="AI29" s="475">
        <f t="shared" si="49"/>
        <v>-11460</v>
      </c>
      <c r="AJ29" s="476">
        <v>0</v>
      </c>
      <c r="AK29" s="476">
        <v>0</v>
      </c>
      <c r="AL29" s="476">
        <v>0</v>
      </c>
      <c r="AM29" s="476">
        <v>0</v>
      </c>
      <c r="AN29" s="476">
        <v>-0.03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-0.03</v>
      </c>
      <c r="AT29" s="478">
        <f t="shared" si="50"/>
        <v>-0.03</v>
      </c>
      <c r="AU29" s="484">
        <f>I29+AI29</f>
        <v>801296</v>
      </c>
      <c r="AV29" s="475">
        <f>J29+X29</f>
        <v>582396</v>
      </c>
      <c r="AW29" s="475">
        <f t="shared" si="51"/>
        <v>5000</v>
      </c>
      <c r="AX29" s="475">
        <f t="shared" si="52"/>
        <v>198540</v>
      </c>
      <c r="AY29" s="475">
        <f t="shared" si="52"/>
        <v>11648</v>
      </c>
      <c r="AZ29" s="475">
        <f>N29+AH29</f>
        <v>3712</v>
      </c>
      <c r="BA29" s="476">
        <f>O29+AT29</f>
        <v>1.8499999999999999</v>
      </c>
      <c r="BB29" s="476">
        <f t="shared" si="53"/>
        <v>0</v>
      </c>
      <c r="BC29" s="478">
        <f t="shared" si="53"/>
        <v>1.8499999999999999</v>
      </c>
    </row>
    <row r="30" spans="1:55" ht="12.95" customHeight="1" x14ac:dyDescent="0.25">
      <c r="A30" s="226">
        <v>4</v>
      </c>
      <c r="B30" s="46">
        <v>5464</v>
      </c>
      <c r="C30" s="46">
        <v>600098869</v>
      </c>
      <c r="D30" s="46">
        <v>72743719</v>
      </c>
      <c r="E30" s="417" t="s">
        <v>487</v>
      </c>
      <c r="F30" s="418"/>
      <c r="G30" s="417"/>
      <c r="H30" s="419"/>
      <c r="I30" s="560">
        <v>5809286</v>
      </c>
      <c r="J30" s="556">
        <v>4195099</v>
      </c>
      <c r="K30" s="556">
        <v>35000</v>
      </c>
      <c r="L30" s="556">
        <v>1429773</v>
      </c>
      <c r="M30" s="556">
        <v>83902</v>
      </c>
      <c r="N30" s="556">
        <v>65512</v>
      </c>
      <c r="O30" s="557">
        <v>9.9842000000000013</v>
      </c>
      <c r="P30" s="557">
        <v>5.9700000000000006</v>
      </c>
      <c r="Q30" s="562">
        <v>4.0141999999999998</v>
      </c>
      <c r="R30" s="560">
        <f t="shared" ref="R30:BC30" si="54">SUM(R27:R29)</f>
        <v>0</v>
      </c>
      <c r="S30" s="556">
        <f t="shared" si="54"/>
        <v>0</v>
      </c>
      <c r="T30" s="556">
        <f t="shared" si="54"/>
        <v>-8439</v>
      </c>
      <c r="U30" s="556">
        <f t="shared" si="54"/>
        <v>0</v>
      </c>
      <c r="V30" s="556">
        <f t="shared" si="54"/>
        <v>0</v>
      </c>
      <c r="W30" s="556">
        <f t="shared" si="54"/>
        <v>0</v>
      </c>
      <c r="X30" s="556">
        <f t="shared" si="54"/>
        <v>-8439</v>
      </c>
      <c r="Y30" s="556">
        <f t="shared" si="54"/>
        <v>0</v>
      </c>
      <c r="Z30" s="556">
        <f t="shared" si="54"/>
        <v>0</v>
      </c>
      <c r="AA30" s="556">
        <f t="shared" si="54"/>
        <v>0</v>
      </c>
      <c r="AB30" s="556">
        <f t="shared" si="54"/>
        <v>0</v>
      </c>
      <c r="AC30" s="556">
        <f t="shared" si="54"/>
        <v>-8439</v>
      </c>
      <c r="AD30" s="556">
        <f t="shared" si="54"/>
        <v>-2852</v>
      </c>
      <c r="AE30" s="556">
        <f t="shared" si="54"/>
        <v>-169</v>
      </c>
      <c r="AF30" s="556">
        <f t="shared" si="54"/>
        <v>0</v>
      </c>
      <c r="AG30" s="556">
        <f t="shared" si="54"/>
        <v>0</v>
      </c>
      <c r="AH30" s="556">
        <f t="shared" si="54"/>
        <v>0</v>
      </c>
      <c r="AI30" s="556">
        <f t="shared" si="54"/>
        <v>-11460</v>
      </c>
      <c r="AJ30" s="557">
        <f t="shared" si="54"/>
        <v>0</v>
      </c>
      <c r="AK30" s="557">
        <f t="shared" si="54"/>
        <v>0</v>
      </c>
      <c r="AL30" s="557">
        <f t="shared" si="54"/>
        <v>0</v>
      </c>
      <c r="AM30" s="557">
        <f t="shared" si="54"/>
        <v>0</v>
      </c>
      <c r="AN30" s="557">
        <f t="shared" si="54"/>
        <v>-0.03</v>
      </c>
      <c r="AO30" s="557">
        <f t="shared" si="54"/>
        <v>0</v>
      </c>
      <c r="AP30" s="557">
        <f t="shared" si="54"/>
        <v>0</v>
      </c>
      <c r="AQ30" s="557">
        <f t="shared" si="54"/>
        <v>0</v>
      </c>
      <c r="AR30" s="557">
        <f t="shared" si="54"/>
        <v>0</v>
      </c>
      <c r="AS30" s="557">
        <f t="shared" si="54"/>
        <v>-0.03</v>
      </c>
      <c r="AT30" s="307">
        <f t="shared" si="54"/>
        <v>-0.03</v>
      </c>
      <c r="AU30" s="564">
        <f t="shared" si="54"/>
        <v>5797826</v>
      </c>
      <c r="AV30" s="556">
        <f t="shared" si="54"/>
        <v>4186660</v>
      </c>
      <c r="AW30" s="556">
        <f t="shared" si="54"/>
        <v>35000</v>
      </c>
      <c r="AX30" s="556">
        <f t="shared" si="54"/>
        <v>1426921</v>
      </c>
      <c r="AY30" s="556">
        <f t="shared" si="54"/>
        <v>83733</v>
      </c>
      <c r="AZ30" s="556">
        <f t="shared" si="54"/>
        <v>65512</v>
      </c>
      <c r="BA30" s="557">
        <f t="shared" si="54"/>
        <v>9.9542000000000002</v>
      </c>
      <c r="BB30" s="557">
        <f t="shared" si="54"/>
        <v>5.9700000000000006</v>
      </c>
      <c r="BC30" s="307">
        <f t="shared" si="54"/>
        <v>3.9841999999999995</v>
      </c>
    </row>
    <row r="31" spans="1:55" ht="12.95" customHeight="1" x14ac:dyDescent="0.25">
      <c r="A31" s="308">
        <v>5</v>
      </c>
      <c r="B31" s="225">
        <v>5467</v>
      </c>
      <c r="C31" s="225">
        <v>600098648</v>
      </c>
      <c r="D31" s="225">
        <v>72743948</v>
      </c>
      <c r="E31" s="406" t="s">
        <v>488</v>
      </c>
      <c r="F31" s="225">
        <v>3111</v>
      </c>
      <c r="G31" s="407" t="s">
        <v>325</v>
      </c>
      <c r="H31" s="313" t="s">
        <v>277</v>
      </c>
      <c r="I31" s="477">
        <v>4636759</v>
      </c>
      <c r="J31" s="472">
        <v>3397834</v>
      </c>
      <c r="K31" s="472">
        <v>0</v>
      </c>
      <c r="L31" s="472">
        <v>1148468</v>
      </c>
      <c r="M31" s="472">
        <v>67957</v>
      </c>
      <c r="N31" s="472">
        <v>22500</v>
      </c>
      <c r="O31" s="473">
        <v>7.9841999999999995</v>
      </c>
      <c r="P31" s="474">
        <v>6</v>
      </c>
      <c r="Q31" s="483">
        <v>1.9842</v>
      </c>
      <c r="R31" s="485">
        <f t="shared" ref="R31:R33" si="55">Y31*-1</f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ref="AB31:AB33" si="56">SUM(Y31:AA31)</f>
        <v>0</v>
      </c>
      <c r="AC31" s="475">
        <f t="shared" ref="AC31:AC33" si="57">X31+AB31</f>
        <v>0</v>
      </c>
      <c r="AD31" s="70">
        <f t="shared" ref="AD31:AD33" si="58">ROUND((X31+Y31+Z31)*33.8%,0)</f>
        <v>0</v>
      </c>
      <c r="AE31" s="70">
        <f t="shared" ref="AE31:AE33" si="59">ROUND(X31*2%,0)</f>
        <v>0</v>
      </c>
      <c r="AF31" s="475">
        <v>0</v>
      </c>
      <c r="AG31" s="475">
        <v>0</v>
      </c>
      <c r="AH31" s="475">
        <f t="shared" ref="AH31:AH33" si="60">SUM(AF31:AG31)</f>
        <v>0</v>
      </c>
      <c r="AI31" s="475">
        <f t="shared" ref="AI31:AI33" si="61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ref="AT31:AT33" si="62">SUM(AR31:AS31)</f>
        <v>0</v>
      </c>
      <c r="AU31" s="484">
        <f>I31+AI31</f>
        <v>4636759</v>
      </c>
      <c r="AV31" s="475">
        <f>J31+X31</f>
        <v>3397834</v>
      </c>
      <c r="AW31" s="475">
        <f t="shared" ref="AW31:AW33" si="63">K31+AB31</f>
        <v>0</v>
      </c>
      <c r="AX31" s="475">
        <f t="shared" ref="AX31:AY33" si="64">L31+AD31</f>
        <v>1148468</v>
      </c>
      <c r="AY31" s="475">
        <f t="shared" si="64"/>
        <v>67957</v>
      </c>
      <c r="AZ31" s="475">
        <f>N31+AH31</f>
        <v>22500</v>
      </c>
      <c r="BA31" s="476">
        <f>O31+AT31</f>
        <v>7.9841999999999995</v>
      </c>
      <c r="BB31" s="476">
        <f t="shared" ref="BB31:BC33" si="65">P31+AR31</f>
        <v>6</v>
      </c>
      <c r="BC31" s="478">
        <f t="shared" si="65"/>
        <v>1.9842</v>
      </c>
    </row>
    <row r="32" spans="1:55" ht="12.95" customHeight="1" x14ac:dyDescent="0.25">
      <c r="A32" s="308">
        <v>5</v>
      </c>
      <c r="B32" s="225">
        <v>5467</v>
      </c>
      <c r="C32" s="225">
        <v>600098648</v>
      </c>
      <c r="D32" s="225">
        <v>72743948</v>
      </c>
      <c r="E32" s="405" t="s">
        <v>488</v>
      </c>
      <c r="F32" s="225">
        <v>3111</v>
      </c>
      <c r="G32" s="351" t="s">
        <v>312</v>
      </c>
      <c r="H32" s="313" t="s">
        <v>278</v>
      </c>
      <c r="I32" s="477">
        <v>417463</v>
      </c>
      <c r="J32" s="472">
        <v>307410</v>
      </c>
      <c r="K32" s="472">
        <v>0</v>
      </c>
      <c r="L32" s="472">
        <v>103905</v>
      </c>
      <c r="M32" s="472">
        <v>6148</v>
      </c>
      <c r="N32" s="472">
        <v>0</v>
      </c>
      <c r="O32" s="473">
        <v>1</v>
      </c>
      <c r="P32" s="474">
        <v>1</v>
      </c>
      <c r="Q32" s="483">
        <v>0</v>
      </c>
      <c r="R32" s="485">
        <f t="shared" si="55"/>
        <v>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>SUM(R32:W32)</f>
        <v>0</v>
      </c>
      <c r="Y32" s="475">
        <v>0</v>
      </c>
      <c r="Z32" s="475">
        <v>0</v>
      </c>
      <c r="AA32" s="475">
        <v>0</v>
      </c>
      <c r="AB32" s="475">
        <f t="shared" si="56"/>
        <v>0</v>
      </c>
      <c r="AC32" s="475">
        <f t="shared" si="57"/>
        <v>0</v>
      </c>
      <c r="AD32" s="70">
        <f t="shared" si="58"/>
        <v>0</v>
      </c>
      <c r="AE32" s="70">
        <f t="shared" si="59"/>
        <v>0</v>
      </c>
      <c r="AF32" s="475">
        <v>0</v>
      </c>
      <c r="AG32" s="475">
        <v>0</v>
      </c>
      <c r="AH32" s="475">
        <f t="shared" si="60"/>
        <v>0</v>
      </c>
      <c r="AI32" s="475">
        <f t="shared" si="61"/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si="62"/>
        <v>0</v>
      </c>
      <c r="AU32" s="484">
        <f>I32+AI32</f>
        <v>417463</v>
      </c>
      <c r="AV32" s="475">
        <f>J32+X32</f>
        <v>307410</v>
      </c>
      <c r="AW32" s="475">
        <f t="shared" si="63"/>
        <v>0</v>
      </c>
      <c r="AX32" s="475">
        <f t="shared" si="64"/>
        <v>103905</v>
      </c>
      <c r="AY32" s="475">
        <f t="shared" si="64"/>
        <v>6148</v>
      </c>
      <c r="AZ32" s="475">
        <f>N32+AH32</f>
        <v>0</v>
      </c>
      <c r="BA32" s="476">
        <f>O32+AT32</f>
        <v>1</v>
      </c>
      <c r="BB32" s="476">
        <f t="shared" si="65"/>
        <v>1</v>
      </c>
      <c r="BC32" s="478">
        <f t="shared" si="65"/>
        <v>0</v>
      </c>
    </row>
    <row r="33" spans="1:55" ht="12.95" customHeight="1" x14ac:dyDescent="0.25">
      <c r="A33" s="308">
        <v>5</v>
      </c>
      <c r="B33" s="225">
        <v>5467</v>
      </c>
      <c r="C33" s="225">
        <v>600098648</v>
      </c>
      <c r="D33" s="225">
        <v>72743948</v>
      </c>
      <c r="E33" s="405" t="s">
        <v>488</v>
      </c>
      <c r="F33" s="416">
        <v>3141</v>
      </c>
      <c r="G33" s="407" t="s">
        <v>315</v>
      </c>
      <c r="H33" s="313" t="s">
        <v>278</v>
      </c>
      <c r="I33" s="477">
        <v>687718</v>
      </c>
      <c r="J33" s="472">
        <v>504284</v>
      </c>
      <c r="K33" s="472">
        <v>0</v>
      </c>
      <c r="L33" s="472">
        <v>170448</v>
      </c>
      <c r="M33" s="472">
        <v>10086</v>
      </c>
      <c r="N33" s="472">
        <v>2900</v>
      </c>
      <c r="O33" s="473">
        <v>1.59</v>
      </c>
      <c r="P33" s="474">
        <v>0</v>
      </c>
      <c r="Q33" s="483">
        <v>1.59</v>
      </c>
      <c r="R33" s="485">
        <f t="shared" si="55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>SUM(R33:W33)</f>
        <v>0</v>
      </c>
      <c r="Y33" s="475">
        <v>0</v>
      </c>
      <c r="Z33" s="475">
        <v>0</v>
      </c>
      <c r="AA33" s="475">
        <v>0</v>
      </c>
      <c r="AB33" s="475">
        <f t="shared" si="56"/>
        <v>0</v>
      </c>
      <c r="AC33" s="475">
        <f t="shared" si="57"/>
        <v>0</v>
      </c>
      <c r="AD33" s="70">
        <f t="shared" si="58"/>
        <v>0</v>
      </c>
      <c r="AE33" s="70">
        <f t="shared" si="59"/>
        <v>0</v>
      </c>
      <c r="AF33" s="475">
        <v>0</v>
      </c>
      <c r="AG33" s="475">
        <v>0</v>
      </c>
      <c r="AH33" s="475">
        <f t="shared" si="60"/>
        <v>0</v>
      </c>
      <c r="AI33" s="475">
        <f t="shared" si="61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si="62"/>
        <v>0</v>
      </c>
      <c r="AU33" s="484">
        <f>I33+AI33</f>
        <v>687718</v>
      </c>
      <c r="AV33" s="475">
        <f>J33+X33</f>
        <v>504284</v>
      </c>
      <c r="AW33" s="475">
        <f t="shared" si="63"/>
        <v>0</v>
      </c>
      <c r="AX33" s="475">
        <f t="shared" si="64"/>
        <v>170448</v>
      </c>
      <c r="AY33" s="475">
        <f t="shared" si="64"/>
        <v>10086</v>
      </c>
      <c r="AZ33" s="475">
        <f>N33+AH33</f>
        <v>2900</v>
      </c>
      <c r="BA33" s="476">
        <f>O33+AT33</f>
        <v>1.59</v>
      </c>
      <c r="BB33" s="476">
        <f t="shared" si="65"/>
        <v>0</v>
      </c>
      <c r="BC33" s="478">
        <f t="shared" si="65"/>
        <v>1.59</v>
      </c>
    </row>
    <row r="34" spans="1:55" ht="12.95" customHeight="1" x14ac:dyDescent="0.25">
      <c r="A34" s="226">
        <v>5</v>
      </c>
      <c r="B34" s="47">
        <v>5467</v>
      </c>
      <c r="C34" s="47">
        <v>600098648</v>
      </c>
      <c r="D34" s="47">
        <v>72743948</v>
      </c>
      <c r="E34" s="417" t="s">
        <v>489</v>
      </c>
      <c r="F34" s="418"/>
      <c r="G34" s="417"/>
      <c r="H34" s="419"/>
      <c r="I34" s="612">
        <v>5741940</v>
      </c>
      <c r="J34" s="609">
        <v>4209528</v>
      </c>
      <c r="K34" s="609">
        <v>0</v>
      </c>
      <c r="L34" s="609">
        <v>1422821</v>
      </c>
      <c r="M34" s="609">
        <v>84191</v>
      </c>
      <c r="N34" s="609">
        <v>25400</v>
      </c>
      <c r="O34" s="610">
        <v>10.574199999999999</v>
      </c>
      <c r="P34" s="610">
        <v>7</v>
      </c>
      <c r="Q34" s="614">
        <v>3.5742000000000003</v>
      </c>
      <c r="R34" s="612">
        <f t="shared" ref="R34:BC34" si="66">SUM(R31:R33)</f>
        <v>0</v>
      </c>
      <c r="S34" s="609">
        <f t="shared" si="66"/>
        <v>0</v>
      </c>
      <c r="T34" s="609">
        <f t="shared" si="66"/>
        <v>0</v>
      </c>
      <c r="U34" s="609">
        <f t="shared" si="66"/>
        <v>0</v>
      </c>
      <c r="V34" s="609">
        <f t="shared" si="66"/>
        <v>0</v>
      </c>
      <c r="W34" s="609">
        <f t="shared" si="66"/>
        <v>0</v>
      </c>
      <c r="X34" s="609">
        <f t="shared" si="66"/>
        <v>0</v>
      </c>
      <c r="Y34" s="609">
        <f t="shared" si="66"/>
        <v>0</v>
      </c>
      <c r="Z34" s="609">
        <f t="shared" si="66"/>
        <v>0</v>
      </c>
      <c r="AA34" s="609">
        <f t="shared" si="66"/>
        <v>0</v>
      </c>
      <c r="AB34" s="609">
        <f t="shared" si="66"/>
        <v>0</v>
      </c>
      <c r="AC34" s="609">
        <f t="shared" si="66"/>
        <v>0</v>
      </c>
      <c r="AD34" s="609">
        <f t="shared" si="66"/>
        <v>0</v>
      </c>
      <c r="AE34" s="609">
        <f t="shared" si="66"/>
        <v>0</v>
      </c>
      <c r="AF34" s="609">
        <f t="shared" si="66"/>
        <v>0</v>
      </c>
      <c r="AG34" s="609">
        <f t="shared" si="66"/>
        <v>0</v>
      </c>
      <c r="AH34" s="609">
        <f t="shared" si="66"/>
        <v>0</v>
      </c>
      <c r="AI34" s="609">
        <f t="shared" si="66"/>
        <v>0</v>
      </c>
      <c r="AJ34" s="610">
        <f t="shared" si="66"/>
        <v>0</v>
      </c>
      <c r="AK34" s="610">
        <f t="shared" si="66"/>
        <v>0</v>
      </c>
      <c r="AL34" s="610">
        <f t="shared" si="66"/>
        <v>0</v>
      </c>
      <c r="AM34" s="610">
        <f t="shared" si="66"/>
        <v>0</v>
      </c>
      <c r="AN34" s="610">
        <f t="shared" si="66"/>
        <v>0</v>
      </c>
      <c r="AO34" s="610">
        <f t="shared" si="66"/>
        <v>0</v>
      </c>
      <c r="AP34" s="610">
        <f t="shared" si="66"/>
        <v>0</v>
      </c>
      <c r="AQ34" s="610">
        <f t="shared" si="66"/>
        <v>0</v>
      </c>
      <c r="AR34" s="610">
        <f t="shared" si="66"/>
        <v>0</v>
      </c>
      <c r="AS34" s="610">
        <f t="shared" si="66"/>
        <v>0</v>
      </c>
      <c r="AT34" s="413">
        <f t="shared" si="66"/>
        <v>0</v>
      </c>
      <c r="AU34" s="616">
        <f t="shared" si="66"/>
        <v>5741940</v>
      </c>
      <c r="AV34" s="609">
        <f t="shared" si="66"/>
        <v>4209528</v>
      </c>
      <c r="AW34" s="609">
        <f t="shared" si="66"/>
        <v>0</v>
      </c>
      <c r="AX34" s="609">
        <f t="shared" si="66"/>
        <v>1422821</v>
      </c>
      <c r="AY34" s="609">
        <f t="shared" si="66"/>
        <v>84191</v>
      </c>
      <c r="AZ34" s="609">
        <f t="shared" si="66"/>
        <v>25400</v>
      </c>
      <c r="BA34" s="610">
        <f t="shared" si="66"/>
        <v>10.574199999999999</v>
      </c>
      <c r="BB34" s="610">
        <f t="shared" si="66"/>
        <v>7</v>
      </c>
      <c r="BC34" s="413">
        <f t="shared" si="66"/>
        <v>3.5742000000000003</v>
      </c>
    </row>
    <row r="35" spans="1:55" ht="12.95" customHeight="1" x14ac:dyDescent="0.25">
      <c r="A35" s="308">
        <v>6</v>
      </c>
      <c r="B35" s="225">
        <v>5463</v>
      </c>
      <c r="C35" s="225">
        <v>600098877</v>
      </c>
      <c r="D35" s="225">
        <v>72743786</v>
      </c>
      <c r="E35" s="224" t="s">
        <v>490</v>
      </c>
      <c r="F35" s="225">
        <v>3111</v>
      </c>
      <c r="G35" s="407" t="s">
        <v>325</v>
      </c>
      <c r="H35" s="313" t="s">
        <v>277</v>
      </c>
      <c r="I35" s="477">
        <v>4909155</v>
      </c>
      <c r="J35" s="472">
        <v>3578825</v>
      </c>
      <c r="K35" s="472">
        <v>18880</v>
      </c>
      <c r="L35" s="472">
        <v>1216024</v>
      </c>
      <c r="M35" s="472">
        <v>71576</v>
      </c>
      <c r="N35" s="472">
        <v>23850</v>
      </c>
      <c r="O35" s="473">
        <v>8.2261000000000006</v>
      </c>
      <c r="P35" s="474">
        <v>6.2419000000000002</v>
      </c>
      <c r="Q35" s="483">
        <v>1.9842</v>
      </c>
      <c r="R35" s="485">
        <f t="shared" ref="R35:R37" si="67">Y35*-1</f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ref="AB35:AB37" si="68">SUM(Y35:AA35)</f>
        <v>0</v>
      </c>
      <c r="AC35" s="475">
        <f t="shared" ref="AC35:AC37" si="69">X35+AB35</f>
        <v>0</v>
      </c>
      <c r="AD35" s="70">
        <f t="shared" ref="AD35:AD37" si="70">ROUND((X35+Y35+Z35)*33.8%,0)</f>
        <v>0</v>
      </c>
      <c r="AE35" s="70">
        <f t="shared" ref="AE35:AE37" si="71">ROUND(X35*2%,0)</f>
        <v>0</v>
      </c>
      <c r="AF35" s="475">
        <v>0</v>
      </c>
      <c r="AG35" s="475">
        <v>0</v>
      </c>
      <c r="AH35" s="475">
        <f t="shared" ref="AH35:AH37" si="72">SUM(AF35:AG35)</f>
        <v>0</v>
      </c>
      <c r="AI35" s="475">
        <f t="shared" ref="AI35:AI37" si="73">AC35+AD35+AE35+AH35</f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ref="AT35:AT37" si="74">SUM(AR35:AS35)</f>
        <v>0</v>
      </c>
      <c r="AU35" s="484">
        <f>I35+AI35</f>
        <v>4909155</v>
      </c>
      <c r="AV35" s="475">
        <f>J35+X35</f>
        <v>3578825</v>
      </c>
      <c r="AW35" s="475">
        <f t="shared" ref="AW35:AW37" si="75">K35+AB35</f>
        <v>18880</v>
      </c>
      <c r="AX35" s="475">
        <f t="shared" ref="AX35:AY37" si="76">L35+AD35</f>
        <v>1216024</v>
      </c>
      <c r="AY35" s="475">
        <f t="shared" si="76"/>
        <v>71576</v>
      </c>
      <c r="AZ35" s="475">
        <f>N35+AH35</f>
        <v>23850</v>
      </c>
      <c r="BA35" s="476">
        <f>O35+AT35</f>
        <v>8.2261000000000006</v>
      </c>
      <c r="BB35" s="476">
        <f t="shared" ref="BB35:BC37" si="77">P35+AR35</f>
        <v>6.2419000000000002</v>
      </c>
      <c r="BC35" s="478">
        <f t="shared" si="77"/>
        <v>1.9842</v>
      </c>
    </row>
    <row r="36" spans="1:55" ht="12.95" customHeight="1" x14ac:dyDescent="0.25">
      <c r="A36" s="308">
        <v>6</v>
      </c>
      <c r="B36" s="225">
        <v>5463</v>
      </c>
      <c r="C36" s="225">
        <v>600098877</v>
      </c>
      <c r="D36" s="225">
        <v>72743786</v>
      </c>
      <c r="E36" s="406" t="s">
        <v>490</v>
      </c>
      <c r="F36" s="225">
        <v>3111</v>
      </c>
      <c r="G36" s="351" t="s">
        <v>312</v>
      </c>
      <c r="H36" s="313" t="s">
        <v>278</v>
      </c>
      <c r="I36" s="477">
        <v>88886</v>
      </c>
      <c r="J36" s="472">
        <v>65453</v>
      </c>
      <c r="K36" s="472">
        <v>0</v>
      </c>
      <c r="L36" s="472">
        <v>22124</v>
      </c>
      <c r="M36" s="472">
        <v>1309</v>
      </c>
      <c r="N36" s="472">
        <v>0</v>
      </c>
      <c r="O36" s="473">
        <v>0.19</v>
      </c>
      <c r="P36" s="474">
        <v>0.19</v>
      </c>
      <c r="Q36" s="483">
        <v>0</v>
      </c>
      <c r="R36" s="485">
        <f t="shared" si="67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68"/>
        <v>0</v>
      </c>
      <c r="AC36" s="475">
        <f t="shared" si="69"/>
        <v>0</v>
      </c>
      <c r="AD36" s="70">
        <f t="shared" si="70"/>
        <v>0</v>
      </c>
      <c r="AE36" s="70">
        <f t="shared" si="71"/>
        <v>0</v>
      </c>
      <c r="AF36" s="475">
        <v>0</v>
      </c>
      <c r="AG36" s="475">
        <v>0</v>
      </c>
      <c r="AH36" s="475">
        <f t="shared" si="72"/>
        <v>0</v>
      </c>
      <c r="AI36" s="475">
        <f t="shared" si="73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4"/>
        <v>0</v>
      </c>
      <c r="AU36" s="484">
        <f>I36+AI36</f>
        <v>88886</v>
      </c>
      <c r="AV36" s="475">
        <f>J36+X36</f>
        <v>65453</v>
      </c>
      <c r="AW36" s="475">
        <f t="shared" si="75"/>
        <v>0</v>
      </c>
      <c r="AX36" s="475">
        <f t="shared" si="76"/>
        <v>22124</v>
      </c>
      <c r="AY36" s="475">
        <f t="shared" si="76"/>
        <v>1309</v>
      </c>
      <c r="AZ36" s="475">
        <f>N36+AH36</f>
        <v>0</v>
      </c>
      <c r="BA36" s="476">
        <f>O36+AT36</f>
        <v>0.19</v>
      </c>
      <c r="BB36" s="476">
        <f t="shared" si="77"/>
        <v>0.19</v>
      </c>
      <c r="BC36" s="478">
        <f t="shared" si="77"/>
        <v>0</v>
      </c>
    </row>
    <row r="37" spans="1:55" ht="12.95" customHeight="1" x14ac:dyDescent="0.25">
      <c r="A37" s="308">
        <v>6</v>
      </c>
      <c r="B37" s="225">
        <v>5463</v>
      </c>
      <c r="C37" s="225">
        <v>600098877</v>
      </c>
      <c r="D37" s="225">
        <v>72743786</v>
      </c>
      <c r="E37" s="406" t="s">
        <v>490</v>
      </c>
      <c r="F37" s="225">
        <v>3141</v>
      </c>
      <c r="G37" s="407" t="s">
        <v>315</v>
      </c>
      <c r="H37" s="313" t="s">
        <v>278</v>
      </c>
      <c r="I37" s="477">
        <v>715571</v>
      </c>
      <c r="J37" s="472">
        <v>524667</v>
      </c>
      <c r="K37" s="472">
        <v>0</v>
      </c>
      <c r="L37" s="472">
        <v>177337</v>
      </c>
      <c r="M37" s="472">
        <v>10493</v>
      </c>
      <c r="N37" s="472">
        <v>3074</v>
      </c>
      <c r="O37" s="473">
        <v>1.65</v>
      </c>
      <c r="P37" s="474">
        <v>0</v>
      </c>
      <c r="Q37" s="483">
        <v>1.65</v>
      </c>
      <c r="R37" s="485">
        <f t="shared" si="67"/>
        <v>0</v>
      </c>
      <c r="S37" s="475">
        <v>0</v>
      </c>
      <c r="T37" s="475">
        <v>2230</v>
      </c>
      <c r="U37" s="475">
        <v>0</v>
      </c>
      <c r="V37" s="475">
        <v>0</v>
      </c>
      <c r="W37" s="475">
        <v>0</v>
      </c>
      <c r="X37" s="475">
        <f>SUM(R37:W37)</f>
        <v>2230</v>
      </c>
      <c r="Y37" s="475">
        <v>0</v>
      </c>
      <c r="Z37" s="475">
        <v>0</v>
      </c>
      <c r="AA37" s="475">
        <v>0</v>
      </c>
      <c r="AB37" s="475">
        <f t="shared" si="68"/>
        <v>0</v>
      </c>
      <c r="AC37" s="475">
        <f t="shared" si="69"/>
        <v>2230</v>
      </c>
      <c r="AD37" s="70">
        <f t="shared" si="70"/>
        <v>754</v>
      </c>
      <c r="AE37" s="70">
        <f t="shared" si="71"/>
        <v>45</v>
      </c>
      <c r="AF37" s="475">
        <v>0</v>
      </c>
      <c r="AG37" s="475">
        <v>0</v>
      </c>
      <c r="AH37" s="475">
        <f t="shared" si="72"/>
        <v>0</v>
      </c>
      <c r="AI37" s="475">
        <f t="shared" si="73"/>
        <v>3029</v>
      </c>
      <c r="AJ37" s="476">
        <v>0</v>
      </c>
      <c r="AK37" s="476">
        <v>0</v>
      </c>
      <c r="AL37" s="476">
        <v>0</v>
      </c>
      <c r="AM37" s="476">
        <v>0</v>
      </c>
      <c r="AN37" s="476">
        <v>0.01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0.01</v>
      </c>
      <c r="AT37" s="478">
        <f t="shared" si="74"/>
        <v>0.01</v>
      </c>
      <c r="AU37" s="484">
        <f>I37+AI37</f>
        <v>718600</v>
      </c>
      <c r="AV37" s="475">
        <f>J37+X37</f>
        <v>526897</v>
      </c>
      <c r="AW37" s="475">
        <f t="shared" si="75"/>
        <v>0</v>
      </c>
      <c r="AX37" s="475">
        <f t="shared" si="76"/>
        <v>178091</v>
      </c>
      <c r="AY37" s="475">
        <f t="shared" si="76"/>
        <v>10538</v>
      </c>
      <c r="AZ37" s="475">
        <f>N37+AH37</f>
        <v>3074</v>
      </c>
      <c r="BA37" s="476">
        <f>O37+AT37</f>
        <v>1.66</v>
      </c>
      <c r="BB37" s="476">
        <f t="shared" si="77"/>
        <v>0</v>
      </c>
      <c r="BC37" s="478">
        <f t="shared" si="77"/>
        <v>1.66</v>
      </c>
    </row>
    <row r="38" spans="1:55" ht="12.95" customHeight="1" x14ac:dyDescent="0.25">
      <c r="A38" s="226">
        <v>6</v>
      </c>
      <c r="B38" s="46">
        <v>5463</v>
      </c>
      <c r="C38" s="46">
        <v>600098877</v>
      </c>
      <c r="D38" s="46">
        <v>72743786</v>
      </c>
      <c r="E38" s="408" t="s">
        <v>491</v>
      </c>
      <c r="F38" s="46"/>
      <c r="G38" s="408"/>
      <c r="H38" s="190"/>
      <c r="I38" s="611">
        <v>5713612</v>
      </c>
      <c r="J38" s="607">
        <v>4168945</v>
      </c>
      <c r="K38" s="607">
        <v>18880</v>
      </c>
      <c r="L38" s="607">
        <v>1415485</v>
      </c>
      <c r="M38" s="607">
        <v>83378</v>
      </c>
      <c r="N38" s="607">
        <v>26924</v>
      </c>
      <c r="O38" s="608">
        <v>10.0661</v>
      </c>
      <c r="P38" s="608">
        <v>6.4319000000000006</v>
      </c>
      <c r="Q38" s="613">
        <v>3.6341999999999999</v>
      </c>
      <c r="R38" s="611">
        <f t="shared" ref="R38:BC38" si="78">SUM(R35:R37)</f>
        <v>0</v>
      </c>
      <c r="S38" s="607">
        <f t="shared" si="78"/>
        <v>0</v>
      </c>
      <c r="T38" s="607">
        <f t="shared" si="78"/>
        <v>2230</v>
      </c>
      <c r="U38" s="607">
        <f t="shared" si="78"/>
        <v>0</v>
      </c>
      <c r="V38" s="607">
        <f t="shared" si="78"/>
        <v>0</v>
      </c>
      <c r="W38" s="607">
        <f t="shared" si="78"/>
        <v>0</v>
      </c>
      <c r="X38" s="607">
        <f t="shared" si="78"/>
        <v>2230</v>
      </c>
      <c r="Y38" s="607">
        <f t="shared" si="78"/>
        <v>0</v>
      </c>
      <c r="Z38" s="607">
        <f t="shared" si="78"/>
        <v>0</v>
      </c>
      <c r="AA38" s="607">
        <f t="shared" si="78"/>
        <v>0</v>
      </c>
      <c r="AB38" s="607">
        <f t="shared" si="78"/>
        <v>0</v>
      </c>
      <c r="AC38" s="607">
        <f t="shared" si="78"/>
        <v>2230</v>
      </c>
      <c r="AD38" s="607">
        <f t="shared" si="78"/>
        <v>754</v>
      </c>
      <c r="AE38" s="607">
        <f t="shared" si="78"/>
        <v>45</v>
      </c>
      <c r="AF38" s="607">
        <f t="shared" si="78"/>
        <v>0</v>
      </c>
      <c r="AG38" s="607">
        <f t="shared" si="78"/>
        <v>0</v>
      </c>
      <c r="AH38" s="607">
        <f t="shared" si="78"/>
        <v>0</v>
      </c>
      <c r="AI38" s="607">
        <f t="shared" si="78"/>
        <v>3029</v>
      </c>
      <c r="AJ38" s="608">
        <f t="shared" si="78"/>
        <v>0</v>
      </c>
      <c r="AK38" s="608">
        <f t="shared" si="78"/>
        <v>0</v>
      </c>
      <c r="AL38" s="608">
        <f t="shared" si="78"/>
        <v>0</v>
      </c>
      <c r="AM38" s="608">
        <f t="shared" si="78"/>
        <v>0</v>
      </c>
      <c r="AN38" s="608">
        <f t="shared" si="78"/>
        <v>0.01</v>
      </c>
      <c r="AO38" s="608">
        <f t="shared" si="78"/>
        <v>0</v>
      </c>
      <c r="AP38" s="608">
        <f t="shared" si="78"/>
        <v>0</v>
      </c>
      <c r="AQ38" s="608">
        <f t="shared" si="78"/>
        <v>0</v>
      </c>
      <c r="AR38" s="608">
        <f t="shared" si="78"/>
        <v>0</v>
      </c>
      <c r="AS38" s="608">
        <f t="shared" si="78"/>
        <v>0.01</v>
      </c>
      <c r="AT38" s="409">
        <f t="shared" si="78"/>
        <v>0.01</v>
      </c>
      <c r="AU38" s="615">
        <f t="shared" si="78"/>
        <v>5716641</v>
      </c>
      <c r="AV38" s="607">
        <f t="shared" si="78"/>
        <v>4171175</v>
      </c>
      <c r="AW38" s="607">
        <f t="shared" si="78"/>
        <v>18880</v>
      </c>
      <c r="AX38" s="607">
        <f t="shared" si="78"/>
        <v>1416239</v>
      </c>
      <c r="AY38" s="607">
        <f t="shared" si="78"/>
        <v>83423</v>
      </c>
      <c r="AZ38" s="607">
        <f t="shared" si="78"/>
        <v>26924</v>
      </c>
      <c r="BA38" s="608">
        <f t="shared" si="78"/>
        <v>10.0761</v>
      </c>
      <c r="BB38" s="608">
        <f t="shared" si="78"/>
        <v>6.4319000000000006</v>
      </c>
      <c r="BC38" s="409">
        <f t="shared" si="78"/>
        <v>3.6441999999999997</v>
      </c>
    </row>
    <row r="39" spans="1:55" ht="12.95" customHeight="1" x14ac:dyDescent="0.25">
      <c r="A39" s="308">
        <v>7</v>
      </c>
      <c r="B39" s="225">
        <v>5461</v>
      </c>
      <c r="C39" s="225">
        <v>600098915</v>
      </c>
      <c r="D39" s="225">
        <v>72743701</v>
      </c>
      <c r="E39" s="224" t="s">
        <v>492</v>
      </c>
      <c r="F39" s="225">
        <v>3111</v>
      </c>
      <c r="G39" s="407" t="s">
        <v>325</v>
      </c>
      <c r="H39" s="313" t="s">
        <v>277</v>
      </c>
      <c r="I39" s="477">
        <v>3461493</v>
      </c>
      <c r="J39" s="472">
        <v>2534052</v>
      </c>
      <c r="K39" s="472">
        <v>0</v>
      </c>
      <c r="L39" s="472">
        <v>856510</v>
      </c>
      <c r="M39" s="472">
        <v>50681</v>
      </c>
      <c r="N39" s="472">
        <v>20250</v>
      </c>
      <c r="O39" s="473">
        <v>5.4897999999999998</v>
      </c>
      <c r="P39" s="474">
        <v>4</v>
      </c>
      <c r="Q39" s="483">
        <v>1.4898</v>
      </c>
      <c r="R39" s="485">
        <f t="shared" ref="R39:R40" si="79">Y39*-1</f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ref="AB39:AB40" si="80">SUM(Y39:AA39)</f>
        <v>0</v>
      </c>
      <c r="AC39" s="475">
        <f t="shared" ref="AC39:AC40" si="81">X39+AB39</f>
        <v>0</v>
      </c>
      <c r="AD39" s="70">
        <f t="shared" ref="AD39:AD40" si="82">ROUND((X39+Y39+Z39)*33.8%,0)</f>
        <v>0</v>
      </c>
      <c r="AE39" s="70">
        <f t="shared" ref="AE39:AE40" si="83">ROUND(X39*2%,0)</f>
        <v>0</v>
      </c>
      <c r="AF39" s="475">
        <v>0</v>
      </c>
      <c r="AG39" s="475">
        <v>0</v>
      </c>
      <c r="AH39" s="475">
        <f t="shared" ref="AH39:AH40" si="84">SUM(AF39:AG39)</f>
        <v>0</v>
      </c>
      <c r="AI39" s="475">
        <f t="shared" ref="AI39:AI40" si="85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ref="AT39:AT40" si="86">SUM(AR39:AS39)</f>
        <v>0</v>
      </c>
      <c r="AU39" s="484">
        <f>I39+AI39</f>
        <v>3461493</v>
      </c>
      <c r="AV39" s="475">
        <f>J39+X39</f>
        <v>2534052</v>
      </c>
      <c r="AW39" s="475">
        <f t="shared" ref="AW39:AW40" si="87">K39+AB39</f>
        <v>0</v>
      </c>
      <c r="AX39" s="475">
        <f>L39+AD39</f>
        <v>856510</v>
      </c>
      <c r="AY39" s="475">
        <f>M39+AE39</f>
        <v>50681</v>
      </c>
      <c r="AZ39" s="475">
        <f>N39+AH39</f>
        <v>20250</v>
      </c>
      <c r="BA39" s="476">
        <f>O39+AT39</f>
        <v>5.4897999999999998</v>
      </c>
      <c r="BB39" s="476">
        <f>P39+AR39</f>
        <v>4</v>
      </c>
      <c r="BC39" s="478">
        <f>Q39+AS39</f>
        <v>1.4898</v>
      </c>
    </row>
    <row r="40" spans="1:55" ht="12.95" customHeight="1" x14ac:dyDescent="0.25">
      <c r="A40" s="308">
        <v>7</v>
      </c>
      <c r="B40" s="415">
        <v>5461</v>
      </c>
      <c r="C40" s="415">
        <v>600098915</v>
      </c>
      <c r="D40" s="415">
        <v>72743701</v>
      </c>
      <c r="E40" s="414" t="s">
        <v>492</v>
      </c>
      <c r="F40" s="415">
        <v>3141</v>
      </c>
      <c r="G40" s="407" t="s">
        <v>315</v>
      </c>
      <c r="H40" s="313" t="s">
        <v>278</v>
      </c>
      <c r="I40" s="477">
        <v>639668</v>
      </c>
      <c r="J40" s="472">
        <v>469115</v>
      </c>
      <c r="K40" s="472">
        <v>0</v>
      </c>
      <c r="L40" s="472">
        <v>158561</v>
      </c>
      <c r="M40" s="472">
        <v>9382</v>
      </c>
      <c r="N40" s="472">
        <v>2610</v>
      </c>
      <c r="O40" s="473">
        <v>1.48</v>
      </c>
      <c r="P40" s="474">
        <v>0</v>
      </c>
      <c r="Q40" s="483">
        <v>1.48</v>
      </c>
      <c r="R40" s="485">
        <f t="shared" si="79"/>
        <v>0</v>
      </c>
      <c r="S40" s="475">
        <v>0</v>
      </c>
      <c r="T40" s="475">
        <v>-4848</v>
      </c>
      <c r="U40" s="475">
        <v>0</v>
      </c>
      <c r="V40" s="475">
        <v>0</v>
      </c>
      <c r="W40" s="475">
        <v>0</v>
      </c>
      <c r="X40" s="475">
        <f>SUM(R40:W40)</f>
        <v>-4848</v>
      </c>
      <c r="Y40" s="475">
        <v>0</v>
      </c>
      <c r="Z40" s="475">
        <v>0</v>
      </c>
      <c r="AA40" s="475">
        <v>0</v>
      </c>
      <c r="AB40" s="475">
        <f t="shared" si="80"/>
        <v>0</v>
      </c>
      <c r="AC40" s="475">
        <f t="shared" si="81"/>
        <v>-4848</v>
      </c>
      <c r="AD40" s="70">
        <f t="shared" si="82"/>
        <v>-1639</v>
      </c>
      <c r="AE40" s="70">
        <f t="shared" si="83"/>
        <v>-97</v>
      </c>
      <c r="AF40" s="475">
        <v>0</v>
      </c>
      <c r="AG40" s="475">
        <v>0</v>
      </c>
      <c r="AH40" s="475">
        <f t="shared" si="84"/>
        <v>0</v>
      </c>
      <c r="AI40" s="475">
        <f t="shared" si="85"/>
        <v>-6584</v>
      </c>
      <c r="AJ40" s="476">
        <v>0</v>
      </c>
      <c r="AK40" s="476">
        <v>0</v>
      </c>
      <c r="AL40" s="476">
        <v>0</v>
      </c>
      <c r="AM40" s="476">
        <v>0</v>
      </c>
      <c r="AN40" s="476">
        <v>-0.01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-0.01</v>
      </c>
      <c r="AT40" s="478">
        <f t="shared" si="86"/>
        <v>-0.01</v>
      </c>
      <c r="AU40" s="484">
        <f>I40+AI40</f>
        <v>633084</v>
      </c>
      <c r="AV40" s="475">
        <f>J40+X40</f>
        <v>464267</v>
      </c>
      <c r="AW40" s="475">
        <f t="shared" si="87"/>
        <v>0</v>
      </c>
      <c r="AX40" s="475">
        <f>L40+AD40</f>
        <v>156922</v>
      </c>
      <c r="AY40" s="475">
        <f>M40+AE40</f>
        <v>9285</v>
      </c>
      <c r="AZ40" s="475">
        <f>N40+AH40</f>
        <v>2610</v>
      </c>
      <c r="BA40" s="476">
        <f>O40+AT40</f>
        <v>1.47</v>
      </c>
      <c r="BB40" s="476">
        <f>P40+AR40</f>
        <v>0</v>
      </c>
      <c r="BC40" s="478">
        <f>Q40+AS40</f>
        <v>1.47</v>
      </c>
    </row>
    <row r="41" spans="1:55" ht="12.95" customHeight="1" x14ac:dyDescent="0.25">
      <c r="A41" s="226">
        <v>7</v>
      </c>
      <c r="B41" s="48">
        <v>5461</v>
      </c>
      <c r="C41" s="48">
        <v>600098915</v>
      </c>
      <c r="D41" s="48">
        <v>72743701</v>
      </c>
      <c r="E41" s="420" t="s">
        <v>493</v>
      </c>
      <c r="F41" s="48"/>
      <c r="G41" s="420"/>
      <c r="H41" s="192"/>
      <c r="I41" s="560">
        <v>4101161</v>
      </c>
      <c r="J41" s="556">
        <v>3003167</v>
      </c>
      <c r="K41" s="556">
        <v>0</v>
      </c>
      <c r="L41" s="556">
        <v>1015071</v>
      </c>
      <c r="M41" s="556">
        <v>60063</v>
      </c>
      <c r="N41" s="556">
        <v>22860</v>
      </c>
      <c r="O41" s="557">
        <v>6.9697999999999993</v>
      </c>
      <c r="P41" s="557">
        <v>4</v>
      </c>
      <c r="Q41" s="562">
        <v>2.9698000000000002</v>
      </c>
      <c r="R41" s="560">
        <f t="shared" ref="R41:BC41" si="88">SUM(R39:R40)</f>
        <v>0</v>
      </c>
      <c r="S41" s="556">
        <f t="shared" si="88"/>
        <v>0</v>
      </c>
      <c r="T41" s="556">
        <f t="shared" si="88"/>
        <v>-4848</v>
      </c>
      <c r="U41" s="556">
        <f t="shared" si="88"/>
        <v>0</v>
      </c>
      <c r="V41" s="556">
        <f t="shared" si="88"/>
        <v>0</v>
      </c>
      <c r="W41" s="556">
        <f t="shared" si="88"/>
        <v>0</v>
      </c>
      <c r="X41" s="556">
        <f t="shared" si="88"/>
        <v>-4848</v>
      </c>
      <c r="Y41" s="556">
        <f t="shared" si="88"/>
        <v>0</v>
      </c>
      <c r="Z41" s="556">
        <f t="shared" si="88"/>
        <v>0</v>
      </c>
      <c r="AA41" s="556">
        <f t="shared" si="88"/>
        <v>0</v>
      </c>
      <c r="AB41" s="556">
        <f t="shared" si="88"/>
        <v>0</v>
      </c>
      <c r="AC41" s="556">
        <f t="shared" si="88"/>
        <v>-4848</v>
      </c>
      <c r="AD41" s="556">
        <f t="shared" si="88"/>
        <v>-1639</v>
      </c>
      <c r="AE41" s="556">
        <f t="shared" si="88"/>
        <v>-97</v>
      </c>
      <c r="AF41" s="556">
        <f t="shared" si="88"/>
        <v>0</v>
      </c>
      <c r="AG41" s="556">
        <f t="shared" si="88"/>
        <v>0</v>
      </c>
      <c r="AH41" s="556">
        <f t="shared" si="88"/>
        <v>0</v>
      </c>
      <c r="AI41" s="556">
        <f t="shared" si="88"/>
        <v>-6584</v>
      </c>
      <c r="AJ41" s="557">
        <f t="shared" si="88"/>
        <v>0</v>
      </c>
      <c r="AK41" s="557">
        <f t="shared" si="88"/>
        <v>0</v>
      </c>
      <c r="AL41" s="557">
        <f t="shared" si="88"/>
        <v>0</v>
      </c>
      <c r="AM41" s="557">
        <f t="shared" si="88"/>
        <v>0</v>
      </c>
      <c r="AN41" s="557">
        <f t="shared" si="88"/>
        <v>-0.01</v>
      </c>
      <c r="AO41" s="557">
        <f t="shared" si="88"/>
        <v>0</v>
      </c>
      <c r="AP41" s="557">
        <f t="shared" si="88"/>
        <v>0</v>
      </c>
      <c r="AQ41" s="557">
        <f t="shared" si="88"/>
        <v>0</v>
      </c>
      <c r="AR41" s="557">
        <f t="shared" si="88"/>
        <v>0</v>
      </c>
      <c r="AS41" s="557">
        <f t="shared" si="88"/>
        <v>-0.01</v>
      </c>
      <c r="AT41" s="307">
        <f t="shared" si="88"/>
        <v>-0.01</v>
      </c>
      <c r="AU41" s="564">
        <f t="shared" si="88"/>
        <v>4094577</v>
      </c>
      <c r="AV41" s="556">
        <f t="shared" si="88"/>
        <v>2998319</v>
      </c>
      <c r="AW41" s="556">
        <f t="shared" si="88"/>
        <v>0</v>
      </c>
      <c r="AX41" s="556">
        <f t="shared" si="88"/>
        <v>1013432</v>
      </c>
      <c r="AY41" s="556">
        <f t="shared" si="88"/>
        <v>59966</v>
      </c>
      <c r="AZ41" s="556">
        <f t="shared" si="88"/>
        <v>22860</v>
      </c>
      <c r="BA41" s="557">
        <f t="shared" si="88"/>
        <v>6.9597999999999995</v>
      </c>
      <c r="BB41" s="557">
        <f t="shared" si="88"/>
        <v>4</v>
      </c>
      <c r="BC41" s="307">
        <f t="shared" si="88"/>
        <v>2.9598</v>
      </c>
    </row>
    <row r="42" spans="1:55" ht="12.95" customHeight="1" x14ac:dyDescent="0.25">
      <c r="A42" s="308">
        <v>8</v>
      </c>
      <c r="B42" s="404">
        <v>5466</v>
      </c>
      <c r="C42" s="404">
        <v>600098885</v>
      </c>
      <c r="D42" s="404">
        <v>72743794</v>
      </c>
      <c r="E42" s="405" t="s">
        <v>494</v>
      </c>
      <c r="F42" s="404">
        <v>3111</v>
      </c>
      <c r="G42" s="407" t="s">
        <v>325</v>
      </c>
      <c r="H42" s="313" t="s">
        <v>277</v>
      </c>
      <c r="I42" s="477">
        <v>8655517</v>
      </c>
      <c r="J42" s="472">
        <v>6273914</v>
      </c>
      <c r="K42" s="472">
        <v>59000</v>
      </c>
      <c r="L42" s="472">
        <v>2140525</v>
      </c>
      <c r="M42" s="472">
        <v>125478</v>
      </c>
      <c r="N42" s="472">
        <v>56600</v>
      </c>
      <c r="O42" s="473">
        <v>13.4192</v>
      </c>
      <c r="P42" s="474">
        <v>9.98</v>
      </c>
      <c r="Q42" s="483">
        <v>3.4392000000000005</v>
      </c>
      <c r="R42" s="485">
        <f t="shared" ref="R42:R44" si="89">Y42*-1</f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>SUM(R42:W42)</f>
        <v>0</v>
      </c>
      <c r="Y42" s="475">
        <v>0</v>
      </c>
      <c r="Z42" s="475">
        <v>0</v>
      </c>
      <c r="AA42" s="475">
        <v>0</v>
      </c>
      <c r="AB42" s="475">
        <f t="shared" ref="AB42:AB44" si="90">SUM(Y42:AA42)</f>
        <v>0</v>
      </c>
      <c r="AC42" s="475">
        <f t="shared" ref="AC42:AC44" si="91">X42+AB42</f>
        <v>0</v>
      </c>
      <c r="AD42" s="70">
        <f t="shared" ref="AD42:AD44" si="92">ROUND((X42+Y42+Z42)*33.8%,0)</f>
        <v>0</v>
      </c>
      <c r="AE42" s="70">
        <f t="shared" ref="AE42:AE44" si="93">ROUND(X42*2%,0)</f>
        <v>0</v>
      </c>
      <c r="AF42" s="475">
        <v>0</v>
      </c>
      <c r="AG42" s="475">
        <v>0</v>
      </c>
      <c r="AH42" s="475">
        <f t="shared" ref="AH42:AH44" si="94">SUM(AF42:AG42)</f>
        <v>0</v>
      </c>
      <c r="AI42" s="475">
        <f t="shared" ref="AI42:AI44" si="95">AC42+AD42+AE42+AH42</f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ref="AT42:AT44" si="96">SUM(AR42:AS42)</f>
        <v>0</v>
      </c>
      <c r="AU42" s="484">
        <f>I42+AI42</f>
        <v>8655517</v>
      </c>
      <c r="AV42" s="475">
        <f>J42+X42</f>
        <v>6273914</v>
      </c>
      <c r="AW42" s="475">
        <f t="shared" ref="AW42:AW44" si="97">K42+AB42</f>
        <v>59000</v>
      </c>
      <c r="AX42" s="475">
        <f t="shared" ref="AX42:AY44" si="98">L42+AD42</f>
        <v>2140525</v>
      </c>
      <c r="AY42" s="475">
        <f t="shared" si="98"/>
        <v>125478</v>
      </c>
      <c r="AZ42" s="475">
        <f>N42+AH42</f>
        <v>56600</v>
      </c>
      <c r="BA42" s="476">
        <f>O42+AT42</f>
        <v>13.4192</v>
      </c>
      <c r="BB42" s="476">
        <f t="shared" ref="BB42:BC44" si="99">P42+AR42</f>
        <v>9.98</v>
      </c>
      <c r="BC42" s="478">
        <f t="shared" si="99"/>
        <v>3.4392000000000005</v>
      </c>
    </row>
    <row r="43" spans="1:55" ht="12.95" customHeight="1" x14ac:dyDescent="0.25">
      <c r="A43" s="308">
        <v>8</v>
      </c>
      <c r="B43" s="404">
        <v>5466</v>
      </c>
      <c r="C43" s="404">
        <v>600098885</v>
      </c>
      <c r="D43" s="404">
        <v>72743794</v>
      </c>
      <c r="E43" s="405" t="s">
        <v>494</v>
      </c>
      <c r="F43" s="404">
        <v>3111</v>
      </c>
      <c r="G43" s="359" t="s">
        <v>313</v>
      </c>
      <c r="H43" s="313" t="s">
        <v>277</v>
      </c>
      <c r="I43" s="477">
        <v>266432</v>
      </c>
      <c r="J43" s="472">
        <v>196194</v>
      </c>
      <c r="K43" s="472">
        <v>0</v>
      </c>
      <c r="L43" s="472">
        <v>66314</v>
      </c>
      <c r="M43" s="472">
        <v>3924</v>
      </c>
      <c r="N43" s="472">
        <v>0</v>
      </c>
      <c r="O43" s="473">
        <v>0.5</v>
      </c>
      <c r="P43" s="474">
        <v>0.5</v>
      </c>
      <c r="Q43" s="483">
        <v>0</v>
      </c>
      <c r="R43" s="485">
        <f t="shared" si="89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>SUM(R43:W43)</f>
        <v>0</v>
      </c>
      <c r="Y43" s="475">
        <v>0</v>
      </c>
      <c r="Z43" s="475">
        <v>0</v>
      </c>
      <c r="AA43" s="475">
        <v>0</v>
      </c>
      <c r="AB43" s="475">
        <f t="shared" si="90"/>
        <v>0</v>
      </c>
      <c r="AC43" s="475">
        <f t="shared" si="91"/>
        <v>0</v>
      </c>
      <c r="AD43" s="70">
        <f t="shared" si="92"/>
        <v>0</v>
      </c>
      <c r="AE43" s="70">
        <f t="shared" si="93"/>
        <v>0</v>
      </c>
      <c r="AF43" s="475">
        <v>0</v>
      </c>
      <c r="AG43" s="475">
        <v>0</v>
      </c>
      <c r="AH43" s="475">
        <f t="shared" si="94"/>
        <v>0</v>
      </c>
      <c r="AI43" s="475">
        <f t="shared" si="95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96"/>
        <v>0</v>
      </c>
      <c r="AU43" s="484">
        <f>I43+AI43</f>
        <v>266432</v>
      </c>
      <c r="AV43" s="475">
        <f>J43+X43</f>
        <v>196194</v>
      </c>
      <c r="AW43" s="475">
        <f t="shared" si="97"/>
        <v>0</v>
      </c>
      <c r="AX43" s="475">
        <f t="shared" si="98"/>
        <v>66314</v>
      </c>
      <c r="AY43" s="475">
        <f t="shared" si="98"/>
        <v>3924</v>
      </c>
      <c r="AZ43" s="475">
        <f>N43+AH43</f>
        <v>0</v>
      </c>
      <c r="BA43" s="476">
        <f>O43+AT43</f>
        <v>0.5</v>
      </c>
      <c r="BB43" s="476">
        <f t="shared" si="99"/>
        <v>0.5</v>
      </c>
      <c r="BC43" s="478">
        <f t="shared" si="99"/>
        <v>0</v>
      </c>
    </row>
    <row r="44" spans="1:55" ht="12.95" customHeight="1" x14ac:dyDescent="0.25">
      <c r="A44" s="308">
        <v>8</v>
      </c>
      <c r="B44" s="225">
        <v>5466</v>
      </c>
      <c r="C44" s="225">
        <v>600098885</v>
      </c>
      <c r="D44" s="225">
        <v>72743794</v>
      </c>
      <c r="E44" s="406" t="s">
        <v>494</v>
      </c>
      <c r="F44" s="225">
        <v>3141</v>
      </c>
      <c r="G44" s="407" t="s">
        <v>315</v>
      </c>
      <c r="H44" s="313" t="s">
        <v>278</v>
      </c>
      <c r="I44" s="477">
        <v>1137952</v>
      </c>
      <c r="J44" s="472">
        <v>833520</v>
      </c>
      <c r="K44" s="472">
        <v>0</v>
      </c>
      <c r="L44" s="472">
        <v>281730</v>
      </c>
      <c r="M44" s="472">
        <v>16670</v>
      </c>
      <c r="N44" s="472">
        <v>6032</v>
      </c>
      <c r="O44" s="473">
        <v>2.63</v>
      </c>
      <c r="P44" s="474">
        <v>0</v>
      </c>
      <c r="Q44" s="483">
        <v>2.63</v>
      </c>
      <c r="R44" s="485">
        <f t="shared" si="89"/>
        <v>0</v>
      </c>
      <c r="S44" s="475">
        <v>0</v>
      </c>
      <c r="T44" s="475">
        <v>-1961</v>
      </c>
      <c r="U44" s="475">
        <v>0</v>
      </c>
      <c r="V44" s="475">
        <v>0</v>
      </c>
      <c r="W44" s="475">
        <v>0</v>
      </c>
      <c r="X44" s="475">
        <f>SUM(R44:W44)</f>
        <v>-1961</v>
      </c>
      <c r="Y44" s="475">
        <v>0</v>
      </c>
      <c r="Z44" s="475">
        <v>0</v>
      </c>
      <c r="AA44" s="475">
        <v>0</v>
      </c>
      <c r="AB44" s="475">
        <f t="shared" si="90"/>
        <v>0</v>
      </c>
      <c r="AC44" s="475">
        <f t="shared" si="91"/>
        <v>-1961</v>
      </c>
      <c r="AD44" s="70">
        <f t="shared" si="92"/>
        <v>-663</v>
      </c>
      <c r="AE44" s="70">
        <f t="shared" si="93"/>
        <v>-39</v>
      </c>
      <c r="AF44" s="475">
        <v>0</v>
      </c>
      <c r="AG44" s="475">
        <v>0</v>
      </c>
      <c r="AH44" s="475">
        <f t="shared" si="94"/>
        <v>0</v>
      </c>
      <c r="AI44" s="475">
        <f t="shared" si="95"/>
        <v>-2663</v>
      </c>
      <c r="AJ44" s="476">
        <v>0</v>
      </c>
      <c r="AK44" s="476">
        <v>0</v>
      </c>
      <c r="AL44" s="476">
        <v>0</v>
      </c>
      <c r="AM44" s="476">
        <v>0</v>
      </c>
      <c r="AN44" s="476">
        <v>-0.01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-0.01</v>
      </c>
      <c r="AT44" s="478">
        <f t="shared" si="96"/>
        <v>-0.01</v>
      </c>
      <c r="AU44" s="484">
        <f>I44+AI44</f>
        <v>1135289</v>
      </c>
      <c r="AV44" s="475">
        <f>J44+X44</f>
        <v>831559</v>
      </c>
      <c r="AW44" s="475">
        <f t="shared" si="97"/>
        <v>0</v>
      </c>
      <c r="AX44" s="475">
        <f t="shared" si="98"/>
        <v>281067</v>
      </c>
      <c r="AY44" s="475">
        <f t="shared" si="98"/>
        <v>16631</v>
      </c>
      <c r="AZ44" s="475">
        <f>N44+AH44</f>
        <v>6032</v>
      </c>
      <c r="BA44" s="476">
        <f>O44+AT44</f>
        <v>2.62</v>
      </c>
      <c r="BB44" s="476">
        <f t="shared" si="99"/>
        <v>0</v>
      </c>
      <c r="BC44" s="478">
        <f t="shared" si="99"/>
        <v>2.62</v>
      </c>
    </row>
    <row r="45" spans="1:55" ht="12.95" customHeight="1" x14ac:dyDescent="0.25">
      <c r="A45" s="226">
        <v>8</v>
      </c>
      <c r="B45" s="46">
        <v>5466</v>
      </c>
      <c r="C45" s="46">
        <v>600098885</v>
      </c>
      <c r="D45" s="46">
        <v>72743794</v>
      </c>
      <c r="E45" s="408" t="s">
        <v>495</v>
      </c>
      <c r="F45" s="46"/>
      <c r="G45" s="408"/>
      <c r="H45" s="190"/>
      <c r="I45" s="560">
        <v>10059901</v>
      </c>
      <c r="J45" s="556">
        <v>7303628</v>
      </c>
      <c r="K45" s="556">
        <v>59000</v>
      </c>
      <c r="L45" s="556">
        <v>2488569</v>
      </c>
      <c r="M45" s="556">
        <v>146072</v>
      </c>
      <c r="N45" s="556">
        <v>62632</v>
      </c>
      <c r="O45" s="557">
        <v>16.549199999999999</v>
      </c>
      <c r="P45" s="557">
        <v>10.48</v>
      </c>
      <c r="Q45" s="562">
        <v>6.0692000000000004</v>
      </c>
      <c r="R45" s="560">
        <f t="shared" ref="R45:BC45" si="100">SUM(R42:R44)</f>
        <v>0</v>
      </c>
      <c r="S45" s="556">
        <f t="shared" si="100"/>
        <v>0</v>
      </c>
      <c r="T45" s="556">
        <f t="shared" si="100"/>
        <v>-1961</v>
      </c>
      <c r="U45" s="556">
        <f t="shared" si="100"/>
        <v>0</v>
      </c>
      <c r="V45" s="556">
        <f t="shared" si="100"/>
        <v>0</v>
      </c>
      <c r="W45" s="556">
        <f t="shared" si="100"/>
        <v>0</v>
      </c>
      <c r="X45" s="556">
        <f t="shared" si="100"/>
        <v>-1961</v>
      </c>
      <c r="Y45" s="556">
        <f t="shared" si="100"/>
        <v>0</v>
      </c>
      <c r="Z45" s="556">
        <f t="shared" si="100"/>
        <v>0</v>
      </c>
      <c r="AA45" s="556">
        <f t="shared" si="100"/>
        <v>0</v>
      </c>
      <c r="AB45" s="556">
        <f t="shared" si="100"/>
        <v>0</v>
      </c>
      <c r="AC45" s="556">
        <f t="shared" si="100"/>
        <v>-1961</v>
      </c>
      <c r="AD45" s="556">
        <f t="shared" si="100"/>
        <v>-663</v>
      </c>
      <c r="AE45" s="556">
        <f t="shared" si="100"/>
        <v>-39</v>
      </c>
      <c r="AF45" s="556">
        <f t="shared" si="100"/>
        <v>0</v>
      </c>
      <c r="AG45" s="556">
        <f t="shared" si="100"/>
        <v>0</v>
      </c>
      <c r="AH45" s="556">
        <f t="shared" si="100"/>
        <v>0</v>
      </c>
      <c r="AI45" s="556">
        <f t="shared" si="100"/>
        <v>-2663</v>
      </c>
      <c r="AJ45" s="557">
        <f t="shared" si="100"/>
        <v>0</v>
      </c>
      <c r="AK45" s="557">
        <f t="shared" si="100"/>
        <v>0</v>
      </c>
      <c r="AL45" s="557">
        <f t="shared" si="100"/>
        <v>0</v>
      </c>
      <c r="AM45" s="557">
        <f t="shared" si="100"/>
        <v>0</v>
      </c>
      <c r="AN45" s="557">
        <f t="shared" si="100"/>
        <v>-0.01</v>
      </c>
      <c r="AO45" s="557">
        <f t="shared" si="100"/>
        <v>0</v>
      </c>
      <c r="AP45" s="557">
        <f t="shared" si="100"/>
        <v>0</v>
      </c>
      <c r="AQ45" s="557">
        <f t="shared" si="100"/>
        <v>0</v>
      </c>
      <c r="AR45" s="557">
        <f t="shared" si="100"/>
        <v>0</v>
      </c>
      <c r="AS45" s="557">
        <f t="shared" si="100"/>
        <v>-0.01</v>
      </c>
      <c r="AT45" s="307">
        <f t="shared" si="100"/>
        <v>-0.01</v>
      </c>
      <c r="AU45" s="564">
        <f t="shared" si="100"/>
        <v>10057238</v>
      </c>
      <c r="AV45" s="556">
        <f t="shared" si="100"/>
        <v>7301667</v>
      </c>
      <c r="AW45" s="556">
        <f t="shared" si="100"/>
        <v>59000</v>
      </c>
      <c r="AX45" s="556">
        <f t="shared" si="100"/>
        <v>2487906</v>
      </c>
      <c r="AY45" s="556">
        <f t="shared" si="100"/>
        <v>146033</v>
      </c>
      <c r="AZ45" s="556">
        <f t="shared" si="100"/>
        <v>62632</v>
      </c>
      <c r="BA45" s="557">
        <f t="shared" si="100"/>
        <v>16.539200000000001</v>
      </c>
      <c r="BB45" s="557">
        <f t="shared" si="100"/>
        <v>10.48</v>
      </c>
      <c r="BC45" s="307">
        <f t="shared" si="100"/>
        <v>6.0592000000000006</v>
      </c>
    </row>
    <row r="46" spans="1:55" ht="12.95" customHeight="1" x14ac:dyDescent="0.25">
      <c r="A46" s="308">
        <v>9</v>
      </c>
      <c r="B46" s="225">
        <v>5702</v>
      </c>
      <c r="C46" s="225">
        <v>600099547</v>
      </c>
      <c r="D46" s="225">
        <v>855022</v>
      </c>
      <c r="E46" s="405" t="s">
        <v>496</v>
      </c>
      <c r="F46" s="416">
        <v>3233</v>
      </c>
      <c r="G46" s="405" t="s">
        <v>407</v>
      </c>
      <c r="H46" s="313" t="s">
        <v>278</v>
      </c>
      <c r="I46" s="477">
        <v>4701951</v>
      </c>
      <c r="J46" s="472">
        <v>2973300</v>
      </c>
      <c r="K46" s="472">
        <v>460000</v>
      </c>
      <c r="L46" s="472">
        <v>1160455</v>
      </c>
      <c r="M46" s="472">
        <v>59466</v>
      </c>
      <c r="N46" s="472">
        <v>48730</v>
      </c>
      <c r="O46" s="473">
        <v>6.85</v>
      </c>
      <c r="P46" s="474">
        <v>3.8600000000000003</v>
      </c>
      <c r="Q46" s="483">
        <v>2.9899999999999998</v>
      </c>
      <c r="R46" s="485">
        <f t="shared" ref="R46" si="101">Y46*-1</f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ref="AB46" si="102">SUM(Y46:AA46)</f>
        <v>0</v>
      </c>
      <c r="AC46" s="475">
        <f t="shared" ref="AC46" si="103">X46+AB46</f>
        <v>0</v>
      </c>
      <c r="AD46" s="70">
        <f t="shared" ref="AD46" si="104">ROUND((X46+Y46+Z46)*33.8%,0)</f>
        <v>0</v>
      </c>
      <c r="AE46" s="70">
        <f t="shared" ref="AE46" si="105">ROUND(X46*2%,0)</f>
        <v>0</v>
      </c>
      <c r="AF46" s="475">
        <v>0</v>
      </c>
      <c r="AG46" s="475">
        <v>0</v>
      </c>
      <c r="AH46" s="475">
        <f t="shared" ref="AH46" si="106">SUM(AF46:AG46)</f>
        <v>0</v>
      </c>
      <c r="AI46" s="475">
        <f t="shared" ref="AI46" si="107">AC46+AD46+AE46+AH46</f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ref="AT46" si="108">SUM(AR46:AS46)</f>
        <v>0</v>
      </c>
      <c r="AU46" s="484">
        <f>I46+AI46</f>
        <v>4701951</v>
      </c>
      <c r="AV46" s="475">
        <f>J46+X46</f>
        <v>2973300</v>
      </c>
      <c r="AW46" s="475">
        <f>K46+AB46</f>
        <v>460000</v>
      </c>
      <c r="AX46" s="475">
        <f>L46+AD46</f>
        <v>1160455</v>
      </c>
      <c r="AY46" s="475">
        <f>M46+AE46</f>
        <v>59466</v>
      </c>
      <c r="AZ46" s="475">
        <f>N46+AH46</f>
        <v>48730</v>
      </c>
      <c r="BA46" s="476">
        <f>O46+AT46</f>
        <v>6.85</v>
      </c>
      <c r="BB46" s="476">
        <f>P46+AR46</f>
        <v>3.8600000000000003</v>
      </c>
      <c r="BC46" s="478">
        <f>Q46+AS46</f>
        <v>2.9899999999999998</v>
      </c>
    </row>
    <row r="47" spans="1:55" ht="12.95" customHeight="1" x14ac:dyDescent="0.25">
      <c r="A47" s="226">
        <v>9</v>
      </c>
      <c r="B47" s="46">
        <v>5702</v>
      </c>
      <c r="C47" s="46">
        <v>600099547</v>
      </c>
      <c r="D47" s="46">
        <v>855022</v>
      </c>
      <c r="E47" s="417" t="s">
        <v>497</v>
      </c>
      <c r="F47" s="418"/>
      <c r="G47" s="417"/>
      <c r="H47" s="419"/>
      <c r="I47" s="611">
        <v>4701951</v>
      </c>
      <c r="J47" s="607">
        <v>2973300</v>
      </c>
      <c r="K47" s="607">
        <v>460000</v>
      </c>
      <c r="L47" s="607">
        <v>1160455</v>
      </c>
      <c r="M47" s="607">
        <v>59466</v>
      </c>
      <c r="N47" s="607">
        <v>48730</v>
      </c>
      <c r="O47" s="608">
        <v>6.85</v>
      </c>
      <c r="P47" s="608">
        <v>3.8600000000000003</v>
      </c>
      <c r="Q47" s="613">
        <v>2.9899999999999998</v>
      </c>
      <c r="R47" s="611">
        <f t="shared" ref="R47:BC47" si="109">SUM(R46)</f>
        <v>0</v>
      </c>
      <c r="S47" s="607">
        <f t="shared" si="109"/>
        <v>0</v>
      </c>
      <c r="T47" s="607">
        <f t="shared" si="109"/>
        <v>0</v>
      </c>
      <c r="U47" s="607">
        <f t="shared" si="109"/>
        <v>0</v>
      </c>
      <c r="V47" s="607">
        <f t="shared" si="109"/>
        <v>0</v>
      </c>
      <c r="W47" s="607">
        <f t="shared" si="109"/>
        <v>0</v>
      </c>
      <c r="X47" s="607">
        <f t="shared" si="109"/>
        <v>0</v>
      </c>
      <c r="Y47" s="607">
        <f t="shared" si="109"/>
        <v>0</v>
      </c>
      <c r="Z47" s="607">
        <f t="shared" si="109"/>
        <v>0</v>
      </c>
      <c r="AA47" s="607">
        <f t="shared" si="109"/>
        <v>0</v>
      </c>
      <c r="AB47" s="607">
        <f t="shared" si="109"/>
        <v>0</v>
      </c>
      <c r="AC47" s="607">
        <f t="shared" si="109"/>
        <v>0</v>
      </c>
      <c r="AD47" s="607">
        <f t="shared" si="109"/>
        <v>0</v>
      </c>
      <c r="AE47" s="607">
        <f t="shared" si="109"/>
        <v>0</v>
      </c>
      <c r="AF47" s="607">
        <f t="shared" si="109"/>
        <v>0</v>
      </c>
      <c r="AG47" s="607">
        <f t="shared" si="109"/>
        <v>0</v>
      </c>
      <c r="AH47" s="607">
        <f t="shared" si="109"/>
        <v>0</v>
      </c>
      <c r="AI47" s="607">
        <f t="shared" si="109"/>
        <v>0</v>
      </c>
      <c r="AJ47" s="608">
        <f t="shared" si="109"/>
        <v>0</v>
      </c>
      <c r="AK47" s="608">
        <f t="shared" si="109"/>
        <v>0</v>
      </c>
      <c r="AL47" s="608">
        <f t="shared" si="109"/>
        <v>0</v>
      </c>
      <c r="AM47" s="608">
        <f t="shared" si="109"/>
        <v>0</v>
      </c>
      <c r="AN47" s="608">
        <f t="shared" si="109"/>
        <v>0</v>
      </c>
      <c r="AO47" s="608">
        <f t="shared" si="109"/>
        <v>0</v>
      </c>
      <c r="AP47" s="608">
        <f t="shared" si="109"/>
        <v>0</v>
      </c>
      <c r="AQ47" s="608">
        <f t="shared" si="109"/>
        <v>0</v>
      </c>
      <c r="AR47" s="608">
        <f t="shared" si="109"/>
        <v>0</v>
      </c>
      <c r="AS47" s="608">
        <f t="shared" si="109"/>
        <v>0</v>
      </c>
      <c r="AT47" s="409">
        <f t="shared" si="109"/>
        <v>0</v>
      </c>
      <c r="AU47" s="615">
        <f t="shared" si="109"/>
        <v>4701951</v>
      </c>
      <c r="AV47" s="607">
        <f t="shared" si="109"/>
        <v>2973300</v>
      </c>
      <c r="AW47" s="607">
        <f t="shared" si="109"/>
        <v>460000</v>
      </c>
      <c r="AX47" s="607">
        <f t="shared" si="109"/>
        <v>1160455</v>
      </c>
      <c r="AY47" s="607">
        <f t="shared" si="109"/>
        <v>59466</v>
      </c>
      <c r="AZ47" s="607">
        <f t="shared" si="109"/>
        <v>48730</v>
      </c>
      <c r="BA47" s="608">
        <f t="shared" si="109"/>
        <v>6.85</v>
      </c>
      <c r="BB47" s="608">
        <f t="shared" si="109"/>
        <v>3.8600000000000003</v>
      </c>
      <c r="BC47" s="409">
        <f t="shared" si="109"/>
        <v>2.9899999999999998</v>
      </c>
    </row>
    <row r="48" spans="1:55" ht="12.95" customHeight="1" x14ac:dyDescent="0.25">
      <c r="A48" s="308">
        <v>10</v>
      </c>
      <c r="B48" s="225">
        <v>5458</v>
      </c>
      <c r="C48" s="225">
        <v>600099288</v>
      </c>
      <c r="D48" s="225">
        <v>856126</v>
      </c>
      <c r="E48" s="406" t="s">
        <v>498</v>
      </c>
      <c r="F48" s="225">
        <v>3113</v>
      </c>
      <c r="G48" s="406" t="s">
        <v>329</v>
      </c>
      <c r="H48" s="313" t="s">
        <v>277</v>
      </c>
      <c r="I48" s="477">
        <v>39217287</v>
      </c>
      <c r="J48" s="472">
        <v>28005852</v>
      </c>
      <c r="K48" s="472">
        <v>250000</v>
      </c>
      <c r="L48" s="472">
        <v>9550478</v>
      </c>
      <c r="M48" s="472">
        <v>560117</v>
      </c>
      <c r="N48" s="472">
        <v>850840</v>
      </c>
      <c r="O48" s="473">
        <v>47.075299999999999</v>
      </c>
      <c r="P48" s="474">
        <v>36.889499999999998</v>
      </c>
      <c r="Q48" s="483">
        <v>10.1858</v>
      </c>
      <c r="R48" s="485">
        <f t="shared" ref="R48:R52" si="110">Y48*-1</f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>SUM(R48:W48)</f>
        <v>0</v>
      </c>
      <c r="Y48" s="475">
        <v>0</v>
      </c>
      <c r="Z48" s="475">
        <v>0</v>
      </c>
      <c r="AA48" s="475">
        <v>0</v>
      </c>
      <c r="AB48" s="475">
        <f t="shared" ref="AB48:AB52" si="111">SUM(Y48:AA48)</f>
        <v>0</v>
      </c>
      <c r="AC48" s="475">
        <f t="shared" ref="AC48:AC52" si="112">X48+AB48</f>
        <v>0</v>
      </c>
      <c r="AD48" s="70">
        <f t="shared" ref="AD48:AD52" si="113">ROUND((X48+Y48+Z48)*33.8%,0)</f>
        <v>0</v>
      </c>
      <c r="AE48" s="70">
        <f t="shared" ref="AE48:AE52" si="114">ROUND(X48*2%,0)</f>
        <v>0</v>
      </c>
      <c r="AF48" s="475">
        <v>0</v>
      </c>
      <c r="AG48" s="475">
        <v>0</v>
      </c>
      <c r="AH48" s="475">
        <f t="shared" ref="AH48:AH52" si="115">SUM(AF48:AG48)</f>
        <v>0</v>
      </c>
      <c r="AI48" s="475">
        <f t="shared" ref="AI48:AI52" si="116">AC48+AD48+AE48+AH48</f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>AJ48+AL48+AM48+AO48+AP48</f>
        <v>0</v>
      </c>
      <c r="AS48" s="476">
        <f>AK48+AN48+AQ48</f>
        <v>0</v>
      </c>
      <c r="AT48" s="478">
        <f t="shared" ref="AT48:AT52" si="117">SUM(AR48:AS48)</f>
        <v>0</v>
      </c>
      <c r="AU48" s="484">
        <f>I48+AI48</f>
        <v>39217287</v>
      </c>
      <c r="AV48" s="475">
        <f>J48+X48</f>
        <v>28005852</v>
      </c>
      <c r="AW48" s="475">
        <f t="shared" ref="AW48:AW52" si="118">K48+AB48</f>
        <v>250000</v>
      </c>
      <c r="AX48" s="475">
        <f t="shared" ref="AX48:AY52" si="119">L48+AD48</f>
        <v>9550478</v>
      </c>
      <c r="AY48" s="475">
        <f t="shared" si="119"/>
        <v>560117</v>
      </c>
      <c r="AZ48" s="475">
        <f>N48+AH48</f>
        <v>850840</v>
      </c>
      <c r="BA48" s="476">
        <f>O48+AT48</f>
        <v>47.075299999999999</v>
      </c>
      <c r="BB48" s="476">
        <f t="shared" ref="BB48:BC52" si="120">P48+AR48</f>
        <v>36.889499999999998</v>
      </c>
      <c r="BC48" s="478">
        <f t="shared" si="120"/>
        <v>10.1858</v>
      </c>
    </row>
    <row r="49" spans="1:55" ht="12.95" customHeight="1" x14ac:dyDescent="0.25">
      <c r="A49" s="308">
        <v>10</v>
      </c>
      <c r="B49" s="225">
        <v>5458</v>
      </c>
      <c r="C49" s="225">
        <v>600099288</v>
      </c>
      <c r="D49" s="225">
        <v>856126</v>
      </c>
      <c r="E49" s="406" t="s">
        <v>498</v>
      </c>
      <c r="F49" s="225">
        <v>3113</v>
      </c>
      <c r="G49" s="351" t="s">
        <v>312</v>
      </c>
      <c r="H49" s="313" t="s">
        <v>278</v>
      </c>
      <c r="I49" s="477">
        <v>3819622</v>
      </c>
      <c r="J49" s="472">
        <v>2809368</v>
      </c>
      <c r="K49" s="472">
        <v>0</v>
      </c>
      <c r="L49" s="472">
        <v>949566</v>
      </c>
      <c r="M49" s="472">
        <v>56188</v>
      </c>
      <c r="N49" s="472">
        <v>4500</v>
      </c>
      <c r="O49" s="473">
        <v>7.3</v>
      </c>
      <c r="P49" s="474">
        <v>7.3</v>
      </c>
      <c r="Q49" s="483">
        <v>0</v>
      </c>
      <c r="R49" s="485">
        <f t="shared" si="110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si="111"/>
        <v>0</v>
      </c>
      <c r="AC49" s="475">
        <f t="shared" si="112"/>
        <v>0</v>
      </c>
      <c r="AD49" s="70">
        <f t="shared" si="113"/>
        <v>0</v>
      </c>
      <c r="AE49" s="70">
        <f t="shared" si="114"/>
        <v>0</v>
      </c>
      <c r="AF49" s="475">
        <v>0</v>
      </c>
      <c r="AG49" s="475">
        <v>0</v>
      </c>
      <c r="AH49" s="475">
        <f t="shared" si="115"/>
        <v>0</v>
      </c>
      <c r="AI49" s="475">
        <f t="shared" si="116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si="117"/>
        <v>0</v>
      </c>
      <c r="AU49" s="484">
        <f>I49+AI49</f>
        <v>3819622</v>
      </c>
      <c r="AV49" s="475">
        <f>J49+X49</f>
        <v>2809368</v>
      </c>
      <c r="AW49" s="475">
        <f t="shared" si="118"/>
        <v>0</v>
      </c>
      <c r="AX49" s="475">
        <f t="shared" si="119"/>
        <v>949566</v>
      </c>
      <c r="AY49" s="475">
        <f t="shared" si="119"/>
        <v>56188</v>
      </c>
      <c r="AZ49" s="475">
        <f>N49+AH49</f>
        <v>4500</v>
      </c>
      <c r="BA49" s="476">
        <f>O49+AT49</f>
        <v>7.3</v>
      </c>
      <c r="BB49" s="476">
        <f t="shared" si="120"/>
        <v>7.3</v>
      </c>
      <c r="BC49" s="478">
        <f t="shared" si="120"/>
        <v>0</v>
      </c>
    </row>
    <row r="50" spans="1:55" ht="12.95" customHeight="1" x14ac:dyDescent="0.25">
      <c r="A50" s="308">
        <v>10</v>
      </c>
      <c r="B50" s="225">
        <v>5458</v>
      </c>
      <c r="C50" s="225">
        <v>600099288</v>
      </c>
      <c r="D50" s="225">
        <v>856126</v>
      </c>
      <c r="E50" s="405" t="s">
        <v>498</v>
      </c>
      <c r="F50" s="416">
        <v>3141</v>
      </c>
      <c r="G50" s="407" t="s">
        <v>315</v>
      </c>
      <c r="H50" s="313" t="s">
        <v>278</v>
      </c>
      <c r="I50" s="477">
        <v>3588147</v>
      </c>
      <c r="J50" s="472">
        <v>2617116</v>
      </c>
      <c r="K50" s="472">
        <v>0</v>
      </c>
      <c r="L50" s="472">
        <v>884585</v>
      </c>
      <c r="M50" s="472">
        <v>52342</v>
      </c>
      <c r="N50" s="472">
        <v>34104</v>
      </c>
      <c r="O50" s="473">
        <v>8.24</v>
      </c>
      <c r="P50" s="474">
        <v>0</v>
      </c>
      <c r="Q50" s="483">
        <v>8.24</v>
      </c>
      <c r="R50" s="485">
        <f t="shared" si="110"/>
        <v>0</v>
      </c>
      <c r="S50" s="475">
        <v>0</v>
      </c>
      <c r="T50" s="475">
        <v>-11921</v>
      </c>
      <c r="U50" s="475">
        <v>0</v>
      </c>
      <c r="V50" s="475">
        <v>0</v>
      </c>
      <c r="W50" s="475">
        <v>0</v>
      </c>
      <c r="X50" s="475">
        <f>SUM(R50:W50)</f>
        <v>-11921</v>
      </c>
      <c r="Y50" s="475">
        <v>0</v>
      </c>
      <c r="Z50" s="475">
        <v>0</v>
      </c>
      <c r="AA50" s="475">
        <v>0</v>
      </c>
      <c r="AB50" s="475">
        <f t="shared" si="111"/>
        <v>0</v>
      </c>
      <c r="AC50" s="475">
        <f t="shared" si="112"/>
        <v>-11921</v>
      </c>
      <c r="AD50" s="70">
        <f t="shared" si="113"/>
        <v>-4029</v>
      </c>
      <c r="AE50" s="70">
        <f t="shared" si="114"/>
        <v>-238</v>
      </c>
      <c r="AF50" s="475">
        <v>0</v>
      </c>
      <c r="AG50" s="475">
        <v>0</v>
      </c>
      <c r="AH50" s="475">
        <f t="shared" si="115"/>
        <v>0</v>
      </c>
      <c r="AI50" s="475">
        <f t="shared" si="116"/>
        <v>-16188</v>
      </c>
      <c r="AJ50" s="476">
        <v>0</v>
      </c>
      <c r="AK50" s="476">
        <v>0</v>
      </c>
      <c r="AL50" s="476">
        <v>0</v>
      </c>
      <c r="AM50" s="476">
        <v>0</v>
      </c>
      <c r="AN50" s="476">
        <v>-0.04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-0.04</v>
      </c>
      <c r="AT50" s="478">
        <f t="shared" si="117"/>
        <v>-0.04</v>
      </c>
      <c r="AU50" s="484">
        <f>I50+AI50</f>
        <v>3571959</v>
      </c>
      <c r="AV50" s="475">
        <f>J50+X50</f>
        <v>2605195</v>
      </c>
      <c r="AW50" s="475">
        <f t="shared" si="118"/>
        <v>0</v>
      </c>
      <c r="AX50" s="475">
        <f t="shared" si="119"/>
        <v>880556</v>
      </c>
      <c r="AY50" s="475">
        <f t="shared" si="119"/>
        <v>52104</v>
      </c>
      <c r="AZ50" s="475">
        <f>N50+AH50</f>
        <v>34104</v>
      </c>
      <c r="BA50" s="476">
        <f>O50+AT50</f>
        <v>8.2000000000000011</v>
      </c>
      <c r="BB50" s="476">
        <f t="shared" si="120"/>
        <v>0</v>
      </c>
      <c r="BC50" s="478">
        <f t="shared" si="120"/>
        <v>8.2000000000000011</v>
      </c>
    </row>
    <row r="51" spans="1:55" ht="12.95" customHeight="1" x14ac:dyDescent="0.25">
      <c r="A51" s="308">
        <v>10</v>
      </c>
      <c r="B51" s="225">
        <v>5458</v>
      </c>
      <c r="C51" s="225">
        <v>600099288</v>
      </c>
      <c r="D51" s="225">
        <v>856126</v>
      </c>
      <c r="E51" s="406" t="s">
        <v>498</v>
      </c>
      <c r="F51" s="225">
        <v>3143</v>
      </c>
      <c r="G51" s="351" t="s">
        <v>626</v>
      </c>
      <c r="H51" s="313" t="s">
        <v>277</v>
      </c>
      <c r="I51" s="477">
        <v>3007170</v>
      </c>
      <c r="J51" s="472">
        <v>2214411</v>
      </c>
      <c r="K51" s="472">
        <v>0</v>
      </c>
      <c r="L51" s="472">
        <v>748471</v>
      </c>
      <c r="M51" s="472">
        <v>44288</v>
      </c>
      <c r="N51" s="472">
        <v>0</v>
      </c>
      <c r="O51" s="473">
        <v>4.4692999999999996</v>
      </c>
      <c r="P51" s="474">
        <v>4.4692999999999996</v>
      </c>
      <c r="Q51" s="483">
        <v>0</v>
      </c>
      <c r="R51" s="485">
        <f t="shared" si="110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11"/>
        <v>0</v>
      </c>
      <c r="AC51" s="475">
        <f t="shared" si="112"/>
        <v>0</v>
      </c>
      <c r="AD51" s="70">
        <f t="shared" si="113"/>
        <v>0</v>
      </c>
      <c r="AE51" s="70">
        <f t="shared" si="114"/>
        <v>0</v>
      </c>
      <c r="AF51" s="475">
        <v>0</v>
      </c>
      <c r="AG51" s="475">
        <v>0</v>
      </c>
      <c r="AH51" s="475">
        <f t="shared" si="115"/>
        <v>0</v>
      </c>
      <c r="AI51" s="475">
        <f t="shared" si="116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17"/>
        <v>0</v>
      </c>
      <c r="AU51" s="484">
        <f>I51+AI51</f>
        <v>3007170</v>
      </c>
      <c r="AV51" s="475">
        <f>J51+X51</f>
        <v>2214411</v>
      </c>
      <c r="AW51" s="475">
        <f t="shared" si="118"/>
        <v>0</v>
      </c>
      <c r="AX51" s="475">
        <f t="shared" si="119"/>
        <v>748471</v>
      </c>
      <c r="AY51" s="475">
        <f t="shared" si="119"/>
        <v>44288</v>
      </c>
      <c r="AZ51" s="475">
        <f>N51+AH51</f>
        <v>0</v>
      </c>
      <c r="BA51" s="476">
        <f>O51+AT51</f>
        <v>4.4692999999999996</v>
      </c>
      <c r="BB51" s="476">
        <f t="shared" si="120"/>
        <v>4.4692999999999996</v>
      </c>
      <c r="BC51" s="478">
        <f t="shared" si="120"/>
        <v>0</v>
      </c>
    </row>
    <row r="52" spans="1:55" ht="12.95" customHeight="1" x14ac:dyDescent="0.25">
      <c r="A52" s="308">
        <v>10</v>
      </c>
      <c r="B52" s="225">
        <v>5458</v>
      </c>
      <c r="C52" s="225">
        <v>600099288</v>
      </c>
      <c r="D52" s="225">
        <v>856126</v>
      </c>
      <c r="E52" s="406" t="s">
        <v>498</v>
      </c>
      <c r="F52" s="225">
        <v>3143</v>
      </c>
      <c r="G52" s="351" t="s">
        <v>627</v>
      </c>
      <c r="H52" s="313" t="s">
        <v>278</v>
      </c>
      <c r="I52" s="477">
        <v>105840</v>
      </c>
      <c r="J52" s="472">
        <v>74845</v>
      </c>
      <c r="K52" s="472">
        <v>0</v>
      </c>
      <c r="L52" s="472">
        <v>25298</v>
      </c>
      <c r="M52" s="472">
        <v>1497</v>
      </c>
      <c r="N52" s="472">
        <v>4200</v>
      </c>
      <c r="O52" s="473">
        <v>0.28999999999999998</v>
      </c>
      <c r="P52" s="474">
        <v>0</v>
      </c>
      <c r="Q52" s="483">
        <v>0.28999999999999998</v>
      </c>
      <c r="R52" s="485">
        <f t="shared" si="110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11"/>
        <v>0</v>
      </c>
      <c r="AC52" s="475">
        <f t="shared" si="112"/>
        <v>0</v>
      </c>
      <c r="AD52" s="70">
        <f t="shared" si="113"/>
        <v>0</v>
      </c>
      <c r="AE52" s="70">
        <f t="shared" si="114"/>
        <v>0</v>
      </c>
      <c r="AF52" s="475">
        <v>0</v>
      </c>
      <c r="AG52" s="475">
        <v>0</v>
      </c>
      <c r="AH52" s="475">
        <f t="shared" si="115"/>
        <v>0</v>
      </c>
      <c r="AI52" s="475">
        <f t="shared" si="116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17"/>
        <v>0</v>
      </c>
      <c r="AU52" s="484">
        <f>I52+AI52</f>
        <v>105840</v>
      </c>
      <c r="AV52" s="475">
        <f>J52+X52</f>
        <v>74845</v>
      </c>
      <c r="AW52" s="475">
        <f t="shared" si="118"/>
        <v>0</v>
      </c>
      <c r="AX52" s="475">
        <f t="shared" si="119"/>
        <v>25298</v>
      </c>
      <c r="AY52" s="475">
        <f t="shared" si="119"/>
        <v>1497</v>
      </c>
      <c r="AZ52" s="475">
        <f>N52+AH52</f>
        <v>4200</v>
      </c>
      <c r="BA52" s="476">
        <f>O52+AT52</f>
        <v>0.28999999999999998</v>
      </c>
      <c r="BB52" s="476">
        <f t="shared" si="120"/>
        <v>0</v>
      </c>
      <c r="BC52" s="478">
        <f t="shared" si="120"/>
        <v>0.28999999999999998</v>
      </c>
    </row>
    <row r="53" spans="1:55" ht="12.95" customHeight="1" x14ac:dyDescent="0.25">
      <c r="A53" s="226">
        <v>10</v>
      </c>
      <c r="B53" s="46">
        <v>5458</v>
      </c>
      <c r="C53" s="46">
        <v>600099288</v>
      </c>
      <c r="D53" s="46">
        <v>856126</v>
      </c>
      <c r="E53" s="408" t="s">
        <v>499</v>
      </c>
      <c r="F53" s="46"/>
      <c r="G53" s="408"/>
      <c r="H53" s="190"/>
      <c r="I53" s="612">
        <v>49738066</v>
      </c>
      <c r="J53" s="609">
        <v>35721592</v>
      </c>
      <c r="K53" s="609">
        <v>250000</v>
      </c>
      <c r="L53" s="609">
        <v>12158398</v>
      </c>
      <c r="M53" s="609">
        <v>714432</v>
      </c>
      <c r="N53" s="609">
        <v>893644</v>
      </c>
      <c r="O53" s="610">
        <v>67.374600000000001</v>
      </c>
      <c r="P53" s="610">
        <v>48.658799999999992</v>
      </c>
      <c r="Q53" s="614">
        <v>18.715800000000002</v>
      </c>
      <c r="R53" s="612">
        <f t="shared" ref="R53:BC53" si="121">SUM(R48:R52)</f>
        <v>0</v>
      </c>
      <c r="S53" s="609">
        <f t="shared" si="121"/>
        <v>0</v>
      </c>
      <c r="T53" s="609">
        <f t="shared" si="121"/>
        <v>-11921</v>
      </c>
      <c r="U53" s="609">
        <f t="shared" si="121"/>
        <v>0</v>
      </c>
      <c r="V53" s="609">
        <f t="shared" si="121"/>
        <v>0</v>
      </c>
      <c r="W53" s="609">
        <f t="shared" si="121"/>
        <v>0</v>
      </c>
      <c r="X53" s="609">
        <f t="shared" si="121"/>
        <v>-11921</v>
      </c>
      <c r="Y53" s="609">
        <f t="shared" si="121"/>
        <v>0</v>
      </c>
      <c r="Z53" s="609">
        <f t="shared" si="121"/>
        <v>0</v>
      </c>
      <c r="AA53" s="609">
        <f t="shared" si="121"/>
        <v>0</v>
      </c>
      <c r="AB53" s="609">
        <f t="shared" si="121"/>
        <v>0</v>
      </c>
      <c r="AC53" s="609">
        <f t="shared" si="121"/>
        <v>-11921</v>
      </c>
      <c r="AD53" s="609">
        <f t="shared" si="121"/>
        <v>-4029</v>
      </c>
      <c r="AE53" s="609">
        <f t="shared" si="121"/>
        <v>-238</v>
      </c>
      <c r="AF53" s="609">
        <f t="shared" si="121"/>
        <v>0</v>
      </c>
      <c r="AG53" s="609">
        <f t="shared" si="121"/>
        <v>0</v>
      </c>
      <c r="AH53" s="609">
        <f t="shared" si="121"/>
        <v>0</v>
      </c>
      <c r="AI53" s="609">
        <f t="shared" si="121"/>
        <v>-16188</v>
      </c>
      <c r="AJ53" s="610">
        <f t="shared" si="121"/>
        <v>0</v>
      </c>
      <c r="AK53" s="610">
        <f t="shared" si="121"/>
        <v>0</v>
      </c>
      <c r="AL53" s="610">
        <f t="shared" si="121"/>
        <v>0</v>
      </c>
      <c r="AM53" s="610">
        <f t="shared" si="121"/>
        <v>0</v>
      </c>
      <c r="AN53" s="610">
        <f t="shared" si="121"/>
        <v>-0.04</v>
      </c>
      <c r="AO53" s="610">
        <f t="shared" si="121"/>
        <v>0</v>
      </c>
      <c r="AP53" s="610">
        <f t="shared" si="121"/>
        <v>0</v>
      </c>
      <c r="AQ53" s="610">
        <f t="shared" si="121"/>
        <v>0</v>
      </c>
      <c r="AR53" s="610">
        <f t="shared" si="121"/>
        <v>0</v>
      </c>
      <c r="AS53" s="610">
        <f t="shared" si="121"/>
        <v>-0.04</v>
      </c>
      <c r="AT53" s="413">
        <f t="shared" si="121"/>
        <v>-0.04</v>
      </c>
      <c r="AU53" s="616">
        <f t="shared" si="121"/>
        <v>49721878</v>
      </c>
      <c r="AV53" s="609">
        <f t="shared" si="121"/>
        <v>35709671</v>
      </c>
      <c r="AW53" s="609">
        <f t="shared" si="121"/>
        <v>250000</v>
      </c>
      <c r="AX53" s="609">
        <f t="shared" si="121"/>
        <v>12154369</v>
      </c>
      <c r="AY53" s="609">
        <f t="shared" si="121"/>
        <v>714194</v>
      </c>
      <c r="AZ53" s="609">
        <f t="shared" si="121"/>
        <v>893644</v>
      </c>
      <c r="BA53" s="610">
        <f t="shared" si="121"/>
        <v>67.334600000000009</v>
      </c>
      <c r="BB53" s="610">
        <f t="shared" si="121"/>
        <v>48.658799999999992</v>
      </c>
      <c r="BC53" s="413">
        <f t="shared" si="121"/>
        <v>18.675800000000002</v>
      </c>
    </row>
    <row r="54" spans="1:55" ht="12.95" customHeight="1" x14ac:dyDescent="0.25">
      <c r="A54" s="308">
        <v>11</v>
      </c>
      <c r="B54" s="225">
        <v>5456</v>
      </c>
      <c r="C54" s="225">
        <v>600099369</v>
      </c>
      <c r="D54" s="225">
        <v>854794</v>
      </c>
      <c r="E54" s="406" t="s">
        <v>500</v>
      </c>
      <c r="F54" s="225">
        <v>3113</v>
      </c>
      <c r="G54" s="406" t="s">
        <v>329</v>
      </c>
      <c r="H54" s="313" t="s">
        <v>277</v>
      </c>
      <c r="I54" s="477">
        <v>49088418</v>
      </c>
      <c r="J54" s="472">
        <v>35166760</v>
      </c>
      <c r="K54" s="472">
        <v>251000</v>
      </c>
      <c r="L54" s="472">
        <v>11971203</v>
      </c>
      <c r="M54" s="472">
        <v>703335</v>
      </c>
      <c r="N54" s="472">
        <v>996120</v>
      </c>
      <c r="O54" s="473">
        <v>62.093200000000003</v>
      </c>
      <c r="P54" s="474">
        <v>49.188299999999991</v>
      </c>
      <c r="Q54" s="483">
        <v>12.9049</v>
      </c>
      <c r="R54" s="485">
        <f t="shared" ref="R54:R58" si="122">Y54*-1</f>
        <v>0</v>
      </c>
      <c r="S54" s="475">
        <v>0</v>
      </c>
      <c r="T54" s="475">
        <v>220274</v>
      </c>
      <c r="U54" s="475">
        <v>0</v>
      </c>
      <c r="V54" s="475">
        <v>0</v>
      </c>
      <c r="W54" s="475">
        <v>0</v>
      </c>
      <c r="X54" s="475">
        <f>SUM(R54:W54)</f>
        <v>220274</v>
      </c>
      <c r="Y54" s="475">
        <v>0</v>
      </c>
      <c r="Z54" s="475">
        <v>0</v>
      </c>
      <c r="AA54" s="475">
        <v>0</v>
      </c>
      <c r="AB54" s="475">
        <f t="shared" ref="AB54:AB58" si="123">SUM(Y54:AA54)</f>
        <v>0</v>
      </c>
      <c r="AC54" s="475">
        <f t="shared" ref="AC54:AC58" si="124">X54+AB54</f>
        <v>220274</v>
      </c>
      <c r="AD54" s="70">
        <f t="shared" ref="AD54:AD58" si="125">ROUND((X54+Y54+Z54)*33.8%,0)</f>
        <v>74453</v>
      </c>
      <c r="AE54" s="70">
        <f t="shared" ref="AE54:AE58" si="126">ROUND(X54*2%,0)</f>
        <v>4405</v>
      </c>
      <c r="AF54" s="475">
        <v>0</v>
      </c>
      <c r="AG54" s="475">
        <v>0</v>
      </c>
      <c r="AH54" s="475">
        <f t="shared" ref="AH54:AH58" si="127">SUM(AF54:AG54)</f>
        <v>0</v>
      </c>
      <c r="AI54" s="475">
        <f t="shared" ref="AI54:AI58" si="128">AC54+AD54+AE54+AH54</f>
        <v>299132</v>
      </c>
      <c r="AJ54" s="476">
        <v>0</v>
      </c>
      <c r="AK54" s="476">
        <v>0</v>
      </c>
      <c r="AL54" s="476">
        <v>0</v>
      </c>
      <c r="AM54" s="476">
        <v>0.35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0.35</v>
      </c>
      <c r="AS54" s="476">
        <f>AK54+AN54+AQ54</f>
        <v>0</v>
      </c>
      <c r="AT54" s="478">
        <f t="shared" ref="AT54:AT58" si="129">SUM(AR54:AS54)</f>
        <v>0.35</v>
      </c>
      <c r="AU54" s="484">
        <f>I54+AI54</f>
        <v>49387550</v>
      </c>
      <c r="AV54" s="475">
        <f>J54+X54</f>
        <v>35387034</v>
      </c>
      <c r="AW54" s="475">
        <f t="shared" ref="AW54:AW58" si="130">K54+AB54</f>
        <v>251000</v>
      </c>
      <c r="AX54" s="475">
        <f t="shared" ref="AX54:AY58" si="131">L54+AD54</f>
        <v>12045656</v>
      </c>
      <c r="AY54" s="475">
        <f t="shared" si="131"/>
        <v>707740</v>
      </c>
      <c r="AZ54" s="475">
        <f>N54+AH54</f>
        <v>996120</v>
      </c>
      <c r="BA54" s="476">
        <f>O54+AT54</f>
        <v>62.443200000000004</v>
      </c>
      <c r="BB54" s="476">
        <f t="shared" ref="BB54:BC58" si="132">P54+AR54</f>
        <v>49.538299999999992</v>
      </c>
      <c r="BC54" s="478">
        <f t="shared" si="132"/>
        <v>12.9049</v>
      </c>
    </row>
    <row r="55" spans="1:55" ht="12.95" customHeight="1" x14ac:dyDescent="0.25">
      <c r="A55" s="308">
        <v>11</v>
      </c>
      <c r="B55" s="225">
        <v>5456</v>
      </c>
      <c r="C55" s="225">
        <v>600099369</v>
      </c>
      <c r="D55" s="225">
        <v>854794</v>
      </c>
      <c r="E55" s="224" t="s">
        <v>500</v>
      </c>
      <c r="F55" s="225">
        <v>3113</v>
      </c>
      <c r="G55" s="351" t="s">
        <v>312</v>
      </c>
      <c r="H55" s="313" t="s">
        <v>278</v>
      </c>
      <c r="I55" s="477">
        <v>4578076</v>
      </c>
      <c r="J55" s="472">
        <v>3368061</v>
      </c>
      <c r="K55" s="472">
        <v>0</v>
      </c>
      <c r="L55" s="472">
        <v>1138404</v>
      </c>
      <c r="M55" s="472">
        <v>67361</v>
      </c>
      <c r="N55" s="472">
        <v>4250</v>
      </c>
      <c r="O55" s="473">
        <v>9.2999999999999989</v>
      </c>
      <c r="P55" s="474">
        <v>9.2999999999999989</v>
      </c>
      <c r="Q55" s="483">
        <v>0</v>
      </c>
      <c r="R55" s="485">
        <f t="shared" si="122"/>
        <v>0</v>
      </c>
      <c r="S55" s="475">
        <v>5784</v>
      </c>
      <c r="T55" s="475">
        <v>0</v>
      </c>
      <c r="U55" s="475">
        <v>0</v>
      </c>
      <c r="V55" s="475">
        <v>0</v>
      </c>
      <c r="W55" s="475">
        <v>0</v>
      </c>
      <c r="X55" s="475">
        <f>SUM(R55:W55)</f>
        <v>5784</v>
      </c>
      <c r="Y55" s="475">
        <v>0</v>
      </c>
      <c r="Z55" s="475">
        <v>0</v>
      </c>
      <c r="AA55" s="475">
        <v>0</v>
      </c>
      <c r="AB55" s="475">
        <f t="shared" si="123"/>
        <v>0</v>
      </c>
      <c r="AC55" s="475">
        <f t="shared" si="124"/>
        <v>5784</v>
      </c>
      <c r="AD55" s="70">
        <f t="shared" si="125"/>
        <v>1955</v>
      </c>
      <c r="AE55" s="70">
        <f t="shared" si="126"/>
        <v>116</v>
      </c>
      <c r="AF55" s="475">
        <v>0</v>
      </c>
      <c r="AG55" s="475">
        <v>0</v>
      </c>
      <c r="AH55" s="475">
        <f t="shared" si="127"/>
        <v>0</v>
      </c>
      <c r="AI55" s="475">
        <f t="shared" si="128"/>
        <v>7855</v>
      </c>
      <c r="AJ55" s="476">
        <v>0</v>
      </c>
      <c r="AK55" s="476">
        <v>0</v>
      </c>
      <c r="AL55" s="476">
        <v>0.01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>AJ55+AL55+AM55+AO55+AP55</f>
        <v>0.01</v>
      </c>
      <c r="AS55" s="476">
        <f>AK55+AN55+AQ55</f>
        <v>0</v>
      </c>
      <c r="AT55" s="478">
        <f t="shared" si="129"/>
        <v>0.01</v>
      </c>
      <c r="AU55" s="484">
        <f>I55+AI55</f>
        <v>4585931</v>
      </c>
      <c r="AV55" s="475">
        <f>J55+X55</f>
        <v>3373845</v>
      </c>
      <c r="AW55" s="475">
        <f t="shared" si="130"/>
        <v>0</v>
      </c>
      <c r="AX55" s="475">
        <f t="shared" si="131"/>
        <v>1140359</v>
      </c>
      <c r="AY55" s="475">
        <f t="shared" si="131"/>
        <v>67477</v>
      </c>
      <c r="AZ55" s="475">
        <f>N55+AH55</f>
        <v>4250</v>
      </c>
      <c r="BA55" s="476">
        <f>O55+AT55</f>
        <v>9.3099999999999987</v>
      </c>
      <c r="BB55" s="476">
        <f t="shared" si="132"/>
        <v>9.3099999999999987</v>
      </c>
      <c r="BC55" s="478">
        <f t="shared" si="132"/>
        <v>0</v>
      </c>
    </row>
    <row r="56" spans="1:55" ht="12.95" customHeight="1" x14ac:dyDescent="0.25">
      <c r="A56" s="308">
        <v>11</v>
      </c>
      <c r="B56" s="225">
        <v>5456</v>
      </c>
      <c r="C56" s="225">
        <v>600099369</v>
      </c>
      <c r="D56" s="225">
        <v>854794</v>
      </c>
      <c r="E56" s="405" t="s">
        <v>500</v>
      </c>
      <c r="F56" s="416">
        <v>3141</v>
      </c>
      <c r="G56" s="407" t="s">
        <v>315</v>
      </c>
      <c r="H56" s="313" t="s">
        <v>278</v>
      </c>
      <c r="I56" s="477">
        <v>5693200</v>
      </c>
      <c r="J56" s="472">
        <v>4146572</v>
      </c>
      <c r="K56" s="472">
        <v>4000</v>
      </c>
      <c r="L56" s="472">
        <v>1402893</v>
      </c>
      <c r="M56" s="472">
        <v>82931</v>
      </c>
      <c r="N56" s="472">
        <v>56804</v>
      </c>
      <c r="O56" s="473">
        <v>13.07</v>
      </c>
      <c r="P56" s="474">
        <v>0</v>
      </c>
      <c r="Q56" s="483">
        <v>13.07</v>
      </c>
      <c r="R56" s="485">
        <f t="shared" si="122"/>
        <v>0</v>
      </c>
      <c r="S56" s="475">
        <v>0</v>
      </c>
      <c r="T56" s="475">
        <f>3884-1640</f>
        <v>2244</v>
      </c>
      <c r="U56" s="475">
        <v>0</v>
      </c>
      <c r="V56" s="475">
        <v>0</v>
      </c>
      <c r="W56" s="475">
        <v>0</v>
      </c>
      <c r="X56" s="475">
        <f>SUM(R56:W56)</f>
        <v>2244</v>
      </c>
      <c r="Y56" s="475">
        <v>0</v>
      </c>
      <c r="Z56" s="475">
        <v>0</v>
      </c>
      <c r="AA56" s="475">
        <v>0</v>
      </c>
      <c r="AB56" s="475">
        <f t="shared" si="123"/>
        <v>0</v>
      </c>
      <c r="AC56" s="475">
        <f t="shared" si="124"/>
        <v>2244</v>
      </c>
      <c r="AD56" s="70">
        <f t="shared" si="125"/>
        <v>758</v>
      </c>
      <c r="AE56" s="70">
        <f t="shared" si="126"/>
        <v>45</v>
      </c>
      <c r="AF56" s="475">
        <v>0</v>
      </c>
      <c r="AG56" s="475">
        <v>0</v>
      </c>
      <c r="AH56" s="475">
        <f t="shared" si="127"/>
        <v>0</v>
      </c>
      <c r="AI56" s="475">
        <f t="shared" si="128"/>
        <v>3047</v>
      </c>
      <c r="AJ56" s="476">
        <v>0</v>
      </c>
      <c r="AK56" s="476">
        <v>0</v>
      </c>
      <c r="AL56" s="476">
        <v>0</v>
      </c>
      <c r="AM56" s="476">
        <v>0</v>
      </c>
      <c r="AN56" s="476">
        <f>0.01-0.01</f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129"/>
        <v>0</v>
      </c>
      <c r="AU56" s="484">
        <f>I56+AI56</f>
        <v>5696247</v>
      </c>
      <c r="AV56" s="475">
        <f>J56+X56</f>
        <v>4148816</v>
      </c>
      <c r="AW56" s="475">
        <f t="shared" si="130"/>
        <v>4000</v>
      </c>
      <c r="AX56" s="475">
        <f t="shared" si="131"/>
        <v>1403651</v>
      </c>
      <c r="AY56" s="475">
        <f t="shared" si="131"/>
        <v>82976</v>
      </c>
      <c r="AZ56" s="475">
        <f>N56+AH56</f>
        <v>56804</v>
      </c>
      <c r="BA56" s="476">
        <f>O56+AT56</f>
        <v>13.07</v>
      </c>
      <c r="BB56" s="476">
        <f t="shared" si="132"/>
        <v>0</v>
      </c>
      <c r="BC56" s="478">
        <f t="shared" si="132"/>
        <v>13.07</v>
      </c>
    </row>
    <row r="57" spans="1:55" ht="12.95" customHeight="1" x14ac:dyDescent="0.25">
      <c r="A57" s="308">
        <v>11</v>
      </c>
      <c r="B57" s="225">
        <v>5456</v>
      </c>
      <c r="C57" s="225">
        <v>600099369</v>
      </c>
      <c r="D57" s="225">
        <v>854794</v>
      </c>
      <c r="E57" s="224" t="s">
        <v>500</v>
      </c>
      <c r="F57" s="225">
        <v>3143</v>
      </c>
      <c r="G57" s="351" t="s">
        <v>626</v>
      </c>
      <c r="H57" s="313" t="s">
        <v>277</v>
      </c>
      <c r="I57" s="477">
        <v>3313607</v>
      </c>
      <c r="J57" s="472">
        <v>2425285</v>
      </c>
      <c r="K57" s="472">
        <v>15000</v>
      </c>
      <c r="L57" s="472">
        <v>824816</v>
      </c>
      <c r="M57" s="472">
        <v>48506</v>
      </c>
      <c r="N57" s="472">
        <v>0</v>
      </c>
      <c r="O57" s="473">
        <v>4.7983000000000002</v>
      </c>
      <c r="P57" s="474">
        <v>4.7983000000000002</v>
      </c>
      <c r="Q57" s="483">
        <v>0</v>
      </c>
      <c r="R57" s="485">
        <f t="shared" si="122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23"/>
        <v>0</v>
      </c>
      <c r="AC57" s="475">
        <f t="shared" si="124"/>
        <v>0</v>
      </c>
      <c r="AD57" s="70">
        <f t="shared" si="125"/>
        <v>0</v>
      </c>
      <c r="AE57" s="70">
        <f t="shared" si="126"/>
        <v>0</v>
      </c>
      <c r="AF57" s="475">
        <v>0</v>
      </c>
      <c r="AG57" s="475">
        <v>0</v>
      </c>
      <c r="AH57" s="475">
        <f t="shared" si="127"/>
        <v>0</v>
      </c>
      <c r="AI57" s="475">
        <f t="shared" si="128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129"/>
        <v>0</v>
      </c>
      <c r="AU57" s="484">
        <f>I57+AI57</f>
        <v>3313607</v>
      </c>
      <c r="AV57" s="475">
        <f>J57+X57</f>
        <v>2425285</v>
      </c>
      <c r="AW57" s="475">
        <f t="shared" si="130"/>
        <v>15000</v>
      </c>
      <c r="AX57" s="475">
        <f t="shared" si="131"/>
        <v>824816</v>
      </c>
      <c r="AY57" s="475">
        <f t="shared" si="131"/>
        <v>48506</v>
      </c>
      <c r="AZ57" s="475">
        <f>N57+AH57</f>
        <v>0</v>
      </c>
      <c r="BA57" s="476">
        <f>O57+AT57</f>
        <v>4.7983000000000002</v>
      </c>
      <c r="BB57" s="476">
        <f t="shared" si="132"/>
        <v>4.7983000000000002</v>
      </c>
      <c r="BC57" s="478">
        <f t="shared" si="132"/>
        <v>0</v>
      </c>
    </row>
    <row r="58" spans="1:55" ht="12.95" customHeight="1" x14ac:dyDescent="0.25">
      <c r="A58" s="308">
        <v>11</v>
      </c>
      <c r="B58" s="225">
        <v>5456</v>
      </c>
      <c r="C58" s="225">
        <v>600099369</v>
      </c>
      <c r="D58" s="225">
        <v>854794</v>
      </c>
      <c r="E58" s="224" t="s">
        <v>500</v>
      </c>
      <c r="F58" s="225">
        <v>3143</v>
      </c>
      <c r="G58" s="351" t="s">
        <v>627</v>
      </c>
      <c r="H58" s="313" t="s">
        <v>278</v>
      </c>
      <c r="I58" s="477">
        <v>113400</v>
      </c>
      <c r="J58" s="472">
        <v>80191</v>
      </c>
      <c r="K58" s="472">
        <v>0</v>
      </c>
      <c r="L58" s="472">
        <v>27105</v>
      </c>
      <c r="M58" s="472">
        <v>1604</v>
      </c>
      <c r="N58" s="472">
        <v>4500</v>
      </c>
      <c r="O58" s="473">
        <v>0.31</v>
      </c>
      <c r="P58" s="474">
        <v>0</v>
      </c>
      <c r="Q58" s="483">
        <v>0.31</v>
      </c>
      <c r="R58" s="485">
        <f t="shared" si="122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>SUM(R58:W58)</f>
        <v>0</v>
      </c>
      <c r="Y58" s="475">
        <v>0</v>
      </c>
      <c r="Z58" s="475">
        <v>0</v>
      </c>
      <c r="AA58" s="475">
        <v>0</v>
      </c>
      <c r="AB58" s="475">
        <f t="shared" si="123"/>
        <v>0</v>
      </c>
      <c r="AC58" s="475">
        <f t="shared" si="124"/>
        <v>0</v>
      </c>
      <c r="AD58" s="70">
        <f t="shared" si="125"/>
        <v>0</v>
      </c>
      <c r="AE58" s="70">
        <f t="shared" si="126"/>
        <v>0</v>
      </c>
      <c r="AF58" s="475">
        <v>0</v>
      </c>
      <c r="AG58" s="475">
        <v>0</v>
      </c>
      <c r="AH58" s="475">
        <f t="shared" si="127"/>
        <v>0</v>
      </c>
      <c r="AI58" s="475">
        <f t="shared" si="128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>AJ58+AL58+AM58+AO58+AP58</f>
        <v>0</v>
      </c>
      <c r="AS58" s="476">
        <f>AK58+AN58+AQ58</f>
        <v>0</v>
      </c>
      <c r="AT58" s="478">
        <f t="shared" si="129"/>
        <v>0</v>
      </c>
      <c r="AU58" s="484">
        <f>I58+AI58</f>
        <v>113400</v>
      </c>
      <c r="AV58" s="475">
        <f>J58+X58</f>
        <v>80191</v>
      </c>
      <c r="AW58" s="475">
        <f t="shared" si="130"/>
        <v>0</v>
      </c>
      <c r="AX58" s="475">
        <f t="shared" si="131"/>
        <v>27105</v>
      </c>
      <c r="AY58" s="475">
        <f t="shared" si="131"/>
        <v>1604</v>
      </c>
      <c r="AZ58" s="475">
        <f>N58+AH58</f>
        <v>4500</v>
      </c>
      <c r="BA58" s="476">
        <f>O58+AT58</f>
        <v>0.31</v>
      </c>
      <c r="BB58" s="476">
        <f t="shared" si="132"/>
        <v>0</v>
      </c>
      <c r="BC58" s="478">
        <f t="shared" si="132"/>
        <v>0.31</v>
      </c>
    </row>
    <row r="59" spans="1:55" ht="12.95" customHeight="1" x14ac:dyDescent="0.25">
      <c r="A59" s="226">
        <v>11</v>
      </c>
      <c r="B59" s="49">
        <v>5456</v>
      </c>
      <c r="C59" s="49">
        <v>600099369</v>
      </c>
      <c r="D59" s="49">
        <v>854794</v>
      </c>
      <c r="E59" s="408" t="s">
        <v>501</v>
      </c>
      <c r="F59" s="49"/>
      <c r="G59" s="421"/>
      <c r="H59" s="193"/>
      <c r="I59" s="560">
        <v>62786701</v>
      </c>
      <c r="J59" s="556">
        <v>45186869</v>
      </c>
      <c r="K59" s="556">
        <v>270000</v>
      </c>
      <c r="L59" s="556">
        <v>15364421</v>
      </c>
      <c r="M59" s="556">
        <v>903737</v>
      </c>
      <c r="N59" s="556">
        <v>1061674</v>
      </c>
      <c r="O59" s="557">
        <v>89.5715</v>
      </c>
      <c r="P59" s="557">
        <v>63.286599999999986</v>
      </c>
      <c r="Q59" s="562">
        <v>26.284899999999997</v>
      </c>
      <c r="R59" s="560">
        <f t="shared" ref="R59:BC59" si="133">SUM(R54:R58)</f>
        <v>0</v>
      </c>
      <c r="S59" s="556">
        <f t="shared" si="133"/>
        <v>5784</v>
      </c>
      <c r="T59" s="556">
        <f t="shared" si="133"/>
        <v>222518</v>
      </c>
      <c r="U59" s="556">
        <f t="shared" si="133"/>
        <v>0</v>
      </c>
      <c r="V59" s="556">
        <f t="shared" si="133"/>
        <v>0</v>
      </c>
      <c r="W59" s="556">
        <f t="shared" si="133"/>
        <v>0</v>
      </c>
      <c r="X59" s="556">
        <f t="shared" si="133"/>
        <v>228302</v>
      </c>
      <c r="Y59" s="556">
        <f t="shared" si="133"/>
        <v>0</v>
      </c>
      <c r="Z59" s="556">
        <f t="shared" si="133"/>
        <v>0</v>
      </c>
      <c r="AA59" s="556">
        <f t="shared" si="133"/>
        <v>0</v>
      </c>
      <c r="AB59" s="556">
        <f t="shared" si="133"/>
        <v>0</v>
      </c>
      <c r="AC59" s="556">
        <f t="shared" si="133"/>
        <v>228302</v>
      </c>
      <c r="AD59" s="556">
        <f t="shared" si="133"/>
        <v>77166</v>
      </c>
      <c r="AE59" s="556">
        <f t="shared" si="133"/>
        <v>4566</v>
      </c>
      <c r="AF59" s="556">
        <f t="shared" si="133"/>
        <v>0</v>
      </c>
      <c r="AG59" s="556">
        <f t="shared" si="133"/>
        <v>0</v>
      </c>
      <c r="AH59" s="556">
        <f t="shared" si="133"/>
        <v>0</v>
      </c>
      <c r="AI59" s="556">
        <f t="shared" si="133"/>
        <v>310034</v>
      </c>
      <c r="AJ59" s="557">
        <f t="shared" si="133"/>
        <v>0</v>
      </c>
      <c r="AK59" s="557">
        <f t="shared" si="133"/>
        <v>0</v>
      </c>
      <c r="AL59" s="557">
        <f t="shared" si="133"/>
        <v>0.01</v>
      </c>
      <c r="AM59" s="557">
        <f t="shared" si="133"/>
        <v>0.35</v>
      </c>
      <c r="AN59" s="557">
        <f t="shared" si="133"/>
        <v>0</v>
      </c>
      <c r="AO59" s="557">
        <f t="shared" si="133"/>
        <v>0</v>
      </c>
      <c r="AP59" s="557">
        <f t="shared" si="133"/>
        <v>0</v>
      </c>
      <c r="AQ59" s="557">
        <f t="shared" si="133"/>
        <v>0</v>
      </c>
      <c r="AR59" s="557">
        <f t="shared" si="133"/>
        <v>0.36</v>
      </c>
      <c r="AS59" s="557">
        <f t="shared" si="133"/>
        <v>0</v>
      </c>
      <c r="AT59" s="307">
        <f t="shared" si="133"/>
        <v>0.36</v>
      </c>
      <c r="AU59" s="564">
        <f t="shared" si="133"/>
        <v>63096735</v>
      </c>
      <c r="AV59" s="556">
        <f t="shared" si="133"/>
        <v>45415171</v>
      </c>
      <c r="AW59" s="556">
        <f t="shared" si="133"/>
        <v>270000</v>
      </c>
      <c r="AX59" s="556">
        <f t="shared" si="133"/>
        <v>15441587</v>
      </c>
      <c r="AY59" s="556">
        <f t="shared" si="133"/>
        <v>908303</v>
      </c>
      <c r="AZ59" s="556">
        <f t="shared" si="133"/>
        <v>1061674</v>
      </c>
      <c r="BA59" s="557">
        <f t="shared" si="133"/>
        <v>89.931500000000014</v>
      </c>
      <c r="BB59" s="557">
        <f t="shared" si="133"/>
        <v>63.646599999999992</v>
      </c>
      <c r="BC59" s="307">
        <f t="shared" si="133"/>
        <v>26.284899999999997</v>
      </c>
    </row>
    <row r="60" spans="1:55" ht="12.95" customHeight="1" x14ac:dyDescent="0.25">
      <c r="A60" s="308">
        <v>12</v>
      </c>
      <c r="B60" s="225">
        <v>5481</v>
      </c>
      <c r="C60" s="225">
        <v>600099075</v>
      </c>
      <c r="D60" s="225">
        <v>72742739</v>
      </c>
      <c r="E60" s="406" t="s">
        <v>502</v>
      </c>
      <c r="F60" s="225">
        <v>3117</v>
      </c>
      <c r="G60" s="406" t="s">
        <v>329</v>
      </c>
      <c r="H60" s="313" t="s">
        <v>277</v>
      </c>
      <c r="I60" s="477">
        <v>6594772</v>
      </c>
      <c r="J60" s="472">
        <v>4658777</v>
      </c>
      <c r="K60" s="472">
        <v>79000</v>
      </c>
      <c r="L60" s="472">
        <v>1601369</v>
      </c>
      <c r="M60" s="472">
        <v>93176</v>
      </c>
      <c r="N60" s="472">
        <v>162450</v>
      </c>
      <c r="O60" s="473">
        <v>8.4295999999999989</v>
      </c>
      <c r="P60" s="474">
        <v>5.6219000000000001</v>
      </c>
      <c r="Q60" s="483">
        <v>2.8077000000000001</v>
      </c>
      <c r="R60" s="485">
        <f t="shared" ref="R60:R64" si="134">Y60*-1</f>
        <v>0</v>
      </c>
      <c r="S60" s="475">
        <v>0</v>
      </c>
      <c r="T60" s="475">
        <v>0</v>
      </c>
      <c r="U60" s="475">
        <v>-26730</v>
      </c>
      <c r="V60" s="475">
        <v>0</v>
      </c>
      <c r="W60" s="475">
        <v>0</v>
      </c>
      <c r="X60" s="475">
        <f>SUM(R60:W60)</f>
        <v>-26730</v>
      </c>
      <c r="Y60" s="475">
        <v>0</v>
      </c>
      <c r="Z60" s="475">
        <v>0</v>
      </c>
      <c r="AA60" s="475">
        <v>0</v>
      </c>
      <c r="AB60" s="475">
        <f t="shared" ref="AB60:AB64" si="135">SUM(Y60:AA60)</f>
        <v>0</v>
      </c>
      <c r="AC60" s="475">
        <f t="shared" ref="AC60:AC64" si="136">X60+AB60</f>
        <v>-26730</v>
      </c>
      <c r="AD60" s="70">
        <f t="shared" ref="AD60:AD64" si="137">ROUND((X60+Y60+Z60)*33.8%,0)</f>
        <v>-9035</v>
      </c>
      <c r="AE60" s="70">
        <f t="shared" ref="AE60:AE64" si="138">ROUND(X60*2%,0)</f>
        <v>-535</v>
      </c>
      <c r="AF60" s="475">
        <v>0</v>
      </c>
      <c r="AG60" s="475">
        <v>0</v>
      </c>
      <c r="AH60" s="475">
        <f t="shared" ref="AH60:AH64" si="139">SUM(AF60:AG60)</f>
        <v>0</v>
      </c>
      <c r="AI60" s="475">
        <f t="shared" ref="AI60:AI64" si="140">AC60+AD60+AE60+AH60</f>
        <v>-36300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-0.05</v>
      </c>
      <c r="AR60" s="476">
        <f>AJ60+AL60+AM60+AO60+AP60</f>
        <v>0</v>
      </c>
      <c r="AS60" s="476">
        <f>AK60+AN60+AQ60</f>
        <v>-0.05</v>
      </c>
      <c r="AT60" s="478">
        <f t="shared" ref="AT60:AT64" si="141">SUM(AR60:AS60)</f>
        <v>-0.05</v>
      </c>
      <c r="AU60" s="484">
        <f>I60+AI60</f>
        <v>6558472</v>
      </c>
      <c r="AV60" s="475">
        <f>J60+X60</f>
        <v>4632047</v>
      </c>
      <c r="AW60" s="475">
        <f t="shared" ref="AW60:AW64" si="142">K60+AB60</f>
        <v>79000</v>
      </c>
      <c r="AX60" s="475">
        <f t="shared" ref="AX60:AY64" si="143">L60+AD60</f>
        <v>1592334</v>
      </c>
      <c r="AY60" s="475">
        <f t="shared" si="143"/>
        <v>92641</v>
      </c>
      <c r="AZ60" s="475">
        <f>N60+AH60</f>
        <v>162450</v>
      </c>
      <c r="BA60" s="476">
        <f>O60+AT60</f>
        <v>8.3795999999999982</v>
      </c>
      <c r="BB60" s="476">
        <f t="shared" ref="BB60:BC64" si="144">P60+AR60</f>
        <v>5.6219000000000001</v>
      </c>
      <c r="BC60" s="478">
        <f t="shared" si="144"/>
        <v>2.7577000000000003</v>
      </c>
    </row>
    <row r="61" spans="1:55" ht="12.95" customHeight="1" x14ac:dyDescent="0.25">
      <c r="A61" s="308">
        <v>12</v>
      </c>
      <c r="B61" s="225">
        <v>5481</v>
      </c>
      <c r="C61" s="225">
        <v>600099075</v>
      </c>
      <c r="D61" s="225">
        <v>72742739</v>
      </c>
      <c r="E61" s="224" t="s">
        <v>502</v>
      </c>
      <c r="F61" s="225">
        <v>3117</v>
      </c>
      <c r="G61" s="351" t="s">
        <v>312</v>
      </c>
      <c r="H61" s="313" t="s">
        <v>278</v>
      </c>
      <c r="I61" s="477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34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>SUM(R61:W61)</f>
        <v>0</v>
      </c>
      <c r="Y61" s="475">
        <v>0</v>
      </c>
      <c r="Z61" s="475">
        <v>0</v>
      </c>
      <c r="AA61" s="475">
        <v>0</v>
      </c>
      <c r="AB61" s="475">
        <f t="shared" si="135"/>
        <v>0</v>
      </c>
      <c r="AC61" s="475">
        <f t="shared" si="136"/>
        <v>0</v>
      </c>
      <c r="AD61" s="70">
        <f t="shared" si="137"/>
        <v>0</v>
      </c>
      <c r="AE61" s="70">
        <f t="shared" si="138"/>
        <v>0</v>
      </c>
      <c r="AF61" s="475">
        <v>0</v>
      </c>
      <c r="AG61" s="475">
        <v>0</v>
      </c>
      <c r="AH61" s="475">
        <f t="shared" si="139"/>
        <v>0</v>
      </c>
      <c r="AI61" s="475">
        <f t="shared" si="140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>AJ61+AL61+AM61+AO61+AP61</f>
        <v>0</v>
      </c>
      <c r="AS61" s="476">
        <f>AK61+AN61+AQ61</f>
        <v>0</v>
      </c>
      <c r="AT61" s="478">
        <f t="shared" si="141"/>
        <v>0</v>
      </c>
      <c r="AU61" s="484">
        <f>I61+AI61</f>
        <v>470471</v>
      </c>
      <c r="AV61" s="475">
        <f>J61+X61</f>
        <v>346444</v>
      </c>
      <c r="AW61" s="475">
        <f t="shared" si="142"/>
        <v>0</v>
      </c>
      <c r="AX61" s="475">
        <f t="shared" si="143"/>
        <v>117098</v>
      </c>
      <c r="AY61" s="475">
        <f t="shared" si="143"/>
        <v>6929</v>
      </c>
      <c r="AZ61" s="475">
        <f>N61+AH61</f>
        <v>0</v>
      </c>
      <c r="BA61" s="476">
        <f>O61+AT61</f>
        <v>1</v>
      </c>
      <c r="BB61" s="476">
        <f t="shared" si="144"/>
        <v>1</v>
      </c>
      <c r="BC61" s="478">
        <f t="shared" si="144"/>
        <v>0</v>
      </c>
    </row>
    <row r="62" spans="1:55" ht="12.95" customHeight="1" x14ac:dyDescent="0.25">
      <c r="A62" s="308">
        <v>12</v>
      </c>
      <c r="B62" s="225">
        <v>5481</v>
      </c>
      <c r="C62" s="225">
        <v>600099075</v>
      </c>
      <c r="D62" s="225">
        <v>72742739</v>
      </c>
      <c r="E62" s="224" t="s">
        <v>502</v>
      </c>
      <c r="F62" s="225">
        <v>3141</v>
      </c>
      <c r="G62" s="351" t="s">
        <v>315</v>
      </c>
      <c r="H62" s="313" t="s">
        <v>278</v>
      </c>
      <c r="I62" s="477">
        <v>335182</v>
      </c>
      <c r="J62" s="472">
        <v>226483</v>
      </c>
      <c r="K62" s="472">
        <v>18000</v>
      </c>
      <c r="L62" s="472">
        <v>82635</v>
      </c>
      <c r="M62" s="472">
        <v>4530</v>
      </c>
      <c r="N62" s="472">
        <v>3534</v>
      </c>
      <c r="O62" s="473">
        <v>0.77</v>
      </c>
      <c r="P62" s="474">
        <v>0</v>
      </c>
      <c r="Q62" s="483">
        <v>0.77</v>
      </c>
      <c r="R62" s="485">
        <f t="shared" si="134"/>
        <v>0</v>
      </c>
      <c r="S62" s="475">
        <v>0</v>
      </c>
      <c r="T62" s="475">
        <v>5290</v>
      </c>
      <c r="U62" s="475">
        <v>0</v>
      </c>
      <c r="V62" s="475">
        <v>0</v>
      </c>
      <c r="W62" s="475">
        <v>0</v>
      </c>
      <c r="X62" s="475">
        <f>SUM(R62:W62)</f>
        <v>5290</v>
      </c>
      <c r="Y62" s="475">
        <v>0</v>
      </c>
      <c r="Z62" s="475">
        <v>0</v>
      </c>
      <c r="AA62" s="475">
        <v>0</v>
      </c>
      <c r="AB62" s="475">
        <f t="shared" si="135"/>
        <v>0</v>
      </c>
      <c r="AC62" s="475">
        <f t="shared" si="136"/>
        <v>5290</v>
      </c>
      <c r="AD62" s="70">
        <f t="shared" si="137"/>
        <v>1788</v>
      </c>
      <c r="AE62" s="70">
        <f t="shared" si="138"/>
        <v>106</v>
      </c>
      <c r="AF62" s="475">
        <v>0</v>
      </c>
      <c r="AG62" s="475">
        <v>0</v>
      </c>
      <c r="AH62" s="475">
        <f t="shared" si="139"/>
        <v>0</v>
      </c>
      <c r="AI62" s="475">
        <f t="shared" si="140"/>
        <v>7184</v>
      </c>
      <c r="AJ62" s="476">
        <v>0</v>
      </c>
      <c r="AK62" s="476">
        <v>0</v>
      </c>
      <c r="AL62" s="476">
        <v>0</v>
      </c>
      <c r="AM62" s="476">
        <v>0</v>
      </c>
      <c r="AN62" s="476">
        <v>0.01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0.01</v>
      </c>
      <c r="AT62" s="478">
        <f t="shared" si="141"/>
        <v>0.01</v>
      </c>
      <c r="AU62" s="484">
        <f>I62+AI62</f>
        <v>342366</v>
      </c>
      <c r="AV62" s="475">
        <f>J62+X62</f>
        <v>231773</v>
      </c>
      <c r="AW62" s="475">
        <f t="shared" si="142"/>
        <v>18000</v>
      </c>
      <c r="AX62" s="475">
        <f t="shared" si="143"/>
        <v>84423</v>
      </c>
      <c r="AY62" s="475">
        <f t="shared" si="143"/>
        <v>4636</v>
      </c>
      <c r="AZ62" s="475">
        <f>N62+AH62</f>
        <v>3534</v>
      </c>
      <c r="BA62" s="476">
        <f>O62+AT62</f>
        <v>0.78</v>
      </c>
      <c r="BB62" s="476">
        <f t="shared" si="144"/>
        <v>0</v>
      </c>
      <c r="BC62" s="478">
        <f t="shared" si="144"/>
        <v>0.78</v>
      </c>
    </row>
    <row r="63" spans="1:55" ht="12.95" customHeight="1" x14ac:dyDescent="0.25">
      <c r="A63" s="308">
        <v>12</v>
      </c>
      <c r="B63" s="225">
        <v>5481</v>
      </c>
      <c r="C63" s="225">
        <v>600099075</v>
      </c>
      <c r="D63" s="225">
        <v>72742739</v>
      </c>
      <c r="E63" s="224" t="s">
        <v>502</v>
      </c>
      <c r="F63" s="225">
        <v>3143</v>
      </c>
      <c r="G63" s="351" t="s">
        <v>626</v>
      </c>
      <c r="H63" s="313" t="s">
        <v>277</v>
      </c>
      <c r="I63" s="477">
        <v>1062124</v>
      </c>
      <c r="J63" s="472">
        <v>782124</v>
      </c>
      <c r="K63" s="472">
        <v>0</v>
      </c>
      <c r="L63" s="472">
        <v>264358</v>
      </c>
      <c r="M63" s="472">
        <v>15642</v>
      </c>
      <c r="N63" s="472">
        <v>0</v>
      </c>
      <c r="O63" s="473">
        <v>1.5</v>
      </c>
      <c r="P63" s="474">
        <v>1.5</v>
      </c>
      <c r="Q63" s="483">
        <v>0</v>
      </c>
      <c r="R63" s="485">
        <f t="shared" si="134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si="135"/>
        <v>0</v>
      </c>
      <c r="AC63" s="475">
        <f t="shared" si="136"/>
        <v>0</v>
      </c>
      <c r="AD63" s="70">
        <f t="shared" si="137"/>
        <v>0</v>
      </c>
      <c r="AE63" s="70">
        <f t="shared" si="138"/>
        <v>0</v>
      </c>
      <c r="AF63" s="475">
        <v>0</v>
      </c>
      <c r="AG63" s="475">
        <v>0</v>
      </c>
      <c r="AH63" s="475">
        <f t="shared" si="139"/>
        <v>0</v>
      </c>
      <c r="AI63" s="475">
        <f t="shared" si="140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si="141"/>
        <v>0</v>
      </c>
      <c r="AU63" s="484">
        <f>I63+AI63</f>
        <v>1062124</v>
      </c>
      <c r="AV63" s="475">
        <f>J63+X63</f>
        <v>782124</v>
      </c>
      <c r="AW63" s="475">
        <f t="shared" si="142"/>
        <v>0</v>
      </c>
      <c r="AX63" s="475">
        <f t="shared" si="143"/>
        <v>264358</v>
      </c>
      <c r="AY63" s="475">
        <f t="shared" si="143"/>
        <v>15642</v>
      </c>
      <c r="AZ63" s="475">
        <f>N63+AH63</f>
        <v>0</v>
      </c>
      <c r="BA63" s="476">
        <f>O63+AT63</f>
        <v>1.5</v>
      </c>
      <c r="BB63" s="476">
        <f t="shared" si="144"/>
        <v>1.5</v>
      </c>
      <c r="BC63" s="478">
        <f t="shared" si="144"/>
        <v>0</v>
      </c>
    </row>
    <row r="64" spans="1:55" ht="12.95" customHeight="1" x14ac:dyDescent="0.25">
      <c r="A64" s="308">
        <v>12</v>
      </c>
      <c r="B64" s="225">
        <v>5481</v>
      </c>
      <c r="C64" s="225">
        <v>600099075</v>
      </c>
      <c r="D64" s="225">
        <v>72742739</v>
      </c>
      <c r="E64" s="224" t="s">
        <v>502</v>
      </c>
      <c r="F64" s="225">
        <v>3143</v>
      </c>
      <c r="G64" s="351" t="s">
        <v>627</v>
      </c>
      <c r="H64" s="313" t="s">
        <v>278</v>
      </c>
      <c r="I64" s="477">
        <v>44464</v>
      </c>
      <c r="J64" s="472">
        <v>24542</v>
      </c>
      <c r="K64" s="472">
        <v>7000</v>
      </c>
      <c r="L64" s="472">
        <v>10661</v>
      </c>
      <c r="M64" s="472">
        <v>491</v>
      </c>
      <c r="N64" s="472">
        <v>1770</v>
      </c>
      <c r="O64" s="473">
        <v>0.09</v>
      </c>
      <c r="P64" s="474">
        <v>0</v>
      </c>
      <c r="Q64" s="483">
        <v>0.09</v>
      </c>
      <c r="R64" s="485">
        <f t="shared" si="134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>SUM(R64:W64)</f>
        <v>0</v>
      </c>
      <c r="Y64" s="475">
        <v>0</v>
      </c>
      <c r="Z64" s="475">
        <v>0</v>
      </c>
      <c r="AA64" s="475">
        <v>0</v>
      </c>
      <c r="AB64" s="475">
        <f t="shared" si="135"/>
        <v>0</v>
      </c>
      <c r="AC64" s="475">
        <f t="shared" si="136"/>
        <v>0</v>
      </c>
      <c r="AD64" s="70">
        <f t="shared" si="137"/>
        <v>0</v>
      </c>
      <c r="AE64" s="70">
        <f t="shared" si="138"/>
        <v>0</v>
      </c>
      <c r="AF64" s="475">
        <v>0</v>
      </c>
      <c r="AG64" s="475">
        <v>0</v>
      </c>
      <c r="AH64" s="475">
        <f t="shared" si="139"/>
        <v>0</v>
      </c>
      <c r="AI64" s="475">
        <f t="shared" si="140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si="141"/>
        <v>0</v>
      </c>
      <c r="AU64" s="484">
        <f>I64+AI64</f>
        <v>44464</v>
      </c>
      <c r="AV64" s="475">
        <f>J64+X64</f>
        <v>24542</v>
      </c>
      <c r="AW64" s="475">
        <f t="shared" si="142"/>
        <v>7000</v>
      </c>
      <c r="AX64" s="475">
        <f t="shared" si="143"/>
        <v>10661</v>
      </c>
      <c r="AY64" s="475">
        <f t="shared" si="143"/>
        <v>491</v>
      </c>
      <c r="AZ64" s="475">
        <f>N64+AH64</f>
        <v>1770</v>
      </c>
      <c r="BA64" s="476">
        <f>O64+AT64</f>
        <v>0.09</v>
      </c>
      <c r="BB64" s="476">
        <f t="shared" si="144"/>
        <v>0</v>
      </c>
      <c r="BC64" s="478">
        <f t="shared" si="144"/>
        <v>0.09</v>
      </c>
    </row>
    <row r="65" spans="1:55" ht="12.95" customHeight="1" x14ac:dyDescent="0.25">
      <c r="A65" s="226">
        <v>12</v>
      </c>
      <c r="B65" s="46">
        <v>5481</v>
      </c>
      <c r="C65" s="46">
        <v>600099075</v>
      </c>
      <c r="D65" s="46">
        <v>72742739</v>
      </c>
      <c r="E65" s="408" t="s">
        <v>503</v>
      </c>
      <c r="F65" s="46"/>
      <c r="G65" s="408"/>
      <c r="H65" s="190"/>
      <c r="I65" s="592">
        <v>8507013</v>
      </c>
      <c r="J65" s="590">
        <v>6038370</v>
      </c>
      <c r="K65" s="590">
        <v>104000</v>
      </c>
      <c r="L65" s="590">
        <v>2076121</v>
      </c>
      <c r="M65" s="590">
        <v>120768</v>
      </c>
      <c r="N65" s="590">
        <v>167754</v>
      </c>
      <c r="O65" s="591">
        <v>11.789599999999998</v>
      </c>
      <c r="P65" s="591">
        <v>8.1219000000000001</v>
      </c>
      <c r="Q65" s="593">
        <v>3.6677</v>
      </c>
      <c r="R65" s="592">
        <f t="shared" ref="R65:BC65" si="145">SUM(R60:R64)</f>
        <v>0</v>
      </c>
      <c r="S65" s="590">
        <f t="shared" si="145"/>
        <v>0</v>
      </c>
      <c r="T65" s="590">
        <f t="shared" si="145"/>
        <v>5290</v>
      </c>
      <c r="U65" s="590">
        <f t="shared" si="145"/>
        <v>-26730</v>
      </c>
      <c r="V65" s="590">
        <f t="shared" si="145"/>
        <v>0</v>
      </c>
      <c r="W65" s="590">
        <f t="shared" si="145"/>
        <v>0</v>
      </c>
      <c r="X65" s="590">
        <f t="shared" si="145"/>
        <v>-21440</v>
      </c>
      <c r="Y65" s="590">
        <f t="shared" si="145"/>
        <v>0</v>
      </c>
      <c r="Z65" s="590">
        <f t="shared" si="145"/>
        <v>0</v>
      </c>
      <c r="AA65" s="590">
        <f t="shared" si="145"/>
        <v>0</v>
      </c>
      <c r="AB65" s="590">
        <f t="shared" si="145"/>
        <v>0</v>
      </c>
      <c r="AC65" s="590">
        <f t="shared" si="145"/>
        <v>-21440</v>
      </c>
      <c r="AD65" s="590">
        <f t="shared" si="145"/>
        <v>-7247</v>
      </c>
      <c r="AE65" s="590">
        <f t="shared" si="145"/>
        <v>-429</v>
      </c>
      <c r="AF65" s="590">
        <f t="shared" si="145"/>
        <v>0</v>
      </c>
      <c r="AG65" s="590">
        <f t="shared" si="145"/>
        <v>0</v>
      </c>
      <c r="AH65" s="590">
        <f t="shared" si="145"/>
        <v>0</v>
      </c>
      <c r="AI65" s="590">
        <f t="shared" si="145"/>
        <v>-29116</v>
      </c>
      <c r="AJ65" s="591">
        <f t="shared" si="145"/>
        <v>0</v>
      </c>
      <c r="AK65" s="591">
        <f t="shared" si="145"/>
        <v>0</v>
      </c>
      <c r="AL65" s="591">
        <f t="shared" si="145"/>
        <v>0</v>
      </c>
      <c r="AM65" s="591">
        <f t="shared" si="145"/>
        <v>0</v>
      </c>
      <c r="AN65" s="591">
        <f t="shared" si="145"/>
        <v>0.01</v>
      </c>
      <c r="AO65" s="591">
        <f t="shared" si="145"/>
        <v>0</v>
      </c>
      <c r="AP65" s="591">
        <f t="shared" si="145"/>
        <v>0</v>
      </c>
      <c r="AQ65" s="591">
        <f t="shared" si="145"/>
        <v>-0.05</v>
      </c>
      <c r="AR65" s="591">
        <f t="shared" si="145"/>
        <v>0</v>
      </c>
      <c r="AS65" s="591">
        <f t="shared" si="145"/>
        <v>-0.04</v>
      </c>
      <c r="AT65" s="381">
        <f t="shared" si="145"/>
        <v>-0.04</v>
      </c>
      <c r="AU65" s="594">
        <f t="shared" si="145"/>
        <v>8477897</v>
      </c>
      <c r="AV65" s="590">
        <f t="shared" si="145"/>
        <v>6016930</v>
      </c>
      <c r="AW65" s="590">
        <f t="shared" si="145"/>
        <v>104000</v>
      </c>
      <c r="AX65" s="590">
        <f t="shared" si="145"/>
        <v>2068874</v>
      </c>
      <c r="AY65" s="590">
        <f t="shared" si="145"/>
        <v>120339</v>
      </c>
      <c r="AZ65" s="590">
        <f t="shared" si="145"/>
        <v>167754</v>
      </c>
      <c r="BA65" s="591">
        <f t="shared" si="145"/>
        <v>11.749599999999997</v>
      </c>
      <c r="BB65" s="591">
        <f t="shared" si="145"/>
        <v>8.1219000000000001</v>
      </c>
      <c r="BC65" s="381">
        <f t="shared" si="145"/>
        <v>3.6276999999999999</v>
      </c>
    </row>
    <row r="66" spans="1:55" ht="12.95" customHeight="1" x14ac:dyDescent="0.25">
      <c r="A66" s="308">
        <v>13</v>
      </c>
      <c r="B66" s="225">
        <v>5492</v>
      </c>
      <c r="C66" s="225">
        <v>691007322</v>
      </c>
      <c r="D66" s="225">
        <v>71294180</v>
      </c>
      <c r="E66" s="224" t="s">
        <v>504</v>
      </c>
      <c r="F66" s="225">
        <v>3114</v>
      </c>
      <c r="G66" s="359" t="s">
        <v>556</v>
      </c>
      <c r="H66" s="313" t="s">
        <v>277</v>
      </c>
      <c r="I66" s="477">
        <v>12522667</v>
      </c>
      <c r="J66" s="472">
        <v>8981154</v>
      </c>
      <c r="K66" s="472">
        <v>120000</v>
      </c>
      <c r="L66" s="472">
        <v>3076190</v>
      </c>
      <c r="M66" s="472">
        <v>179623</v>
      </c>
      <c r="N66" s="472">
        <v>165700</v>
      </c>
      <c r="O66" s="473">
        <v>15.724500000000001</v>
      </c>
      <c r="P66" s="474">
        <v>11.5</v>
      </c>
      <c r="Q66" s="483">
        <v>4.2244999999999999</v>
      </c>
      <c r="R66" s="485">
        <f t="shared" ref="R66:R69" si="146">Y66*-1</f>
        <v>0</v>
      </c>
      <c r="S66" s="475">
        <v>0</v>
      </c>
      <c r="T66" s="475">
        <v>218484</v>
      </c>
      <c r="U66" s="475">
        <v>0</v>
      </c>
      <c r="V66" s="475">
        <v>0</v>
      </c>
      <c r="W66" s="475">
        <v>0</v>
      </c>
      <c r="X66" s="475">
        <f>SUM(R66:W66)</f>
        <v>218484</v>
      </c>
      <c r="Y66" s="475">
        <v>0</v>
      </c>
      <c r="Z66" s="475">
        <v>0</v>
      </c>
      <c r="AA66" s="475">
        <v>0</v>
      </c>
      <c r="AB66" s="475">
        <f t="shared" ref="AB66:AB69" si="147">SUM(Y66:AA66)</f>
        <v>0</v>
      </c>
      <c r="AC66" s="475">
        <f t="shared" ref="AC66:AC69" si="148">X66+AB66</f>
        <v>218484</v>
      </c>
      <c r="AD66" s="70">
        <f t="shared" ref="AD66:AD69" si="149">ROUND((X66+Y66+Z66)*33.8%,0)</f>
        <v>73848</v>
      </c>
      <c r="AE66" s="70">
        <f t="shared" ref="AE66:AE69" si="150">ROUND(X66*2%,0)</f>
        <v>4370</v>
      </c>
      <c r="AF66" s="475">
        <v>0</v>
      </c>
      <c r="AG66" s="475">
        <v>0</v>
      </c>
      <c r="AH66" s="475">
        <f t="shared" ref="AH66:AH69" si="151">SUM(AF66:AG66)</f>
        <v>0</v>
      </c>
      <c r="AI66" s="475">
        <f t="shared" ref="AI66:AI69" si="152">AC66+AD66+AE66+AH66</f>
        <v>296702</v>
      </c>
      <c r="AJ66" s="476">
        <v>0</v>
      </c>
      <c r="AK66" s="476">
        <v>0</v>
      </c>
      <c r="AL66" s="476">
        <v>0</v>
      </c>
      <c r="AM66" s="476">
        <v>0.33</v>
      </c>
      <c r="AN66" s="476">
        <v>0</v>
      </c>
      <c r="AO66" s="476">
        <v>0</v>
      </c>
      <c r="AP66" s="476">
        <v>0</v>
      </c>
      <c r="AQ66" s="476">
        <v>0</v>
      </c>
      <c r="AR66" s="476">
        <f>AJ66+AL66+AM66+AO66+AP66</f>
        <v>0.33</v>
      </c>
      <c r="AS66" s="476">
        <f>AK66+AN66+AQ66</f>
        <v>0</v>
      </c>
      <c r="AT66" s="478">
        <f t="shared" ref="AT66:AT69" si="153">SUM(AR66:AS66)</f>
        <v>0.33</v>
      </c>
      <c r="AU66" s="484">
        <f>I66+AI66</f>
        <v>12819369</v>
      </c>
      <c r="AV66" s="475">
        <f>J66+X66</f>
        <v>9199638</v>
      </c>
      <c r="AW66" s="475">
        <f t="shared" ref="AW66:AW69" si="154">K66+AB66</f>
        <v>120000</v>
      </c>
      <c r="AX66" s="475">
        <f t="shared" ref="AX66:AY69" si="155">L66+AD66</f>
        <v>3150038</v>
      </c>
      <c r="AY66" s="475">
        <f t="shared" si="155"/>
        <v>183993</v>
      </c>
      <c r="AZ66" s="475">
        <f>N66+AH66</f>
        <v>165700</v>
      </c>
      <c r="BA66" s="476">
        <f>O66+AT66</f>
        <v>16.054500000000001</v>
      </c>
      <c r="BB66" s="476">
        <f t="shared" ref="BB66:BC69" si="156">P66+AR66</f>
        <v>11.83</v>
      </c>
      <c r="BC66" s="478">
        <f t="shared" si="156"/>
        <v>4.2244999999999999</v>
      </c>
    </row>
    <row r="67" spans="1:55" ht="12.95" customHeight="1" x14ac:dyDescent="0.25">
      <c r="A67" s="308">
        <v>13</v>
      </c>
      <c r="B67" s="225">
        <v>5492</v>
      </c>
      <c r="C67" s="225">
        <v>691007322</v>
      </c>
      <c r="D67" s="225">
        <v>71294180</v>
      </c>
      <c r="E67" s="224" t="s">
        <v>504</v>
      </c>
      <c r="F67" s="225">
        <v>3114</v>
      </c>
      <c r="G67" s="359" t="s">
        <v>313</v>
      </c>
      <c r="H67" s="313" t="s">
        <v>277</v>
      </c>
      <c r="I67" s="477">
        <v>1820278</v>
      </c>
      <c r="J67" s="472">
        <v>1340411</v>
      </c>
      <c r="K67" s="472">
        <v>0</v>
      </c>
      <c r="L67" s="472">
        <v>453059</v>
      </c>
      <c r="M67" s="472">
        <v>26808</v>
      </c>
      <c r="N67" s="472">
        <v>0</v>
      </c>
      <c r="O67" s="473">
        <v>3.4049</v>
      </c>
      <c r="P67" s="474">
        <v>3.4049</v>
      </c>
      <c r="Q67" s="483">
        <v>0</v>
      </c>
      <c r="R67" s="485">
        <f t="shared" si="146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>SUM(R67:W67)</f>
        <v>0</v>
      </c>
      <c r="Y67" s="475">
        <v>0</v>
      </c>
      <c r="Z67" s="475">
        <v>0</v>
      </c>
      <c r="AA67" s="475">
        <v>0</v>
      </c>
      <c r="AB67" s="475">
        <f t="shared" si="147"/>
        <v>0</v>
      </c>
      <c r="AC67" s="475">
        <f t="shared" si="148"/>
        <v>0</v>
      </c>
      <c r="AD67" s="70">
        <f t="shared" si="149"/>
        <v>0</v>
      </c>
      <c r="AE67" s="70">
        <f t="shared" si="150"/>
        <v>0</v>
      </c>
      <c r="AF67" s="475">
        <v>0</v>
      </c>
      <c r="AG67" s="475">
        <v>0</v>
      </c>
      <c r="AH67" s="475">
        <f t="shared" si="151"/>
        <v>0</v>
      </c>
      <c r="AI67" s="475">
        <f t="shared" si="152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>AJ67+AL67+AM67+AO67+AP67</f>
        <v>0</v>
      </c>
      <c r="AS67" s="476">
        <f>AK67+AN67+AQ67</f>
        <v>0</v>
      </c>
      <c r="AT67" s="478">
        <f t="shared" si="153"/>
        <v>0</v>
      </c>
      <c r="AU67" s="484">
        <f>I67+AI67</f>
        <v>1820278</v>
      </c>
      <c r="AV67" s="475">
        <f>J67+X67</f>
        <v>1340411</v>
      </c>
      <c r="AW67" s="475">
        <f t="shared" si="154"/>
        <v>0</v>
      </c>
      <c r="AX67" s="475">
        <f t="shared" si="155"/>
        <v>453059</v>
      </c>
      <c r="AY67" s="475">
        <f t="shared" si="155"/>
        <v>26808</v>
      </c>
      <c r="AZ67" s="475">
        <f>N67+AH67</f>
        <v>0</v>
      </c>
      <c r="BA67" s="476">
        <f>O67+AT67</f>
        <v>3.4049</v>
      </c>
      <c r="BB67" s="476">
        <f t="shared" si="156"/>
        <v>3.4049</v>
      </c>
      <c r="BC67" s="478">
        <f t="shared" si="156"/>
        <v>0</v>
      </c>
    </row>
    <row r="68" spans="1:55" ht="12.95" customHeight="1" x14ac:dyDescent="0.25">
      <c r="A68" s="308">
        <v>13</v>
      </c>
      <c r="B68" s="225">
        <v>5492</v>
      </c>
      <c r="C68" s="225">
        <v>691007322</v>
      </c>
      <c r="D68" s="225">
        <v>71294180</v>
      </c>
      <c r="E68" s="406" t="s">
        <v>504</v>
      </c>
      <c r="F68" s="225">
        <v>3143</v>
      </c>
      <c r="G68" s="351" t="s">
        <v>626</v>
      </c>
      <c r="H68" s="313" t="s">
        <v>277</v>
      </c>
      <c r="I68" s="477">
        <v>529966</v>
      </c>
      <c r="J68" s="472">
        <v>390255</v>
      </c>
      <c r="K68" s="472">
        <v>0</v>
      </c>
      <c r="L68" s="472">
        <v>131906</v>
      </c>
      <c r="M68" s="472">
        <v>7805</v>
      </c>
      <c r="N68" s="472">
        <v>0</v>
      </c>
      <c r="O68" s="473">
        <v>0.77049999999999996</v>
      </c>
      <c r="P68" s="474">
        <v>0.77049999999999996</v>
      </c>
      <c r="Q68" s="483">
        <v>0</v>
      </c>
      <c r="R68" s="485">
        <f t="shared" si="146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47"/>
        <v>0</v>
      </c>
      <c r="AC68" s="475">
        <f t="shared" si="148"/>
        <v>0</v>
      </c>
      <c r="AD68" s="70">
        <f t="shared" si="149"/>
        <v>0</v>
      </c>
      <c r="AE68" s="70">
        <f t="shared" si="150"/>
        <v>0</v>
      </c>
      <c r="AF68" s="475">
        <v>0</v>
      </c>
      <c r="AG68" s="475">
        <v>0</v>
      </c>
      <c r="AH68" s="475">
        <f t="shared" si="151"/>
        <v>0</v>
      </c>
      <c r="AI68" s="475">
        <f t="shared" si="152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153"/>
        <v>0</v>
      </c>
      <c r="AU68" s="484">
        <f>I68+AI68</f>
        <v>529966</v>
      </c>
      <c r="AV68" s="475">
        <f>J68+X68</f>
        <v>390255</v>
      </c>
      <c r="AW68" s="475">
        <f t="shared" si="154"/>
        <v>0</v>
      </c>
      <c r="AX68" s="475">
        <f t="shared" si="155"/>
        <v>131906</v>
      </c>
      <c r="AY68" s="475">
        <f t="shared" si="155"/>
        <v>7805</v>
      </c>
      <c r="AZ68" s="475">
        <f>N68+AH68</f>
        <v>0</v>
      </c>
      <c r="BA68" s="476">
        <f>O68+AT68</f>
        <v>0.77049999999999996</v>
      </c>
      <c r="BB68" s="476">
        <f t="shared" si="156"/>
        <v>0.77049999999999996</v>
      </c>
      <c r="BC68" s="478">
        <f t="shared" si="156"/>
        <v>0</v>
      </c>
    </row>
    <row r="69" spans="1:55" ht="12.95" customHeight="1" x14ac:dyDescent="0.25">
      <c r="A69" s="308">
        <v>13</v>
      </c>
      <c r="B69" s="225">
        <v>5492</v>
      </c>
      <c r="C69" s="225">
        <v>691007322</v>
      </c>
      <c r="D69" s="225">
        <v>71294180</v>
      </c>
      <c r="E69" s="406" t="s">
        <v>504</v>
      </c>
      <c r="F69" s="225">
        <v>3143</v>
      </c>
      <c r="G69" s="351" t="s">
        <v>627</v>
      </c>
      <c r="H69" s="313" t="s">
        <v>278</v>
      </c>
      <c r="I69" s="477">
        <v>11339</v>
      </c>
      <c r="J69" s="472">
        <v>8019</v>
      </c>
      <c r="K69" s="472">
        <v>0</v>
      </c>
      <c r="L69" s="472">
        <v>2710</v>
      </c>
      <c r="M69" s="472">
        <v>160</v>
      </c>
      <c r="N69" s="472">
        <v>450</v>
      </c>
      <c r="O69" s="473">
        <v>0.03</v>
      </c>
      <c r="P69" s="474">
        <v>0</v>
      </c>
      <c r="Q69" s="483">
        <v>0.03</v>
      </c>
      <c r="R69" s="485">
        <f t="shared" si="146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47"/>
        <v>0</v>
      </c>
      <c r="AC69" s="475">
        <f t="shared" si="148"/>
        <v>0</v>
      </c>
      <c r="AD69" s="70">
        <f t="shared" si="149"/>
        <v>0</v>
      </c>
      <c r="AE69" s="70">
        <f t="shared" si="150"/>
        <v>0</v>
      </c>
      <c r="AF69" s="475">
        <v>0</v>
      </c>
      <c r="AG69" s="475">
        <v>0</v>
      </c>
      <c r="AH69" s="475">
        <f t="shared" si="151"/>
        <v>0</v>
      </c>
      <c r="AI69" s="475">
        <f t="shared" si="152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53"/>
        <v>0</v>
      </c>
      <c r="AU69" s="484">
        <f>I69+AI69</f>
        <v>11339</v>
      </c>
      <c r="AV69" s="475">
        <f>J69+X69</f>
        <v>8019</v>
      </c>
      <c r="AW69" s="475">
        <f t="shared" si="154"/>
        <v>0</v>
      </c>
      <c r="AX69" s="475">
        <f t="shared" si="155"/>
        <v>2710</v>
      </c>
      <c r="AY69" s="475">
        <f t="shared" si="155"/>
        <v>160</v>
      </c>
      <c r="AZ69" s="475">
        <f>N69+AH69</f>
        <v>450</v>
      </c>
      <c r="BA69" s="476">
        <f>O69+AT69</f>
        <v>0.03</v>
      </c>
      <c r="BB69" s="476">
        <f t="shared" si="156"/>
        <v>0</v>
      </c>
      <c r="BC69" s="478">
        <f t="shared" si="156"/>
        <v>0.03</v>
      </c>
    </row>
    <row r="70" spans="1:55" ht="12.95" customHeight="1" x14ac:dyDescent="0.25">
      <c r="A70" s="226">
        <v>13</v>
      </c>
      <c r="B70" s="46">
        <v>5492</v>
      </c>
      <c r="C70" s="46">
        <v>691007322</v>
      </c>
      <c r="D70" s="46">
        <v>71294180</v>
      </c>
      <c r="E70" s="408" t="s">
        <v>505</v>
      </c>
      <c r="F70" s="46"/>
      <c r="G70" s="408"/>
      <c r="H70" s="190"/>
      <c r="I70" s="592">
        <v>14884250</v>
      </c>
      <c r="J70" s="590">
        <v>10719839</v>
      </c>
      <c r="K70" s="590">
        <v>120000</v>
      </c>
      <c r="L70" s="590">
        <v>3663865</v>
      </c>
      <c r="M70" s="590">
        <v>214396</v>
      </c>
      <c r="N70" s="590">
        <v>166150</v>
      </c>
      <c r="O70" s="591">
        <v>19.9299</v>
      </c>
      <c r="P70" s="591">
        <v>15.6754</v>
      </c>
      <c r="Q70" s="593">
        <v>4.2545000000000002</v>
      </c>
      <c r="R70" s="592">
        <f t="shared" ref="R70:BC70" si="157">SUM(R66:R69)</f>
        <v>0</v>
      </c>
      <c r="S70" s="590">
        <f t="shared" si="157"/>
        <v>0</v>
      </c>
      <c r="T70" s="590">
        <f t="shared" si="157"/>
        <v>218484</v>
      </c>
      <c r="U70" s="590">
        <f t="shared" si="157"/>
        <v>0</v>
      </c>
      <c r="V70" s="590">
        <f t="shared" si="157"/>
        <v>0</v>
      </c>
      <c r="W70" s="590">
        <f t="shared" si="157"/>
        <v>0</v>
      </c>
      <c r="X70" s="590">
        <f t="shared" si="157"/>
        <v>218484</v>
      </c>
      <c r="Y70" s="590">
        <f t="shared" si="157"/>
        <v>0</v>
      </c>
      <c r="Z70" s="590">
        <f t="shared" si="157"/>
        <v>0</v>
      </c>
      <c r="AA70" s="590">
        <f t="shared" si="157"/>
        <v>0</v>
      </c>
      <c r="AB70" s="590">
        <f t="shared" si="157"/>
        <v>0</v>
      </c>
      <c r="AC70" s="590">
        <f t="shared" si="157"/>
        <v>218484</v>
      </c>
      <c r="AD70" s="590">
        <f t="shared" si="157"/>
        <v>73848</v>
      </c>
      <c r="AE70" s="590">
        <f t="shared" si="157"/>
        <v>4370</v>
      </c>
      <c r="AF70" s="590">
        <f t="shared" si="157"/>
        <v>0</v>
      </c>
      <c r="AG70" s="590">
        <f t="shared" si="157"/>
        <v>0</v>
      </c>
      <c r="AH70" s="590">
        <f t="shared" si="157"/>
        <v>0</v>
      </c>
      <c r="AI70" s="590">
        <f t="shared" si="157"/>
        <v>296702</v>
      </c>
      <c r="AJ70" s="591">
        <f t="shared" si="157"/>
        <v>0</v>
      </c>
      <c r="AK70" s="591">
        <f t="shared" si="157"/>
        <v>0</v>
      </c>
      <c r="AL70" s="591">
        <f t="shared" si="157"/>
        <v>0</v>
      </c>
      <c r="AM70" s="591">
        <f t="shared" si="157"/>
        <v>0.33</v>
      </c>
      <c r="AN70" s="591">
        <f t="shared" si="157"/>
        <v>0</v>
      </c>
      <c r="AO70" s="591">
        <f t="shared" si="157"/>
        <v>0</v>
      </c>
      <c r="AP70" s="591">
        <f t="shared" si="157"/>
        <v>0</v>
      </c>
      <c r="AQ70" s="591">
        <f t="shared" si="157"/>
        <v>0</v>
      </c>
      <c r="AR70" s="591">
        <f t="shared" si="157"/>
        <v>0.33</v>
      </c>
      <c r="AS70" s="591">
        <f t="shared" si="157"/>
        <v>0</v>
      </c>
      <c r="AT70" s="381">
        <f t="shared" si="157"/>
        <v>0.33</v>
      </c>
      <c r="AU70" s="594">
        <f t="shared" si="157"/>
        <v>15180952</v>
      </c>
      <c r="AV70" s="590">
        <f t="shared" si="157"/>
        <v>10938323</v>
      </c>
      <c r="AW70" s="590">
        <f t="shared" si="157"/>
        <v>120000</v>
      </c>
      <c r="AX70" s="590">
        <f t="shared" si="157"/>
        <v>3737713</v>
      </c>
      <c r="AY70" s="590">
        <f t="shared" si="157"/>
        <v>218766</v>
      </c>
      <c r="AZ70" s="590">
        <f t="shared" si="157"/>
        <v>166150</v>
      </c>
      <c r="BA70" s="591">
        <f t="shared" si="157"/>
        <v>20.259900000000002</v>
      </c>
      <c r="BB70" s="591">
        <f t="shared" si="157"/>
        <v>16.005399999999998</v>
      </c>
      <c r="BC70" s="381">
        <f t="shared" si="157"/>
        <v>4.2545000000000002</v>
      </c>
    </row>
    <row r="71" spans="1:55" ht="12.95" customHeight="1" x14ac:dyDescent="0.25">
      <c r="A71" s="308">
        <v>14</v>
      </c>
      <c r="B71" s="225">
        <v>5457</v>
      </c>
      <c r="C71" s="225">
        <v>600099377</v>
      </c>
      <c r="D71" s="225">
        <v>855049</v>
      </c>
      <c r="E71" s="406" t="s">
        <v>506</v>
      </c>
      <c r="F71" s="225">
        <v>3113</v>
      </c>
      <c r="G71" s="406" t="s">
        <v>329</v>
      </c>
      <c r="H71" s="313" t="s">
        <v>277</v>
      </c>
      <c r="I71" s="477">
        <v>38128555</v>
      </c>
      <c r="J71" s="472">
        <v>27330820</v>
      </c>
      <c r="K71" s="472">
        <v>104560</v>
      </c>
      <c r="L71" s="472">
        <v>9273158</v>
      </c>
      <c r="M71" s="472">
        <v>546617</v>
      </c>
      <c r="N71" s="472">
        <v>873400</v>
      </c>
      <c r="O71" s="473">
        <v>47.471599999999995</v>
      </c>
      <c r="P71" s="474">
        <v>37.608499999999999</v>
      </c>
      <c r="Q71" s="483">
        <v>9.8630999999999975</v>
      </c>
      <c r="R71" s="485">
        <f t="shared" ref="R71:R76" si="158">Y71*-1</f>
        <v>0</v>
      </c>
      <c r="S71" s="475">
        <v>0</v>
      </c>
      <c r="T71" s="475">
        <v>158316</v>
      </c>
      <c r="U71" s="475">
        <v>0</v>
      </c>
      <c r="V71" s="475">
        <v>0</v>
      </c>
      <c r="W71" s="475">
        <v>0</v>
      </c>
      <c r="X71" s="475">
        <f t="shared" ref="X71:X76" si="159">SUM(R71:W71)</f>
        <v>158316</v>
      </c>
      <c r="Y71" s="475">
        <v>0</v>
      </c>
      <c r="Z71" s="475">
        <v>0</v>
      </c>
      <c r="AA71" s="475">
        <v>0</v>
      </c>
      <c r="AB71" s="475">
        <f t="shared" ref="AB71:AB76" si="160">SUM(Y71:AA71)</f>
        <v>0</v>
      </c>
      <c r="AC71" s="475">
        <f t="shared" ref="AC71:AC76" si="161">X71+AB71</f>
        <v>158316</v>
      </c>
      <c r="AD71" s="70">
        <f t="shared" ref="AD71:AD76" si="162">ROUND((X71+Y71+Z71)*33.8%,0)</f>
        <v>53511</v>
      </c>
      <c r="AE71" s="70">
        <f t="shared" ref="AE71:AE76" si="163">ROUND(X71*2%,0)</f>
        <v>3166</v>
      </c>
      <c r="AF71" s="475">
        <v>0</v>
      </c>
      <c r="AG71" s="475">
        <v>0</v>
      </c>
      <c r="AH71" s="475">
        <f t="shared" ref="AH71:AH76" si="164">SUM(AF71:AG71)</f>
        <v>0</v>
      </c>
      <c r="AI71" s="475">
        <f t="shared" ref="AI71:AI76" si="165">AC71+AD71+AE71+AH71</f>
        <v>214993</v>
      </c>
      <c r="AJ71" s="476">
        <v>0</v>
      </c>
      <c r="AK71" s="476">
        <v>0</v>
      </c>
      <c r="AL71" s="476">
        <v>0</v>
      </c>
      <c r="AM71" s="476">
        <v>0.25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ref="AR71:AR76" si="166">AJ71+AL71+AM71+AO71+AP71</f>
        <v>0.25</v>
      </c>
      <c r="AS71" s="476">
        <f t="shared" ref="AS71:AS76" si="167">AK71+AN71+AQ71</f>
        <v>0</v>
      </c>
      <c r="AT71" s="478">
        <f t="shared" ref="AT71:AT76" si="168">SUM(AR71:AS71)</f>
        <v>0.25</v>
      </c>
      <c r="AU71" s="484">
        <f t="shared" ref="AU71:AU76" si="169">I71+AI71</f>
        <v>38343548</v>
      </c>
      <c r="AV71" s="475">
        <f t="shared" ref="AV71:AV76" si="170">J71+X71</f>
        <v>27489136</v>
      </c>
      <c r="AW71" s="475">
        <f t="shared" ref="AW71:AW76" si="171">K71+AB71</f>
        <v>104560</v>
      </c>
      <c r="AX71" s="475">
        <f t="shared" ref="AX71:AY76" si="172">L71+AD71</f>
        <v>9326669</v>
      </c>
      <c r="AY71" s="475">
        <f t="shared" si="172"/>
        <v>549783</v>
      </c>
      <c r="AZ71" s="475">
        <f t="shared" ref="AZ71:AZ76" si="173">N71+AH71</f>
        <v>873400</v>
      </c>
      <c r="BA71" s="476">
        <f t="shared" ref="BA71:BA76" si="174">O71+AT71</f>
        <v>47.721599999999995</v>
      </c>
      <c r="BB71" s="476">
        <f t="shared" ref="BB71:BC76" si="175">P71+AR71</f>
        <v>37.858499999999999</v>
      </c>
      <c r="BC71" s="478">
        <f t="shared" si="175"/>
        <v>9.8630999999999975</v>
      </c>
    </row>
    <row r="72" spans="1:55" ht="12.95" customHeight="1" x14ac:dyDescent="0.25">
      <c r="A72" s="308">
        <v>14</v>
      </c>
      <c r="B72" s="225">
        <v>5457</v>
      </c>
      <c r="C72" s="225">
        <v>600099377</v>
      </c>
      <c r="D72" s="225">
        <v>855049</v>
      </c>
      <c r="E72" s="224" t="s">
        <v>506</v>
      </c>
      <c r="F72" s="225">
        <v>3113</v>
      </c>
      <c r="G72" s="351" t="s">
        <v>312</v>
      </c>
      <c r="H72" s="313" t="s">
        <v>278</v>
      </c>
      <c r="I72" s="477">
        <v>3517135</v>
      </c>
      <c r="J72" s="472">
        <v>2532989</v>
      </c>
      <c r="K72" s="472">
        <v>0</v>
      </c>
      <c r="L72" s="472">
        <v>856150</v>
      </c>
      <c r="M72" s="472">
        <v>50660</v>
      </c>
      <c r="N72" s="472">
        <v>77336</v>
      </c>
      <c r="O72" s="473">
        <v>6.95</v>
      </c>
      <c r="P72" s="474">
        <v>6.95</v>
      </c>
      <c r="Q72" s="483">
        <v>0</v>
      </c>
      <c r="R72" s="485">
        <f t="shared" si="158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59"/>
        <v>0</v>
      </c>
      <c r="Y72" s="475">
        <v>0</v>
      </c>
      <c r="Z72" s="475">
        <v>0</v>
      </c>
      <c r="AA72" s="475">
        <v>0</v>
      </c>
      <c r="AB72" s="475">
        <f t="shared" si="160"/>
        <v>0</v>
      </c>
      <c r="AC72" s="475">
        <f t="shared" si="161"/>
        <v>0</v>
      </c>
      <c r="AD72" s="70">
        <f t="shared" si="162"/>
        <v>0</v>
      </c>
      <c r="AE72" s="70">
        <f t="shared" si="163"/>
        <v>0</v>
      </c>
      <c r="AF72" s="475">
        <v>4500</v>
      </c>
      <c r="AG72" s="475">
        <v>0</v>
      </c>
      <c r="AH72" s="475">
        <f t="shared" si="164"/>
        <v>4500</v>
      </c>
      <c r="AI72" s="475">
        <f t="shared" si="165"/>
        <v>4500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66"/>
        <v>0</v>
      </c>
      <c r="AS72" s="476">
        <f t="shared" si="167"/>
        <v>0</v>
      </c>
      <c r="AT72" s="478">
        <f t="shared" si="168"/>
        <v>0</v>
      </c>
      <c r="AU72" s="484">
        <f t="shared" si="169"/>
        <v>3521635</v>
      </c>
      <c r="AV72" s="475">
        <f t="shared" si="170"/>
        <v>2532989</v>
      </c>
      <c r="AW72" s="475">
        <f t="shared" si="171"/>
        <v>0</v>
      </c>
      <c r="AX72" s="475">
        <f t="shared" si="172"/>
        <v>856150</v>
      </c>
      <c r="AY72" s="475">
        <f t="shared" si="172"/>
        <v>50660</v>
      </c>
      <c r="AZ72" s="475">
        <f t="shared" si="173"/>
        <v>81836</v>
      </c>
      <c r="BA72" s="476">
        <f t="shared" si="174"/>
        <v>6.95</v>
      </c>
      <c r="BB72" s="476">
        <f t="shared" si="175"/>
        <v>6.95</v>
      </c>
      <c r="BC72" s="478">
        <f t="shared" si="175"/>
        <v>0</v>
      </c>
    </row>
    <row r="73" spans="1:55" ht="12.95" customHeight="1" x14ac:dyDescent="0.25">
      <c r="A73" s="308">
        <v>14</v>
      </c>
      <c r="B73" s="404">
        <v>5457</v>
      </c>
      <c r="C73" s="404">
        <v>600099377</v>
      </c>
      <c r="D73" s="404">
        <v>855049</v>
      </c>
      <c r="E73" s="405" t="s">
        <v>506</v>
      </c>
      <c r="F73" s="404">
        <v>3141</v>
      </c>
      <c r="G73" s="407" t="s">
        <v>315</v>
      </c>
      <c r="H73" s="313" t="s">
        <v>278</v>
      </c>
      <c r="I73" s="477">
        <v>1337816</v>
      </c>
      <c r="J73" s="472">
        <v>951200</v>
      </c>
      <c r="K73" s="472">
        <v>19250</v>
      </c>
      <c r="L73" s="472">
        <v>328012</v>
      </c>
      <c r="M73" s="472">
        <v>19024</v>
      </c>
      <c r="N73" s="472">
        <v>20330</v>
      </c>
      <c r="O73" s="473">
        <v>3.06</v>
      </c>
      <c r="P73" s="474">
        <v>0</v>
      </c>
      <c r="Q73" s="483">
        <v>3.06</v>
      </c>
      <c r="R73" s="485">
        <f t="shared" si="158"/>
        <v>0</v>
      </c>
      <c r="S73" s="475">
        <v>0</v>
      </c>
      <c r="T73" s="475">
        <v>12072</v>
      </c>
      <c r="U73" s="475">
        <v>0</v>
      </c>
      <c r="V73" s="475">
        <v>0</v>
      </c>
      <c r="W73" s="475">
        <v>0</v>
      </c>
      <c r="X73" s="475">
        <f t="shared" si="159"/>
        <v>12072</v>
      </c>
      <c r="Y73" s="475">
        <v>0</v>
      </c>
      <c r="Z73" s="475">
        <v>0</v>
      </c>
      <c r="AA73" s="475">
        <v>0</v>
      </c>
      <c r="AB73" s="475">
        <f t="shared" si="160"/>
        <v>0</v>
      </c>
      <c r="AC73" s="475">
        <f t="shared" si="161"/>
        <v>12072</v>
      </c>
      <c r="AD73" s="70">
        <f t="shared" si="162"/>
        <v>4080</v>
      </c>
      <c r="AE73" s="70">
        <f t="shared" si="163"/>
        <v>241</v>
      </c>
      <c r="AF73" s="475">
        <v>0</v>
      </c>
      <c r="AG73" s="475">
        <v>0</v>
      </c>
      <c r="AH73" s="475">
        <f t="shared" si="164"/>
        <v>0</v>
      </c>
      <c r="AI73" s="475">
        <f t="shared" si="165"/>
        <v>16393</v>
      </c>
      <c r="AJ73" s="476">
        <v>0</v>
      </c>
      <c r="AK73" s="476">
        <v>0</v>
      </c>
      <c r="AL73" s="476">
        <v>0</v>
      </c>
      <c r="AM73" s="476">
        <v>0</v>
      </c>
      <c r="AN73" s="476">
        <v>0.04</v>
      </c>
      <c r="AO73" s="476">
        <v>0</v>
      </c>
      <c r="AP73" s="476">
        <v>0</v>
      </c>
      <c r="AQ73" s="476">
        <v>0</v>
      </c>
      <c r="AR73" s="476">
        <f t="shared" si="166"/>
        <v>0</v>
      </c>
      <c r="AS73" s="476">
        <f t="shared" si="167"/>
        <v>0.04</v>
      </c>
      <c r="AT73" s="478">
        <f t="shared" si="168"/>
        <v>0.04</v>
      </c>
      <c r="AU73" s="484">
        <f t="shared" si="169"/>
        <v>1354209</v>
      </c>
      <c r="AV73" s="475">
        <f t="shared" si="170"/>
        <v>963272</v>
      </c>
      <c r="AW73" s="475">
        <f t="shared" si="171"/>
        <v>19250</v>
      </c>
      <c r="AX73" s="475">
        <f t="shared" si="172"/>
        <v>332092</v>
      </c>
      <c r="AY73" s="475">
        <f t="shared" si="172"/>
        <v>19265</v>
      </c>
      <c r="AZ73" s="475">
        <f t="shared" si="173"/>
        <v>20330</v>
      </c>
      <c r="BA73" s="476">
        <f t="shared" si="174"/>
        <v>3.1</v>
      </c>
      <c r="BB73" s="476">
        <f t="shared" si="175"/>
        <v>0</v>
      </c>
      <c r="BC73" s="478">
        <f t="shared" si="175"/>
        <v>3.1</v>
      </c>
    </row>
    <row r="74" spans="1:55" ht="12.95" customHeight="1" x14ac:dyDescent="0.25">
      <c r="A74" s="308">
        <v>14</v>
      </c>
      <c r="B74" s="225">
        <v>5457</v>
      </c>
      <c r="C74" s="225">
        <v>600099377</v>
      </c>
      <c r="D74" s="225">
        <v>855049</v>
      </c>
      <c r="E74" s="406" t="s">
        <v>506</v>
      </c>
      <c r="F74" s="225">
        <v>3143</v>
      </c>
      <c r="G74" s="351" t="s">
        <v>626</v>
      </c>
      <c r="H74" s="313" t="s">
        <v>277</v>
      </c>
      <c r="I74" s="477">
        <v>3320542</v>
      </c>
      <c r="J74" s="472">
        <v>2445171</v>
      </c>
      <c r="K74" s="472">
        <v>0</v>
      </c>
      <c r="L74" s="472">
        <v>826468</v>
      </c>
      <c r="M74" s="472">
        <v>48903</v>
      </c>
      <c r="N74" s="472">
        <v>0</v>
      </c>
      <c r="O74" s="473">
        <v>4.8873000000000006</v>
      </c>
      <c r="P74" s="474">
        <v>4.8873000000000006</v>
      </c>
      <c r="Q74" s="483">
        <v>0</v>
      </c>
      <c r="R74" s="485">
        <f t="shared" si="158"/>
        <v>0</v>
      </c>
      <c r="S74" s="475">
        <v>0</v>
      </c>
      <c r="T74" s="475">
        <v>64907</v>
      </c>
      <c r="U74" s="475">
        <v>0</v>
      </c>
      <c r="V74" s="475">
        <v>0</v>
      </c>
      <c r="W74" s="475">
        <v>0</v>
      </c>
      <c r="X74" s="475">
        <f t="shared" si="159"/>
        <v>64907</v>
      </c>
      <c r="Y74" s="475">
        <v>0</v>
      </c>
      <c r="Z74" s="475">
        <v>0</v>
      </c>
      <c r="AA74" s="475">
        <v>0</v>
      </c>
      <c r="AB74" s="475">
        <f t="shared" si="160"/>
        <v>0</v>
      </c>
      <c r="AC74" s="475">
        <f t="shared" si="161"/>
        <v>64907</v>
      </c>
      <c r="AD74" s="70">
        <f t="shared" si="162"/>
        <v>21939</v>
      </c>
      <c r="AE74" s="70">
        <f t="shared" si="163"/>
        <v>1298</v>
      </c>
      <c r="AF74" s="475">
        <v>0</v>
      </c>
      <c r="AG74" s="475">
        <v>0</v>
      </c>
      <c r="AH74" s="475">
        <f t="shared" si="164"/>
        <v>0</v>
      </c>
      <c r="AI74" s="475">
        <f t="shared" si="165"/>
        <v>88144</v>
      </c>
      <c r="AJ74" s="476">
        <v>0</v>
      </c>
      <c r="AK74" s="476">
        <v>0</v>
      </c>
      <c r="AL74" s="476">
        <v>0</v>
      </c>
      <c r="AM74" s="476">
        <v>0.13</v>
      </c>
      <c r="AN74" s="476">
        <v>0</v>
      </c>
      <c r="AO74" s="476">
        <v>0</v>
      </c>
      <c r="AP74" s="476">
        <v>0</v>
      </c>
      <c r="AQ74" s="476">
        <v>0</v>
      </c>
      <c r="AR74" s="476">
        <f t="shared" si="166"/>
        <v>0.13</v>
      </c>
      <c r="AS74" s="476">
        <f t="shared" si="167"/>
        <v>0</v>
      </c>
      <c r="AT74" s="478">
        <f t="shared" si="168"/>
        <v>0.13</v>
      </c>
      <c r="AU74" s="484">
        <f t="shared" si="169"/>
        <v>3408686</v>
      </c>
      <c r="AV74" s="475">
        <f t="shared" si="170"/>
        <v>2510078</v>
      </c>
      <c r="AW74" s="475">
        <f t="shared" si="171"/>
        <v>0</v>
      </c>
      <c r="AX74" s="475">
        <f t="shared" si="172"/>
        <v>848407</v>
      </c>
      <c r="AY74" s="475">
        <f t="shared" si="172"/>
        <v>50201</v>
      </c>
      <c r="AZ74" s="475">
        <f t="shared" si="173"/>
        <v>0</v>
      </c>
      <c r="BA74" s="476">
        <f t="shared" si="174"/>
        <v>5.0173000000000005</v>
      </c>
      <c r="BB74" s="476">
        <f t="shared" si="175"/>
        <v>5.0173000000000005</v>
      </c>
      <c r="BC74" s="478">
        <f t="shared" si="175"/>
        <v>0</v>
      </c>
    </row>
    <row r="75" spans="1:55" ht="12.95" customHeight="1" x14ac:dyDescent="0.25">
      <c r="A75" s="308">
        <v>14</v>
      </c>
      <c r="B75" s="225">
        <v>5457</v>
      </c>
      <c r="C75" s="225">
        <v>600099377</v>
      </c>
      <c r="D75" s="225">
        <v>855049</v>
      </c>
      <c r="E75" s="406" t="s">
        <v>506</v>
      </c>
      <c r="F75" s="225">
        <v>3143</v>
      </c>
      <c r="G75" s="351" t="s">
        <v>627</v>
      </c>
      <c r="H75" s="313" t="s">
        <v>278</v>
      </c>
      <c r="I75" s="477">
        <v>121715</v>
      </c>
      <c r="J75" s="472">
        <v>86072</v>
      </c>
      <c r="K75" s="472">
        <v>0</v>
      </c>
      <c r="L75" s="472">
        <v>29092</v>
      </c>
      <c r="M75" s="472">
        <v>1721</v>
      </c>
      <c r="N75" s="472">
        <v>4830</v>
      </c>
      <c r="O75" s="473">
        <v>0.34</v>
      </c>
      <c r="P75" s="474">
        <v>0</v>
      </c>
      <c r="Q75" s="483">
        <v>0.34</v>
      </c>
      <c r="R75" s="485">
        <f t="shared" si="158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59"/>
        <v>0</v>
      </c>
      <c r="Y75" s="475">
        <v>0</v>
      </c>
      <c r="Z75" s="475">
        <v>0</v>
      </c>
      <c r="AA75" s="475">
        <v>0</v>
      </c>
      <c r="AB75" s="475">
        <f t="shared" si="160"/>
        <v>0</v>
      </c>
      <c r="AC75" s="475">
        <f t="shared" si="161"/>
        <v>0</v>
      </c>
      <c r="AD75" s="70">
        <f t="shared" si="162"/>
        <v>0</v>
      </c>
      <c r="AE75" s="70">
        <f t="shared" si="163"/>
        <v>0</v>
      </c>
      <c r="AF75" s="475">
        <v>0</v>
      </c>
      <c r="AG75" s="475">
        <v>0</v>
      </c>
      <c r="AH75" s="475">
        <f t="shared" si="164"/>
        <v>0</v>
      </c>
      <c r="AI75" s="475">
        <f t="shared" si="165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si="166"/>
        <v>0</v>
      </c>
      <c r="AS75" s="476">
        <f t="shared" si="167"/>
        <v>0</v>
      </c>
      <c r="AT75" s="478">
        <f t="shared" si="168"/>
        <v>0</v>
      </c>
      <c r="AU75" s="484">
        <f t="shared" si="169"/>
        <v>121715</v>
      </c>
      <c r="AV75" s="475">
        <f t="shared" si="170"/>
        <v>86072</v>
      </c>
      <c r="AW75" s="475">
        <f t="shared" si="171"/>
        <v>0</v>
      </c>
      <c r="AX75" s="475">
        <f t="shared" si="172"/>
        <v>29092</v>
      </c>
      <c r="AY75" s="475">
        <f t="shared" si="172"/>
        <v>1721</v>
      </c>
      <c r="AZ75" s="475">
        <f t="shared" si="173"/>
        <v>4830</v>
      </c>
      <c r="BA75" s="476">
        <f t="shared" si="174"/>
        <v>0.34</v>
      </c>
      <c r="BB75" s="476">
        <f t="shared" si="175"/>
        <v>0</v>
      </c>
      <c r="BC75" s="478">
        <f t="shared" si="175"/>
        <v>0.34</v>
      </c>
    </row>
    <row r="76" spans="1:55" ht="12.95" customHeight="1" x14ac:dyDescent="0.25">
      <c r="A76" s="308">
        <v>14</v>
      </c>
      <c r="B76" s="225">
        <v>5457</v>
      </c>
      <c r="C76" s="225">
        <v>600099377</v>
      </c>
      <c r="D76" s="225">
        <v>855049</v>
      </c>
      <c r="E76" s="224" t="s">
        <v>506</v>
      </c>
      <c r="F76" s="225">
        <v>3143</v>
      </c>
      <c r="G76" s="351" t="s">
        <v>317</v>
      </c>
      <c r="H76" s="313" t="s">
        <v>278</v>
      </c>
      <c r="I76" s="477">
        <v>779842</v>
      </c>
      <c r="J76" s="472">
        <v>572490</v>
      </c>
      <c r="K76" s="472">
        <v>0</v>
      </c>
      <c r="L76" s="472">
        <v>193502</v>
      </c>
      <c r="M76" s="472">
        <v>11450</v>
      </c>
      <c r="N76" s="472">
        <v>2400</v>
      </c>
      <c r="O76" s="473">
        <v>1.29</v>
      </c>
      <c r="P76" s="474">
        <v>1.04</v>
      </c>
      <c r="Q76" s="483">
        <v>0.25</v>
      </c>
      <c r="R76" s="485">
        <f t="shared" si="158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59"/>
        <v>0</v>
      </c>
      <c r="Y76" s="475">
        <v>0</v>
      </c>
      <c r="Z76" s="475">
        <v>0</v>
      </c>
      <c r="AA76" s="475">
        <v>0</v>
      </c>
      <c r="AB76" s="475">
        <f t="shared" si="160"/>
        <v>0</v>
      </c>
      <c r="AC76" s="475">
        <f t="shared" si="161"/>
        <v>0</v>
      </c>
      <c r="AD76" s="70">
        <f t="shared" si="162"/>
        <v>0</v>
      </c>
      <c r="AE76" s="70">
        <f t="shared" si="163"/>
        <v>0</v>
      </c>
      <c r="AF76" s="475">
        <v>0</v>
      </c>
      <c r="AG76" s="475">
        <v>0</v>
      </c>
      <c r="AH76" s="475">
        <f t="shared" si="164"/>
        <v>0</v>
      </c>
      <c r="AI76" s="475">
        <f t="shared" si="165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si="166"/>
        <v>0</v>
      </c>
      <c r="AS76" s="476">
        <f t="shared" si="167"/>
        <v>0</v>
      </c>
      <c r="AT76" s="478">
        <f t="shared" si="168"/>
        <v>0</v>
      </c>
      <c r="AU76" s="484">
        <f t="shared" si="169"/>
        <v>779842</v>
      </c>
      <c r="AV76" s="475">
        <f t="shared" si="170"/>
        <v>572490</v>
      </c>
      <c r="AW76" s="475">
        <f t="shared" si="171"/>
        <v>0</v>
      </c>
      <c r="AX76" s="475">
        <f t="shared" si="172"/>
        <v>193502</v>
      </c>
      <c r="AY76" s="475">
        <f t="shared" si="172"/>
        <v>11450</v>
      </c>
      <c r="AZ76" s="475">
        <f t="shared" si="173"/>
        <v>2400</v>
      </c>
      <c r="BA76" s="476">
        <f t="shared" si="174"/>
        <v>1.29</v>
      </c>
      <c r="BB76" s="476">
        <f t="shared" si="175"/>
        <v>1.04</v>
      </c>
      <c r="BC76" s="478">
        <f t="shared" si="175"/>
        <v>0.25</v>
      </c>
    </row>
    <row r="77" spans="1:55" ht="12.95" customHeight="1" x14ac:dyDescent="0.25">
      <c r="A77" s="226">
        <v>14</v>
      </c>
      <c r="B77" s="49">
        <v>5457</v>
      </c>
      <c r="C77" s="49">
        <v>600099377</v>
      </c>
      <c r="D77" s="49">
        <v>855049</v>
      </c>
      <c r="E77" s="408" t="s">
        <v>507</v>
      </c>
      <c r="F77" s="49"/>
      <c r="G77" s="421"/>
      <c r="H77" s="193"/>
      <c r="I77" s="611">
        <v>47205605</v>
      </c>
      <c r="J77" s="607">
        <v>33918742</v>
      </c>
      <c r="K77" s="607">
        <v>123810</v>
      </c>
      <c r="L77" s="607">
        <v>11506382</v>
      </c>
      <c r="M77" s="607">
        <v>678375</v>
      </c>
      <c r="N77" s="607">
        <v>978296</v>
      </c>
      <c r="O77" s="608">
        <v>63.998900000000006</v>
      </c>
      <c r="P77" s="608">
        <v>50.485800000000005</v>
      </c>
      <c r="Q77" s="613">
        <v>13.513099999999998</v>
      </c>
      <c r="R77" s="611">
        <f t="shared" ref="R77:BC77" si="176">SUM(R71:R76)</f>
        <v>0</v>
      </c>
      <c r="S77" s="607">
        <f t="shared" si="176"/>
        <v>0</v>
      </c>
      <c r="T77" s="607">
        <f t="shared" si="176"/>
        <v>235295</v>
      </c>
      <c r="U77" s="607">
        <f t="shared" si="176"/>
        <v>0</v>
      </c>
      <c r="V77" s="607">
        <f t="shared" si="176"/>
        <v>0</v>
      </c>
      <c r="W77" s="607">
        <f t="shared" si="176"/>
        <v>0</v>
      </c>
      <c r="X77" s="607">
        <f t="shared" si="176"/>
        <v>235295</v>
      </c>
      <c r="Y77" s="607">
        <f t="shared" si="176"/>
        <v>0</v>
      </c>
      <c r="Z77" s="607">
        <f t="shared" si="176"/>
        <v>0</v>
      </c>
      <c r="AA77" s="607">
        <f t="shared" si="176"/>
        <v>0</v>
      </c>
      <c r="AB77" s="607">
        <f t="shared" si="176"/>
        <v>0</v>
      </c>
      <c r="AC77" s="607">
        <f t="shared" si="176"/>
        <v>235295</v>
      </c>
      <c r="AD77" s="607">
        <f t="shared" si="176"/>
        <v>79530</v>
      </c>
      <c r="AE77" s="607">
        <f t="shared" si="176"/>
        <v>4705</v>
      </c>
      <c r="AF77" s="607">
        <f t="shared" si="176"/>
        <v>4500</v>
      </c>
      <c r="AG77" s="607">
        <f t="shared" si="176"/>
        <v>0</v>
      </c>
      <c r="AH77" s="607">
        <f t="shared" si="176"/>
        <v>4500</v>
      </c>
      <c r="AI77" s="607">
        <f t="shared" si="176"/>
        <v>324030</v>
      </c>
      <c r="AJ77" s="608">
        <f t="shared" si="176"/>
        <v>0</v>
      </c>
      <c r="AK77" s="608">
        <f t="shared" si="176"/>
        <v>0</v>
      </c>
      <c r="AL77" s="608">
        <f t="shared" si="176"/>
        <v>0</v>
      </c>
      <c r="AM77" s="608">
        <f t="shared" si="176"/>
        <v>0.38</v>
      </c>
      <c r="AN77" s="608">
        <f t="shared" si="176"/>
        <v>0.04</v>
      </c>
      <c r="AO77" s="608">
        <f t="shared" si="176"/>
        <v>0</v>
      </c>
      <c r="AP77" s="608">
        <f t="shared" si="176"/>
        <v>0</v>
      </c>
      <c r="AQ77" s="608">
        <f t="shared" si="176"/>
        <v>0</v>
      </c>
      <c r="AR77" s="608">
        <f t="shared" si="176"/>
        <v>0.38</v>
      </c>
      <c r="AS77" s="608">
        <f t="shared" si="176"/>
        <v>0.04</v>
      </c>
      <c r="AT77" s="409">
        <f t="shared" si="176"/>
        <v>0.42</v>
      </c>
      <c r="AU77" s="615">
        <f t="shared" si="176"/>
        <v>47529635</v>
      </c>
      <c r="AV77" s="607">
        <f t="shared" si="176"/>
        <v>34154037</v>
      </c>
      <c r="AW77" s="607">
        <f t="shared" si="176"/>
        <v>123810</v>
      </c>
      <c r="AX77" s="607">
        <f t="shared" si="176"/>
        <v>11585912</v>
      </c>
      <c r="AY77" s="607">
        <f t="shared" si="176"/>
        <v>683080</v>
      </c>
      <c r="AZ77" s="607">
        <f t="shared" si="176"/>
        <v>982796</v>
      </c>
      <c r="BA77" s="608">
        <f t="shared" si="176"/>
        <v>64.418900000000008</v>
      </c>
      <c r="BB77" s="608">
        <f t="shared" si="176"/>
        <v>50.8658</v>
      </c>
      <c r="BC77" s="409">
        <f t="shared" si="176"/>
        <v>13.553099999999997</v>
      </c>
    </row>
    <row r="78" spans="1:55" ht="12.95" customHeight="1" x14ac:dyDescent="0.25">
      <c r="A78" s="308">
        <v>15</v>
      </c>
      <c r="B78" s="225">
        <v>5459</v>
      </c>
      <c r="C78" s="225">
        <v>600099415</v>
      </c>
      <c r="D78" s="225">
        <v>70946086</v>
      </c>
      <c r="E78" s="406" t="s">
        <v>508</v>
      </c>
      <c r="F78" s="225">
        <v>3231</v>
      </c>
      <c r="G78" s="406" t="s">
        <v>508</v>
      </c>
      <c r="H78" s="313" t="s">
        <v>277</v>
      </c>
      <c r="I78" s="477">
        <v>21917587</v>
      </c>
      <c r="J78" s="472">
        <v>16088639</v>
      </c>
      <c r="K78" s="472">
        <v>0</v>
      </c>
      <c r="L78" s="472">
        <v>5437960</v>
      </c>
      <c r="M78" s="472">
        <v>321773</v>
      </c>
      <c r="N78" s="472">
        <v>69215</v>
      </c>
      <c r="O78" s="473">
        <v>29.881300000000003</v>
      </c>
      <c r="P78" s="474">
        <v>26.548200000000001</v>
      </c>
      <c r="Q78" s="483">
        <v>3.3331</v>
      </c>
      <c r="R78" s="485">
        <f t="shared" ref="R78" si="177">Y78*-1</f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ref="AB78" si="178">SUM(Y78:AA78)</f>
        <v>0</v>
      </c>
      <c r="AC78" s="475">
        <f t="shared" ref="AC78" si="179">X78+AB78</f>
        <v>0</v>
      </c>
      <c r="AD78" s="70">
        <f t="shared" ref="AD78" si="180">ROUND((X78+Y78+Z78)*33.8%,0)</f>
        <v>0</v>
      </c>
      <c r="AE78" s="70">
        <f t="shared" ref="AE78" si="181">ROUND(X78*2%,0)</f>
        <v>0</v>
      </c>
      <c r="AF78" s="475">
        <v>0</v>
      </c>
      <c r="AG78" s="475">
        <v>0</v>
      </c>
      <c r="AH78" s="475">
        <f t="shared" ref="AH78" si="182">SUM(AF78:AG78)</f>
        <v>0</v>
      </c>
      <c r="AI78" s="475">
        <f t="shared" ref="AI78" si="183">AC78+AD78+AE78+AH78</f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ref="AT78" si="184">SUM(AR78:AS78)</f>
        <v>0</v>
      </c>
      <c r="AU78" s="484">
        <f>I78+AI78</f>
        <v>21917587</v>
      </c>
      <c r="AV78" s="475">
        <f>J78+X78</f>
        <v>16088639</v>
      </c>
      <c r="AW78" s="475">
        <f>K78+AB78</f>
        <v>0</v>
      </c>
      <c r="AX78" s="475">
        <f>L78+AD78</f>
        <v>5437960</v>
      </c>
      <c r="AY78" s="475">
        <f>M78+AE78</f>
        <v>321773</v>
      </c>
      <c r="AZ78" s="475">
        <f>N78+AH78</f>
        <v>69215</v>
      </c>
      <c r="BA78" s="476">
        <f>O78+AT78</f>
        <v>29.881300000000003</v>
      </c>
      <c r="BB78" s="476">
        <f>P78+AR78</f>
        <v>26.548200000000001</v>
      </c>
      <c r="BC78" s="478">
        <f>Q78+AS78</f>
        <v>3.3331</v>
      </c>
    </row>
    <row r="79" spans="1:55" ht="12.95" customHeight="1" x14ac:dyDescent="0.25">
      <c r="A79" s="226">
        <v>15</v>
      </c>
      <c r="B79" s="46">
        <v>5459</v>
      </c>
      <c r="C79" s="46">
        <v>600099415</v>
      </c>
      <c r="D79" s="46">
        <v>70946086</v>
      </c>
      <c r="E79" s="408" t="s">
        <v>509</v>
      </c>
      <c r="F79" s="46"/>
      <c r="G79" s="408"/>
      <c r="H79" s="190"/>
      <c r="I79" s="560">
        <v>21917587</v>
      </c>
      <c r="J79" s="556">
        <v>16088639</v>
      </c>
      <c r="K79" s="556">
        <v>0</v>
      </c>
      <c r="L79" s="556">
        <v>5437960</v>
      </c>
      <c r="M79" s="556">
        <v>321773</v>
      </c>
      <c r="N79" s="556">
        <v>69215</v>
      </c>
      <c r="O79" s="557">
        <v>29.881300000000003</v>
      </c>
      <c r="P79" s="557">
        <v>26.548200000000001</v>
      </c>
      <c r="Q79" s="562">
        <v>3.3331</v>
      </c>
      <c r="R79" s="560">
        <f t="shared" ref="R79:BC79" si="185">SUM(R78)</f>
        <v>0</v>
      </c>
      <c r="S79" s="556">
        <f t="shared" si="185"/>
        <v>0</v>
      </c>
      <c r="T79" s="556">
        <f t="shared" si="185"/>
        <v>0</v>
      </c>
      <c r="U79" s="556">
        <f t="shared" si="185"/>
        <v>0</v>
      </c>
      <c r="V79" s="556">
        <f t="shared" si="185"/>
        <v>0</v>
      </c>
      <c r="W79" s="556">
        <f t="shared" si="185"/>
        <v>0</v>
      </c>
      <c r="X79" s="556">
        <f t="shared" si="185"/>
        <v>0</v>
      </c>
      <c r="Y79" s="556">
        <f t="shared" si="185"/>
        <v>0</v>
      </c>
      <c r="Z79" s="556">
        <f t="shared" si="185"/>
        <v>0</v>
      </c>
      <c r="AA79" s="556">
        <f t="shared" si="185"/>
        <v>0</v>
      </c>
      <c r="AB79" s="556">
        <f t="shared" si="185"/>
        <v>0</v>
      </c>
      <c r="AC79" s="556">
        <f t="shared" si="185"/>
        <v>0</v>
      </c>
      <c r="AD79" s="556">
        <f t="shared" si="185"/>
        <v>0</v>
      </c>
      <c r="AE79" s="556">
        <f t="shared" si="185"/>
        <v>0</v>
      </c>
      <c r="AF79" s="556">
        <f t="shared" si="185"/>
        <v>0</v>
      </c>
      <c r="AG79" s="556">
        <f t="shared" si="185"/>
        <v>0</v>
      </c>
      <c r="AH79" s="556">
        <f t="shared" si="185"/>
        <v>0</v>
      </c>
      <c r="AI79" s="556">
        <f t="shared" si="185"/>
        <v>0</v>
      </c>
      <c r="AJ79" s="557">
        <f t="shared" si="185"/>
        <v>0</v>
      </c>
      <c r="AK79" s="557">
        <f t="shared" si="185"/>
        <v>0</v>
      </c>
      <c r="AL79" s="557">
        <f t="shared" si="185"/>
        <v>0</v>
      </c>
      <c r="AM79" s="557">
        <f t="shared" si="185"/>
        <v>0</v>
      </c>
      <c r="AN79" s="557">
        <f t="shared" si="185"/>
        <v>0</v>
      </c>
      <c r="AO79" s="557">
        <f t="shared" si="185"/>
        <v>0</v>
      </c>
      <c r="AP79" s="557">
        <f t="shared" si="185"/>
        <v>0</v>
      </c>
      <c r="AQ79" s="557">
        <f t="shared" si="185"/>
        <v>0</v>
      </c>
      <c r="AR79" s="557">
        <f t="shared" si="185"/>
        <v>0</v>
      </c>
      <c r="AS79" s="557">
        <f t="shared" si="185"/>
        <v>0</v>
      </c>
      <c r="AT79" s="307">
        <f t="shared" si="185"/>
        <v>0</v>
      </c>
      <c r="AU79" s="564">
        <f t="shared" si="185"/>
        <v>21917587</v>
      </c>
      <c r="AV79" s="556">
        <f t="shared" si="185"/>
        <v>16088639</v>
      </c>
      <c r="AW79" s="556">
        <f t="shared" si="185"/>
        <v>0</v>
      </c>
      <c r="AX79" s="556">
        <f t="shared" si="185"/>
        <v>5437960</v>
      </c>
      <c r="AY79" s="556">
        <f t="shared" si="185"/>
        <v>321773</v>
      </c>
      <c r="AZ79" s="556">
        <f t="shared" si="185"/>
        <v>69215</v>
      </c>
      <c r="BA79" s="557">
        <f t="shared" si="185"/>
        <v>29.881300000000003</v>
      </c>
      <c r="BB79" s="557">
        <f t="shared" si="185"/>
        <v>26.548200000000001</v>
      </c>
      <c r="BC79" s="307">
        <f t="shared" si="185"/>
        <v>3.3331</v>
      </c>
    </row>
    <row r="80" spans="1:55" ht="12.95" customHeight="1" x14ac:dyDescent="0.25">
      <c r="A80" s="308">
        <v>16</v>
      </c>
      <c r="B80" s="410">
        <v>5482</v>
      </c>
      <c r="C80" s="410">
        <v>600098982</v>
      </c>
      <c r="D80" s="410">
        <v>71006923</v>
      </c>
      <c r="E80" s="406" t="s">
        <v>510</v>
      </c>
      <c r="F80" s="225">
        <v>3111</v>
      </c>
      <c r="G80" s="407" t="s">
        <v>325</v>
      </c>
      <c r="H80" s="313" t="s">
        <v>277</v>
      </c>
      <c r="I80" s="477">
        <v>1636138</v>
      </c>
      <c r="J80" s="472">
        <v>1195536</v>
      </c>
      <c r="K80" s="472">
        <v>0</v>
      </c>
      <c r="L80" s="472">
        <v>404091</v>
      </c>
      <c r="M80" s="472">
        <v>23911</v>
      </c>
      <c r="N80" s="472">
        <v>12600</v>
      </c>
      <c r="O80" s="473">
        <v>2.5108999999999999</v>
      </c>
      <c r="P80" s="474">
        <v>2</v>
      </c>
      <c r="Q80" s="483">
        <v>0.51090000000000002</v>
      </c>
      <c r="R80" s="485">
        <f t="shared" ref="R80:R85" si="186">Y80*-1</f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ref="X80:X85" si="187">SUM(R80:W80)</f>
        <v>0</v>
      </c>
      <c r="Y80" s="475">
        <v>0</v>
      </c>
      <c r="Z80" s="475">
        <v>0</v>
      </c>
      <c r="AA80" s="475">
        <v>0</v>
      </c>
      <c r="AB80" s="475">
        <f t="shared" ref="AB80:AB85" si="188">SUM(Y80:AA80)</f>
        <v>0</v>
      </c>
      <c r="AC80" s="475">
        <f t="shared" ref="AC80:AC85" si="189">X80+AB80</f>
        <v>0</v>
      </c>
      <c r="AD80" s="70">
        <f t="shared" ref="AD80:AD85" si="190">ROUND((X80+Y80+Z80)*33.8%,0)</f>
        <v>0</v>
      </c>
      <c r="AE80" s="70">
        <f t="shared" ref="AE80:AE85" si="191">ROUND(X80*2%,0)</f>
        <v>0</v>
      </c>
      <c r="AF80" s="475">
        <v>0</v>
      </c>
      <c r="AG80" s="475">
        <v>0</v>
      </c>
      <c r="AH80" s="475">
        <f t="shared" ref="AH80:AH85" si="192">SUM(AF80:AG80)</f>
        <v>0</v>
      </c>
      <c r="AI80" s="475">
        <f t="shared" ref="AI80:AI85" si="193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ref="AR80:AR85" si="194">AJ80+AL80+AM80+AO80+AP80</f>
        <v>0</v>
      </c>
      <c r="AS80" s="476">
        <f t="shared" ref="AS80:AS85" si="195">AK80+AN80+AQ80</f>
        <v>0</v>
      </c>
      <c r="AT80" s="478">
        <f t="shared" ref="AT80:AT85" si="196">SUM(AR80:AS80)</f>
        <v>0</v>
      </c>
      <c r="AU80" s="484">
        <f t="shared" ref="AU80:AU85" si="197">I80+AI80</f>
        <v>1636138</v>
      </c>
      <c r="AV80" s="475">
        <f t="shared" ref="AV80:AV85" si="198">J80+X80</f>
        <v>1195536</v>
      </c>
      <c r="AW80" s="475">
        <f t="shared" ref="AW80:AW85" si="199">K80+AB80</f>
        <v>0</v>
      </c>
      <c r="AX80" s="475">
        <f t="shared" ref="AX80:AY85" si="200">L80+AD80</f>
        <v>404091</v>
      </c>
      <c r="AY80" s="475">
        <f t="shared" si="200"/>
        <v>23911</v>
      </c>
      <c r="AZ80" s="475">
        <f t="shared" ref="AZ80:AZ85" si="201">N80+AH80</f>
        <v>12600</v>
      </c>
      <c r="BA80" s="476">
        <f t="shared" ref="BA80:BA85" si="202">O80+AT80</f>
        <v>2.5108999999999999</v>
      </c>
      <c r="BB80" s="476">
        <f t="shared" ref="BB80:BC85" si="203">P80+AR80</f>
        <v>2</v>
      </c>
      <c r="BC80" s="478">
        <f t="shared" si="203"/>
        <v>0.51090000000000002</v>
      </c>
    </row>
    <row r="81" spans="1:55" ht="12.95" customHeight="1" x14ac:dyDescent="0.25">
      <c r="A81" s="308">
        <v>16</v>
      </c>
      <c r="B81" s="225">
        <v>5482</v>
      </c>
      <c r="C81" s="225">
        <v>600098982</v>
      </c>
      <c r="D81" s="225">
        <v>71006923</v>
      </c>
      <c r="E81" s="406" t="s">
        <v>510</v>
      </c>
      <c r="F81" s="225">
        <v>3117</v>
      </c>
      <c r="G81" s="406" t="s">
        <v>329</v>
      </c>
      <c r="H81" s="313" t="s">
        <v>277</v>
      </c>
      <c r="I81" s="477">
        <v>3740606</v>
      </c>
      <c r="J81" s="472">
        <v>2704129</v>
      </c>
      <c r="K81" s="472">
        <v>0</v>
      </c>
      <c r="L81" s="472">
        <v>913995</v>
      </c>
      <c r="M81" s="472">
        <v>54082</v>
      </c>
      <c r="N81" s="472">
        <v>68400</v>
      </c>
      <c r="O81" s="473">
        <v>4.8199000000000005</v>
      </c>
      <c r="P81" s="474">
        <v>3.3635999999999999</v>
      </c>
      <c r="Q81" s="483">
        <v>1.4563000000000001</v>
      </c>
      <c r="R81" s="485">
        <f t="shared" si="186"/>
        <v>0</v>
      </c>
      <c r="S81" s="475">
        <v>0</v>
      </c>
      <c r="T81" s="475">
        <v>187333</v>
      </c>
      <c r="U81" s="475">
        <v>0</v>
      </c>
      <c r="V81" s="475">
        <v>0</v>
      </c>
      <c r="W81" s="475">
        <v>0</v>
      </c>
      <c r="X81" s="475">
        <f t="shared" si="187"/>
        <v>187333</v>
      </c>
      <c r="Y81" s="475">
        <v>0</v>
      </c>
      <c r="Z81" s="475">
        <v>0</v>
      </c>
      <c r="AA81" s="475">
        <v>0</v>
      </c>
      <c r="AB81" s="475">
        <f t="shared" si="188"/>
        <v>0</v>
      </c>
      <c r="AC81" s="475">
        <f t="shared" si="189"/>
        <v>187333</v>
      </c>
      <c r="AD81" s="70">
        <f t="shared" si="190"/>
        <v>63319</v>
      </c>
      <c r="AE81" s="70">
        <f t="shared" si="191"/>
        <v>3747</v>
      </c>
      <c r="AF81" s="475">
        <v>0</v>
      </c>
      <c r="AG81" s="475">
        <v>0</v>
      </c>
      <c r="AH81" s="475">
        <f t="shared" si="192"/>
        <v>0</v>
      </c>
      <c r="AI81" s="475">
        <f t="shared" si="193"/>
        <v>254399</v>
      </c>
      <c r="AJ81" s="476">
        <v>0</v>
      </c>
      <c r="AK81" s="476">
        <v>0</v>
      </c>
      <c r="AL81" s="476">
        <v>0</v>
      </c>
      <c r="AM81" s="476">
        <v>0.35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194"/>
        <v>0.35</v>
      </c>
      <c r="AS81" s="476">
        <f t="shared" si="195"/>
        <v>0</v>
      </c>
      <c r="AT81" s="478">
        <f t="shared" si="196"/>
        <v>0.35</v>
      </c>
      <c r="AU81" s="484">
        <f t="shared" si="197"/>
        <v>3995005</v>
      </c>
      <c r="AV81" s="475">
        <f t="shared" si="198"/>
        <v>2891462</v>
      </c>
      <c r="AW81" s="475">
        <f t="shared" si="199"/>
        <v>0</v>
      </c>
      <c r="AX81" s="475">
        <f t="shared" si="200"/>
        <v>977314</v>
      </c>
      <c r="AY81" s="475">
        <f t="shared" si="200"/>
        <v>57829</v>
      </c>
      <c r="AZ81" s="475">
        <f t="shared" si="201"/>
        <v>68400</v>
      </c>
      <c r="BA81" s="476">
        <f t="shared" si="202"/>
        <v>5.1699000000000002</v>
      </c>
      <c r="BB81" s="476">
        <f t="shared" si="203"/>
        <v>3.7136</v>
      </c>
      <c r="BC81" s="478">
        <f t="shared" si="203"/>
        <v>1.4563000000000001</v>
      </c>
    </row>
    <row r="82" spans="1:55" ht="12.95" customHeight="1" x14ac:dyDescent="0.25">
      <c r="A82" s="308">
        <v>16</v>
      </c>
      <c r="B82" s="225">
        <v>5482</v>
      </c>
      <c r="C82" s="225">
        <v>600098982</v>
      </c>
      <c r="D82" s="225">
        <v>71006923</v>
      </c>
      <c r="E82" s="406" t="s">
        <v>510</v>
      </c>
      <c r="F82" s="225">
        <v>3117</v>
      </c>
      <c r="G82" s="351" t="s">
        <v>312</v>
      </c>
      <c r="H82" s="313" t="s">
        <v>278</v>
      </c>
      <c r="I82" s="477">
        <v>0</v>
      </c>
      <c r="J82" s="472">
        <v>0</v>
      </c>
      <c r="K82" s="472">
        <v>0</v>
      </c>
      <c r="L82" s="472">
        <v>0</v>
      </c>
      <c r="M82" s="472">
        <v>0</v>
      </c>
      <c r="N82" s="472">
        <v>0</v>
      </c>
      <c r="O82" s="473">
        <v>0</v>
      </c>
      <c r="P82" s="474">
        <v>0</v>
      </c>
      <c r="Q82" s="483">
        <v>0</v>
      </c>
      <c r="R82" s="485">
        <f t="shared" si="186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87"/>
        <v>0</v>
      </c>
      <c r="Y82" s="475">
        <v>0</v>
      </c>
      <c r="Z82" s="475">
        <v>0</v>
      </c>
      <c r="AA82" s="475">
        <v>0</v>
      </c>
      <c r="AB82" s="475">
        <f t="shared" si="188"/>
        <v>0</v>
      </c>
      <c r="AC82" s="475">
        <f t="shared" si="189"/>
        <v>0</v>
      </c>
      <c r="AD82" s="70">
        <f t="shared" si="190"/>
        <v>0</v>
      </c>
      <c r="AE82" s="70">
        <f t="shared" si="191"/>
        <v>0</v>
      </c>
      <c r="AF82" s="475">
        <v>0</v>
      </c>
      <c r="AG82" s="475">
        <v>0</v>
      </c>
      <c r="AH82" s="475">
        <f t="shared" si="192"/>
        <v>0</v>
      </c>
      <c r="AI82" s="475">
        <f t="shared" si="193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94"/>
        <v>0</v>
      </c>
      <c r="AS82" s="476">
        <f t="shared" si="195"/>
        <v>0</v>
      </c>
      <c r="AT82" s="478">
        <f t="shared" si="196"/>
        <v>0</v>
      </c>
      <c r="AU82" s="484">
        <f t="shared" si="197"/>
        <v>0</v>
      </c>
      <c r="AV82" s="475">
        <f t="shared" si="198"/>
        <v>0</v>
      </c>
      <c r="AW82" s="475">
        <f t="shared" si="199"/>
        <v>0</v>
      </c>
      <c r="AX82" s="475">
        <f t="shared" si="200"/>
        <v>0</v>
      </c>
      <c r="AY82" s="475">
        <f t="shared" si="200"/>
        <v>0</v>
      </c>
      <c r="AZ82" s="475">
        <f t="shared" si="201"/>
        <v>0</v>
      </c>
      <c r="BA82" s="476">
        <f t="shared" si="202"/>
        <v>0</v>
      </c>
      <c r="BB82" s="476">
        <f t="shared" si="203"/>
        <v>0</v>
      </c>
      <c r="BC82" s="478">
        <f t="shared" si="203"/>
        <v>0</v>
      </c>
    </row>
    <row r="83" spans="1:55" ht="12.95" customHeight="1" x14ac:dyDescent="0.25">
      <c r="A83" s="308">
        <v>16</v>
      </c>
      <c r="B83" s="410">
        <v>5482</v>
      </c>
      <c r="C83" s="410">
        <v>600098982</v>
      </c>
      <c r="D83" s="410">
        <v>71006923</v>
      </c>
      <c r="E83" s="406" t="s">
        <v>510</v>
      </c>
      <c r="F83" s="225">
        <v>3141</v>
      </c>
      <c r="G83" s="407" t="s">
        <v>315</v>
      </c>
      <c r="H83" s="313" t="s">
        <v>278</v>
      </c>
      <c r="I83" s="477">
        <v>903369</v>
      </c>
      <c r="J83" s="472">
        <v>662316</v>
      </c>
      <c r="K83" s="472">
        <v>0</v>
      </c>
      <c r="L83" s="472">
        <v>223863</v>
      </c>
      <c r="M83" s="472">
        <v>13246</v>
      </c>
      <c r="N83" s="472">
        <v>3944</v>
      </c>
      <c r="O83" s="473">
        <v>2.09</v>
      </c>
      <c r="P83" s="474">
        <v>0</v>
      </c>
      <c r="Q83" s="483">
        <v>2.09</v>
      </c>
      <c r="R83" s="485">
        <f t="shared" si="186"/>
        <v>0</v>
      </c>
      <c r="S83" s="475">
        <v>0</v>
      </c>
      <c r="T83" s="475">
        <v>15229</v>
      </c>
      <c r="U83" s="475">
        <v>0</v>
      </c>
      <c r="V83" s="475">
        <v>0</v>
      </c>
      <c r="W83" s="475">
        <v>0</v>
      </c>
      <c r="X83" s="475">
        <f t="shared" si="187"/>
        <v>15229</v>
      </c>
      <c r="Y83" s="475">
        <v>0</v>
      </c>
      <c r="Z83" s="475">
        <v>0</v>
      </c>
      <c r="AA83" s="475">
        <v>0</v>
      </c>
      <c r="AB83" s="475">
        <f t="shared" si="188"/>
        <v>0</v>
      </c>
      <c r="AC83" s="475">
        <f t="shared" si="189"/>
        <v>15229</v>
      </c>
      <c r="AD83" s="70">
        <f t="shared" si="190"/>
        <v>5147</v>
      </c>
      <c r="AE83" s="70">
        <f t="shared" si="191"/>
        <v>305</v>
      </c>
      <c r="AF83" s="475">
        <v>0</v>
      </c>
      <c r="AG83" s="475">
        <v>0</v>
      </c>
      <c r="AH83" s="475">
        <f t="shared" si="192"/>
        <v>0</v>
      </c>
      <c r="AI83" s="475">
        <f t="shared" si="193"/>
        <v>20681</v>
      </c>
      <c r="AJ83" s="476">
        <v>0</v>
      </c>
      <c r="AK83" s="476">
        <v>0</v>
      </c>
      <c r="AL83" s="476">
        <v>0</v>
      </c>
      <c r="AM83" s="476">
        <v>0</v>
      </c>
      <c r="AN83" s="476">
        <v>0.04</v>
      </c>
      <c r="AO83" s="476">
        <v>0</v>
      </c>
      <c r="AP83" s="476">
        <v>0</v>
      </c>
      <c r="AQ83" s="476">
        <v>0</v>
      </c>
      <c r="AR83" s="476">
        <f t="shared" si="194"/>
        <v>0</v>
      </c>
      <c r="AS83" s="476">
        <f t="shared" si="195"/>
        <v>0.04</v>
      </c>
      <c r="AT83" s="478">
        <f t="shared" si="196"/>
        <v>0.04</v>
      </c>
      <c r="AU83" s="484">
        <f t="shared" si="197"/>
        <v>924050</v>
      </c>
      <c r="AV83" s="475">
        <f t="shared" si="198"/>
        <v>677545</v>
      </c>
      <c r="AW83" s="475">
        <f t="shared" si="199"/>
        <v>0</v>
      </c>
      <c r="AX83" s="475">
        <f t="shared" si="200"/>
        <v>229010</v>
      </c>
      <c r="AY83" s="475">
        <f t="shared" si="200"/>
        <v>13551</v>
      </c>
      <c r="AZ83" s="475">
        <f t="shared" si="201"/>
        <v>3944</v>
      </c>
      <c r="BA83" s="476">
        <f t="shared" si="202"/>
        <v>2.13</v>
      </c>
      <c r="BB83" s="476">
        <f t="shared" si="203"/>
        <v>0</v>
      </c>
      <c r="BC83" s="478">
        <f t="shared" si="203"/>
        <v>2.13</v>
      </c>
    </row>
    <row r="84" spans="1:55" ht="12.95" customHeight="1" x14ac:dyDescent="0.25">
      <c r="A84" s="308">
        <v>16</v>
      </c>
      <c r="B84" s="225">
        <v>5482</v>
      </c>
      <c r="C84" s="225">
        <v>600098982</v>
      </c>
      <c r="D84" s="225">
        <v>71006923</v>
      </c>
      <c r="E84" s="406" t="s">
        <v>510</v>
      </c>
      <c r="F84" s="225">
        <v>3143</v>
      </c>
      <c r="G84" s="351" t="s">
        <v>626</v>
      </c>
      <c r="H84" s="313" t="s">
        <v>277</v>
      </c>
      <c r="I84" s="477">
        <v>580323</v>
      </c>
      <c r="J84" s="472">
        <v>427336</v>
      </c>
      <c r="K84" s="472">
        <v>0</v>
      </c>
      <c r="L84" s="472">
        <v>144440</v>
      </c>
      <c r="M84" s="472">
        <v>8547</v>
      </c>
      <c r="N84" s="472">
        <v>0</v>
      </c>
      <c r="O84" s="473">
        <v>0.78569999999999995</v>
      </c>
      <c r="P84" s="474">
        <v>0.78569999999999995</v>
      </c>
      <c r="Q84" s="483">
        <v>0</v>
      </c>
      <c r="R84" s="485">
        <f t="shared" si="186"/>
        <v>0</v>
      </c>
      <c r="S84" s="475">
        <v>0</v>
      </c>
      <c r="T84" s="475">
        <v>174045</v>
      </c>
      <c r="U84" s="475">
        <v>0</v>
      </c>
      <c r="V84" s="475">
        <v>0</v>
      </c>
      <c r="W84" s="475">
        <v>0</v>
      </c>
      <c r="X84" s="475">
        <f t="shared" si="187"/>
        <v>174045</v>
      </c>
      <c r="Y84" s="475">
        <v>0</v>
      </c>
      <c r="Z84" s="475">
        <v>0</v>
      </c>
      <c r="AA84" s="475">
        <v>0</v>
      </c>
      <c r="AB84" s="475">
        <f t="shared" si="188"/>
        <v>0</v>
      </c>
      <c r="AC84" s="475">
        <f t="shared" si="189"/>
        <v>174045</v>
      </c>
      <c r="AD84" s="70">
        <f t="shared" si="190"/>
        <v>58827</v>
      </c>
      <c r="AE84" s="70">
        <f t="shared" si="191"/>
        <v>3481</v>
      </c>
      <c r="AF84" s="475">
        <v>0</v>
      </c>
      <c r="AG84" s="475">
        <v>0</v>
      </c>
      <c r="AH84" s="475">
        <f t="shared" si="192"/>
        <v>0</v>
      </c>
      <c r="AI84" s="475">
        <f t="shared" si="193"/>
        <v>236353</v>
      </c>
      <c r="AJ84" s="476">
        <v>0</v>
      </c>
      <c r="AK84" s="476">
        <v>0</v>
      </c>
      <c r="AL84" s="476">
        <v>0</v>
      </c>
      <c r="AM84" s="476">
        <v>0.32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194"/>
        <v>0.32</v>
      </c>
      <c r="AS84" s="476">
        <f t="shared" si="195"/>
        <v>0</v>
      </c>
      <c r="AT84" s="478">
        <f t="shared" si="196"/>
        <v>0.32</v>
      </c>
      <c r="AU84" s="484">
        <f t="shared" si="197"/>
        <v>816676</v>
      </c>
      <c r="AV84" s="475">
        <f t="shared" si="198"/>
        <v>601381</v>
      </c>
      <c r="AW84" s="475">
        <f t="shared" si="199"/>
        <v>0</v>
      </c>
      <c r="AX84" s="475">
        <f t="shared" si="200"/>
        <v>203267</v>
      </c>
      <c r="AY84" s="475">
        <f t="shared" si="200"/>
        <v>12028</v>
      </c>
      <c r="AZ84" s="475">
        <f t="shared" si="201"/>
        <v>0</v>
      </c>
      <c r="BA84" s="476">
        <f t="shared" si="202"/>
        <v>1.1056999999999999</v>
      </c>
      <c r="BB84" s="476">
        <f t="shared" si="203"/>
        <v>1.1056999999999999</v>
      </c>
      <c r="BC84" s="478">
        <f t="shared" si="203"/>
        <v>0</v>
      </c>
    </row>
    <row r="85" spans="1:55" ht="12.95" customHeight="1" x14ac:dyDescent="0.25">
      <c r="A85" s="308">
        <v>16</v>
      </c>
      <c r="B85" s="225">
        <v>5482</v>
      </c>
      <c r="C85" s="225">
        <v>600098982</v>
      </c>
      <c r="D85" s="225">
        <v>71006923</v>
      </c>
      <c r="E85" s="406" t="s">
        <v>510</v>
      </c>
      <c r="F85" s="225">
        <v>3143</v>
      </c>
      <c r="G85" s="351" t="s">
        <v>627</v>
      </c>
      <c r="H85" s="313" t="s">
        <v>278</v>
      </c>
      <c r="I85" s="477">
        <v>22680</v>
      </c>
      <c r="J85" s="472">
        <v>16038</v>
      </c>
      <c r="K85" s="472">
        <v>0</v>
      </c>
      <c r="L85" s="472">
        <v>5421</v>
      </c>
      <c r="M85" s="472">
        <v>321</v>
      </c>
      <c r="N85" s="472">
        <v>900</v>
      </c>
      <c r="O85" s="473">
        <v>0.06</v>
      </c>
      <c r="P85" s="474">
        <v>0</v>
      </c>
      <c r="Q85" s="483">
        <v>0.06</v>
      </c>
      <c r="R85" s="485">
        <f t="shared" si="186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87"/>
        <v>0</v>
      </c>
      <c r="Y85" s="475">
        <v>0</v>
      </c>
      <c r="Z85" s="475">
        <v>0</v>
      </c>
      <c r="AA85" s="475">
        <v>0</v>
      </c>
      <c r="AB85" s="475">
        <f t="shared" si="188"/>
        <v>0</v>
      </c>
      <c r="AC85" s="475">
        <f t="shared" si="189"/>
        <v>0</v>
      </c>
      <c r="AD85" s="70">
        <f t="shared" si="190"/>
        <v>0</v>
      </c>
      <c r="AE85" s="70">
        <f t="shared" si="191"/>
        <v>0</v>
      </c>
      <c r="AF85" s="475">
        <v>0</v>
      </c>
      <c r="AG85" s="475">
        <v>0</v>
      </c>
      <c r="AH85" s="475">
        <f t="shared" si="192"/>
        <v>0</v>
      </c>
      <c r="AI85" s="475">
        <f t="shared" si="193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 t="shared" si="194"/>
        <v>0</v>
      </c>
      <c r="AS85" s="476">
        <f t="shared" si="195"/>
        <v>0</v>
      </c>
      <c r="AT85" s="478">
        <f t="shared" si="196"/>
        <v>0</v>
      </c>
      <c r="AU85" s="484">
        <f t="shared" si="197"/>
        <v>22680</v>
      </c>
      <c r="AV85" s="475">
        <f t="shared" si="198"/>
        <v>16038</v>
      </c>
      <c r="AW85" s="475">
        <f t="shared" si="199"/>
        <v>0</v>
      </c>
      <c r="AX85" s="475">
        <f t="shared" si="200"/>
        <v>5421</v>
      </c>
      <c r="AY85" s="475">
        <f t="shared" si="200"/>
        <v>321</v>
      </c>
      <c r="AZ85" s="475">
        <f t="shared" si="201"/>
        <v>900</v>
      </c>
      <c r="BA85" s="476">
        <f t="shared" si="202"/>
        <v>0.06</v>
      </c>
      <c r="BB85" s="476">
        <f t="shared" si="203"/>
        <v>0</v>
      </c>
      <c r="BC85" s="478">
        <f t="shared" si="203"/>
        <v>0.06</v>
      </c>
    </row>
    <row r="86" spans="1:55" ht="12.95" customHeight="1" x14ac:dyDescent="0.25">
      <c r="A86" s="226">
        <v>16</v>
      </c>
      <c r="B86" s="46">
        <v>5482</v>
      </c>
      <c r="C86" s="46">
        <v>600098982</v>
      </c>
      <c r="D86" s="46">
        <v>71006923</v>
      </c>
      <c r="E86" s="408" t="s">
        <v>511</v>
      </c>
      <c r="F86" s="46"/>
      <c r="G86" s="408"/>
      <c r="H86" s="190"/>
      <c r="I86" s="560">
        <v>6883116</v>
      </c>
      <c r="J86" s="556">
        <v>5005355</v>
      </c>
      <c r="K86" s="556">
        <v>0</v>
      </c>
      <c r="L86" s="556">
        <v>1691810</v>
      </c>
      <c r="M86" s="556">
        <v>100107</v>
      </c>
      <c r="N86" s="556">
        <v>85844</v>
      </c>
      <c r="O86" s="557">
        <v>10.266500000000001</v>
      </c>
      <c r="P86" s="557">
        <v>6.1493000000000002</v>
      </c>
      <c r="Q86" s="562">
        <v>4.1171999999999995</v>
      </c>
      <c r="R86" s="560">
        <f t="shared" ref="R86:BC86" si="204">SUM(R80:R85)</f>
        <v>0</v>
      </c>
      <c r="S86" s="556">
        <f t="shared" si="204"/>
        <v>0</v>
      </c>
      <c r="T86" s="556">
        <f t="shared" si="204"/>
        <v>376607</v>
      </c>
      <c r="U86" s="556">
        <f t="shared" si="204"/>
        <v>0</v>
      </c>
      <c r="V86" s="556">
        <f t="shared" si="204"/>
        <v>0</v>
      </c>
      <c r="W86" s="556">
        <f t="shared" si="204"/>
        <v>0</v>
      </c>
      <c r="X86" s="556">
        <f t="shared" si="204"/>
        <v>376607</v>
      </c>
      <c r="Y86" s="556">
        <f t="shared" si="204"/>
        <v>0</v>
      </c>
      <c r="Z86" s="556">
        <f t="shared" si="204"/>
        <v>0</v>
      </c>
      <c r="AA86" s="556">
        <f t="shared" si="204"/>
        <v>0</v>
      </c>
      <c r="AB86" s="556">
        <f t="shared" si="204"/>
        <v>0</v>
      </c>
      <c r="AC86" s="556">
        <f t="shared" si="204"/>
        <v>376607</v>
      </c>
      <c r="AD86" s="556">
        <f t="shared" si="204"/>
        <v>127293</v>
      </c>
      <c r="AE86" s="556">
        <f t="shared" si="204"/>
        <v>7533</v>
      </c>
      <c r="AF86" s="556">
        <f t="shared" si="204"/>
        <v>0</v>
      </c>
      <c r="AG86" s="556">
        <f t="shared" si="204"/>
        <v>0</v>
      </c>
      <c r="AH86" s="556">
        <f t="shared" si="204"/>
        <v>0</v>
      </c>
      <c r="AI86" s="556">
        <f t="shared" si="204"/>
        <v>511433</v>
      </c>
      <c r="AJ86" s="557">
        <f t="shared" si="204"/>
        <v>0</v>
      </c>
      <c r="AK86" s="557">
        <f t="shared" si="204"/>
        <v>0</v>
      </c>
      <c r="AL86" s="557">
        <f t="shared" si="204"/>
        <v>0</v>
      </c>
      <c r="AM86" s="557">
        <f t="shared" si="204"/>
        <v>0.66999999999999993</v>
      </c>
      <c r="AN86" s="557">
        <f t="shared" si="204"/>
        <v>0.04</v>
      </c>
      <c r="AO86" s="557">
        <f t="shared" si="204"/>
        <v>0</v>
      </c>
      <c r="AP86" s="557">
        <f t="shared" si="204"/>
        <v>0</v>
      </c>
      <c r="AQ86" s="557">
        <f t="shared" si="204"/>
        <v>0</v>
      </c>
      <c r="AR86" s="557">
        <f t="shared" si="204"/>
        <v>0.66999999999999993</v>
      </c>
      <c r="AS86" s="557">
        <f t="shared" si="204"/>
        <v>0.04</v>
      </c>
      <c r="AT86" s="307">
        <f t="shared" si="204"/>
        <v>0.71</v>
      </c>
      <c r="AU86" s="564">
        <f t="shared" si="204"/>
        <v>7394549</v>
      </c>
      <c r="AV86" s="556">
        <f t="shared" si="204"/>
        <v>5381962</v>
      </c>
      <c r="AW86" s="556">
        <f t="shared" si="204"/>
        <v>0</v>
      </c>
      <c r="AX86" s="556">
        <f t="shared" si="204"/>
        <v>1819103</v>
      </c>
      <c r="AY86" s="556">
        <f t="shared" si="204"/>
        <v>107640</v>
      </c>
      <c r="AZ86" s="556">
        <f t="shared" si="204"/>
        <v>85844</v>
      </c>
      <c r="BA86" s="557">
        <f t="shared" si="204"/>
        <v>10.976500000000001</v>
      </c>
      <c r="BB86" s="557">
        <f t="shared" si="204"/>
        <v>6.8192999999999993</v>
      </c>
      <c r="BC86" s="307">
        <f t="shared" si="204"/>
        <v>4.1571999999999996</v>
      </c>
    </row>
    <row r="87" spans="1:55" ht="12.95" customHeight="1" x14ac:dyDescent="0.25">
      <c r="A87" s="308">
        <v>17</v>
      </c>
      <c r="B87" s="415">
        <v>3421</v>
      </c>
      <c r="C87" s="415">
        <v>600077985</v>
      </c>
      <c r="D87" s="309">
        <v>72741651</v>
      </c>
      <c r="E87" s="414" t="s">
        <v>512</v>
      </c>
      <c r="F87" s="415">
        <v>3111</v>
      </c>
      <c r="G87" s="407" t="s">
        <v>325</v>
      </c>
      <c r="H87" s="313" t="s">
        <v>277</v>
      </c>
      <c r="I87" s="477">
        <v>6270076</v>
      </c>
      <c r="J87" s="472">
        <v>4478406</v>
      </c>
      <c r="K87" s="472">
        <v>100000</v>
      </c>
      <c r="L87" s="472">
        <v>1547501</v>
      </c>
      <c r="M87" s="472">
        <v>89568</v>
      </c>
      <c r="N87" s="472">
        <v>54601</v>
      </c>
      <c r="O87" s="473">
        <v>10.578199999999999</v>
      </c>
      <c r="P87" s="474">
        <v>7.7100000000000009</v>
      </c>
      <c r="Q87" s="483">
        <v>2.8682000000000003</v>
      </c>
      <c r="R87" s="485">
        <f t="shared" ref="R87:R89" si="205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>SUM(R87:W87)</f>
        <v>0</v>
      </c>
      <c r="Y87" s="475">
        <v>0</v>
      </c>
      <c r="Z87" s="475">
        <v>0</v>
      </c>
      <c r="AA87" s="475">
        <v>0</v>
      </c>
      <c r="AB87" s="475">
        <f t="shared" ref="AB87:AB89" si="206">SUM(Y87:AA87)</f>
        <v>0</v>
      </c>
      <c r="AC87" s="475">
        <f t="shared" ref="AC87:AC89" si="207">X87+AB87</f>
        <v>0</v>
      </c>
      <c r="AD87" s="70">
        <f t="shared" ref="AD87:AD89" si="208">ROUND((X87+Y87+Z87)*33.8%,0)</f>
        <v>0</v>
      </c>
      <c r="AE87" s="70">
        <f t="shared" ref="AE87:AE89" si="209">ROUND(X87*2%,0)</f>
        <v>0</v>
      </c>
      <c r="AF87" s="475">
        <v>0</v>
      </c>
      <c r="AG87" s="475">
        <v>0</v>
      </c>
      <c r="AH87" s="475">
        <f t="shared" ref="AH87:AH89" si="210">SUM(AF87:AG87)</f>
        <v>0</v>
      </c>
      <c r="AI87" s="475">
        <f t="shared" ref="AI87:AI89" si="211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ref="AT87:AT89" si="212">SUM(AR87:AS87)</f>
        <v>0</v>
      </c>
      <c r="AU87" s="484">
        <f>I87+AI87</f>
        <v>6270076</v>
      </c>
      <c r="AV87" s="475">
        <f>J87+X87</f>
        <v>4478406</v>
      </c>
      <c r="AW87" s="475">
        <f t="shared" ref="AW87:AW89" si="213">K87+AB87</f>
        <v>100000</v>
      </c>
      <c r="AX87" s="475">
        <f t="shared" ref="AX87:AY89" si="214">L87+AD87</f>
        <v>1547501</v>
      </c>
      <c r="AY87" s="475">
        <f t="shared" si="214"/>
        <v>89568</v>
      </c>
      <c r="AZ87" s="475">
        <f>N87+AH87</f>
        <v>54601</v>
      </c>
      <c r="BA87" s="476">
        <f>O87+AT87</f>
        <v>10.578199999999999</v>
      </c>
      <c r="BB87" s="476">
        <f t="shared" ref="BB87:BC89" si="215">P87+AR87</f>
        <v>7.7100000000000009</v>
      </c>
      <c r="BC87" s="478">
        <f t="shared" si="215"/>
        <v>2.8682000000000003</v>
      </c>
    </row>
    <row r="88" spans="1:55" ht="12.95" customHeight="1" x14ac:dyDescent="0.25">
      <c r="A88" s="308">
        <v>17</v>
      </c>
      <c r="B88" s="225">
        <v>3421</v>
      </c>
      <c r="C88" s="225">
        <v>600077985</v>
      </c>
      <c r="D88" s="309">
        <v>72741651</v>
      </c>
      <c r="E88" s="224" t="s">
        <v>512</v>
      </c>
      <c r="F88" s="415">
        <v>3111</v>
      </c>
      <c r="G88" s="351" t="s">
        <v>312</v>
      </c>
      <c r="H88" s="313" t="s">
        <v>278</v>
      </c>
      <c r="I88" s="477">
        <v>78413</v>
      </c>
      <c r="J88" s="472">
        <v>57741</v>
      </c>
      <c r="K88" s="472">
        <v>0</v>
      </c>
      <c r="L88" s="472">
        <v>19517</v>
      </c>
      <c r="M88" s="472">
        <v>1155</v>
      </c>
      <c r="N88" s="472">
        <v>0</v>
      </c>
      <c r="O88" s="473">
        <v>0.16999999999999998</v>
      </c>
      <c r="P88" s="474">
        <v>0.16999999999999998</v>
      </c>
      <c r="Q88" s="483">
        <v>0</v>
      </c>
      <c r="R88" s="485">
        <f t="shared" si="205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si="206"/>
        <v>0</v>
      </c>
      <c r="AC88" s="475">
        <f t="shared" si="207"/>
        <v>0</v>
      </c>
      <c r="AD88" s="70">
        <f t="shared" si="208"/>
        <v>0</v>
      </c>
      <c r="AE88" s="70">
        <f t="shared" si="209"/>
        <v>0</v>
      </c>
      <c r="AF88" s="475">
        <v>0</v>
      </c>
      <c r="AG88" s="475">
        <v>0</v>
      </c>
      <c r="AH88" s="475">
        <f t="shared" si="210"/>
        <v>0</v>
      </c>
      <c r="AI88" s="475">
        <f t="shared" si="211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si="212"/>
        <v>0</v>
      </c>
      <c r="AU88" s="484">
        <f>I88+AI88</f>
        <v>78413</v>
      </c>
      <c r="AV88" s="475">
        <f>J88+X88</f>
        <v>57741</v>
      </c>
      <c r="AW88" s="475">
        <f t="shared" si="213"/>
        <v>0</v>
      </c>
      <c r="AX88" s="475">
        <f t="shared" si="214"/>
        <v>19517</v>
      </c>
      <c r="AY88" s="475">
        <f t="shared" si="214"/>
        <v>1155</v>
      </c>
      <c r="AZ88" s="475">
        <f>N88+AH88</f>
        <v>0</v>
      </c>
      <c r="BA88" s="476">
        <f>O88+AT88</f>
        <v>0.16999999999999998</v>
      </c>
      <c r="BB88" s="476">
        <f t="shared" si="215"/>
        <v>0.16999999999999998</v>
      </c>
      <c r="BC88" s="478">
        <f t="shared" si="215"/>
        <v>0</v>
      </c>
    </row>
    <row r="89" spans="1:55" ht="12.95" customHeight="1" x14ac:dyDescent="0.25">
      <c r="A89" s="308">
        <v>17</v>
      </c>
      <c r="B89" s="225">
        <v>3421</v>
      </c>
      <c r="C89" s="225">
        <v>600077985</v>
      </c>
      <c r="D89" s="309">
        <v>72741651</v>
      </c>
      <c r="E89" s="224" t="s">
        <v>512</v>
      </c>
      <c r="F89" s="225">
        <v>3141</v>
      </c>
      <c r="G89" s="407" t="s">
        <v>315</v>
      </c>
      <c r="H89" s="313" t="s">
        <v>278</v>
      </c>
      <c r="I89" s="477">
        <v>1009860</v>
      </c>
      <c r="J89" s="472">
        <v>739879</v>
      </c>
      <c r="K89" s="472">
        <v>0</v>
      </c>
      <c r="L89" s="472">
        <v>250079</v>
      </c>
      <c r="M89" s="472">
        <v>14798</v>
      </c>
      <c r="N89" s="472">
        <v>5104</v>
      </c>
      <c r="O89" s="473">
        <v>2.33</v>
      </c>
      <c r="P89" s="474">
        <v>0</v>
      </c>
      <c r="Q89" s="483">
        <v>2.33</v>
      </c>
      <c r="R89" s="485">
        <f t="shared" si="205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206"/>
        <v>0</v>
      </c>
      <c r="AC89" s="475">
        <f t="shared" si="207"/>
        <v>0</v>
      </c>
      <c r="AD89" s="70">
        <f t="shared" si="208"/>
        <v>0</v>
      </c>
      <c r="AE89" s="70">
        <f t="shared" si="209"/>
        <v>0</v>
      </c>
      <c r="AF89" s="475">
        <v>0</v>
      </c>
      <c r="AG89" s="475">
        <v>0</v>
      </c>
      <c r="AH89" s="475">
        <f t="shared" si="210"/>
        <v>0</v>
      </c>
      <c r="AI89" s="475">
        <f t="shared" si="211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212"/>
        <v>0</v>
      </c>
      <c r="AU89" s="484">
        <f>I89+AI89</f>
        <v>1009860</v>
      </c>
      <c r="AV89" s="475">
        <f>J89+X89</f>
        <v>739879</v>
      </c>
      <c r="AW89" s="475">
        <f t="shared" si="213"/>
        <v>0</v>
      </c>
      <c r="AX89" s="475">
        <f t="shared" si="214"/>
        <v>250079</v>
      </c>
      <c r="AY89" s="475">
        <f t="shared" si="214"/>
        <v>14798</v>
      </c>
      <c r="AZ89" s="475">
        <f>N89+AH89</f>
        <v>5104</v>
      </c>
      <c r="BA89" s="476">
        <f>O89+AT89</f>
        <v>2.33</v>
      </c>
      <c r="BB89" s="476">
        <f t="shared" si="215"/>
        <v>0</v>
      </c>
      <c r="BC89" s="478">
        <f t="shared" si="215"/>
        <v>2.33</v>
      </c>
    </row>
    <row r="90" spans="1:55" ht="12.95" customHeight="1" x14ac:dyDescent="0.25">
      <c r="A90" s="226">
        <v>17</v>
      </c>
      <c r="B90" s="47">
        <v>3421</v>
      </c>
      <c r="C90" s="47">
        <v>600077985</v>
      </c>
      <c r="D90" s="49">
        <v>72741651</v>
      </c>
      <c r="E90" s="408" t="s">
        <v>513</v>
      </c>
      <c r="F90" s="49"/>
      <c r="G90" s="421"/>
      <c r="H90" s="193"/>
      <c r="I90" s="592">
        <v>7358349</v>
      </c>
      <c r="J90" s="590">
        <v>5276026</v>
      </c>
      <c r="K90" s="590">
        <v>100000</v>
      </c>
      <c r="L90" s="590">
        <v>1817097</v>
      </c>
      <c r="M90" s="590">
        <v>105521</v>
      </c>
      <c r="N90" s="590">
        <v>59705</v>
      </c>
      <c r="O90" s="591">
        <v>13.078199999999999</v>
      </c>
      <c r="P90" s="591">
        <v>7.8800000000000008</v>
      </c>
      <c r="Q90" s="593">
        <v>5.1981999999999999</v>
      </c>
      <c r="R90" s="592">
        <f t="shared" ref="R90:BC90" si="216">SUM(R87:R89)</f>
        <v>0</v>
      </c>
      <c r="S90" s="590">
        <f t="shared" si="216"/>
        <v>0</v>
      </c>
      <c r="T90" s="590">
        <f t="shared" si="216"/>
        <v>0</v>
      </c>
      <c r="U90" s="590">
        <f t="shared" si="216"/>
        <v>0</v>
      </c>
      <c r="V90" s="590">
        <f t="shared" si="216"/>
        <v>0</v>
      </c>
      <c r="W90" s="590">
        <f t="shared" si="216"/>
        <v>0</v>
      </c>
      <c r="X90" s="590">
        <f t="shared" si="216"/>
        <v>0</v>
      </c>
      <c r="Y90" s="590">
        <f t="shared" si="216"/>
        <v>0</v>
      </c>
      <c r="Z90" s="590">
        <f t="shared" si="216"/>
        <v>0</v>
      </c>
      <c r="AA90" s="590">
        <f t="shared" si="216"/>
        <v>0</v>
      </c>
      <c r="AB90" s="590">
        <f t="shared" si="216"/>
        <v>0</v>
      </c>
      <c r="AC90" s="590">
        <f t="shared" si="216"/>
        <v>0</v>
      </c>
      <c r="AD90" s="590">
        <f t="shared" si="216"/>
        <v>0</v>
      </c>
      <c r="AE90" s="590">
        <f t="shared" si="216"/>
        <v>0</v>
      </c>
      <c r="AF90" s="590">
        <f t="shared" si="216"/>
        <v>0</v>
      </c>
      <c r="AG90" s="590">
        <f t="shared" si="216"/>
        <v>0</v>
      </c>
      <c r="AH90" s="590">
        <f t="shared" si="216"/>
        <v>0</v>
      </c>
      <c r="AI90" s="590">
        <f t="shared" si="216"/>
        <v>0</v>
      </c>
      <c r="AJ90" s="591">
        <f t="shared" si="216"/>
        <v>0</v>
      </c>
      <c r="AK90" s="591">
        <f t="shared" si="216"/>
        <v>0</v>
      </c>
      <c r="AL90" s="591">
        <f t="shared" si="216"/>
        <v>0</v>
      </c>
      <c r="AM90" s="591">
        <f t="shared" si="216"/>
        <v>0</v>
      </c>
      <c r="AN90" s="591">
        <f t="shared" si="216"/>
        <v>0</v>
      </c>
      <c r="AO90" s="591">
        <f t="shared" si="216"/>
        <v>0</v>
      </c>
      <c r="AP90" s="591">
        <f t="shared" si="216"/>
        <v>0</v>
      </c>
      <c r="AQ90" s="591">
        <f t="shared" si="216"/>
        <v>0</v>
      </c>
      <c r="AR90" s="591">
        <f t="shared" si="216"/>
        <v>0</v>
      </c>
      <c r="AS90" s="591">
        <f t="shared" si="216"/>
        <v>0</v>
      </c>
      <c r="AT90" s="381">
        <f t="shared" si="216"/>
        <v>0</v>
      </c>
      <c r="AU90" s="594">
        <f t="shared" si="216"/>
        <v>7358349</v>
      </c>
      <c r="AV90" s="590">
        <f t="shared" si="216"/>
        <v>5276026</v>
      </c>
      <c r="AW90" s="590">
        <f t="shared" si="216"/>
        <v>100000</v>
      </c>
      <c r="AX90" s="590">
        <f t="shared" si="216"/>
        <v>1817097</v>
      </c>
      <c r="AY90" s="590">
        <f t="shared" si="216"/>
        <v>105521</v>
      </c>
      <c r="AZ90" s="590">
        <f t="shared" si="216"/>
        <v>59705</v>
      </c>
      <c r="BA90" s="591">
        <f t="shared" si="216"/>
        <v>13.078199999999999</v>
      </c>
      <c r="BB90" s="591">
        <f t="shared" si="216"/>
        <v>7.8800000000000008</v>
      </c>
      <c r="BC90" s="381">
        <f t="shared" si="216"/>
        <v>5.1981999999999999</v>
      </c>
    </row>
    <row r="91" spans="1:55" ht="12.95" customHeight="1" x14ac:dyDescent="0.25">
      <c r="A91" s="308">
        <v>18</v>
      </c>
      <c r="B91" s="225">
        <v>3420</v>
      </c>
      <c r="C91" s="225">
        <v>600078442</v>
      </c>
      <c r="D91" s="309">
        <v>72741571</v>
      </c>
      <c r="E91" s="406" t="s">
        <v>514</v>
      </c>
      <c r="F91" s="225">
        <v>3113</v>
      </c>
      <c r="G91" s="406" t="s">
        <v>329</v>
      </c>
      <c r="H91" s="313" t="s">
        <v>277</v>
      </c>
      <c r="I91" s="477">
        <v>14715803</v>
      </c>
      <c r="J91" s="472">
        <v>10527815</v>
      </c>
      <c r="K91" s="472">
        <v>75000</v>
      </c>
      <c r="L91" s="472">
        <v>3583752</v>
      </c>
      <c r="M91" s="472">
        <v>210556</v>
      </c>
      <c r="N91" s="472">
        <v>318680</v>
      </c>
      <c r="O91" s="473">
        <v>19.805900000000001</v>
      </c>
      <c r="P91" s="474">
        <v>14.508199999999999</v>
      </c>
      <c r="Q91" s="483">
        <v>5.2977000000000007</v>
      </c>
      <c r="R91" s="485">
        <f t="shared" ref="R91:R95" si="217">Y91*-1</f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ref="AB91:AB95" si="218">SUM(Y91:AA91)</f>
        <v>0</v>
      </c>
      <c r="AC91" s="475">
        <f t="shared" ref="AC91:AC95" si="219">X91+AB91</f>
        <v>0</v>
      </c>
      <c r="AD91" s="70">
        <f t="shared" ref="AD91:AD95" si="220">ROUND((X91+Y91+Z91)*33.8%,0)</f>
        <v>0</v>
      </c>
      <c r="AE91" s="70">
        <f t="shared" ref="AE91:AE95" si="221">ROUND(X91*2%,0)</f>
        <v>0</v>
      </c>
      <c r="AF91" s="475">
        <v>0</v>
      </c>
      <c r="AG91" s="475">
        <v>0</v>
      </c>
      <c r="AH91" s="475">
        <f t="shared" ref="AH91:AH95" si="222">SUM(AF91:AG91)</f>
        <v>0</v>
      </c>
      <c r="AI91" s="475">
        <f t="shared" ref="AI91:AI95" si="223">AC91+AD91+AE91+AH91</f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ref="AT91:AT95" si="224">SUM(AR91:AS91)</f>
        <v>0</v>
      </c>
      <c r="AU91" s="484">
        <f>I91+AI91</f>
        <v>14715803</v>
      </c>
      <c r="AV91" s="475">
        <f>J91+X91</f>
        <v>10527815</v>
      </c>
      <c r="AW91" s="475">
        <f t="shared" ref="AW91:AW95" si="225">K91+AB91</f>
        <v>75000</v>
      </c>
      <c r="AX91" s="475">
        <f t="shared" ref="AX91:AY95" si="226">L91+AD91</f>
        <v>3583752</v>
      </c>
      <c r="AY91" s="475">
        <f t="shared" si="226"/>
        <v>210556</v>
      </c>
      <c r="AZ91" s="475">
        <f>N91+AH91</f>
        <v>318680</v>
      </c>
      <c r="BA91" s="476">
        <f>O91+AT91</f>
        <v>19.805900000000001</v>
      </c>
      <c r="BB91" s="476">
        <f t="shared" ref="BB91:BC95" si="227">P91+AR91</f>
        <v>14.508199999999999</v>
      </c>
      <c r="BC91" s="478">
        <f t="shared" si="227"/>
        <v>5.2977000000000007</v>
      </c>
    </row>
    <row r="92" spans="1:55" ht="12.95" customHeight="1" x14ac:dyDescent="0.25">
      <c r="A92" s="308">
        <v>18</v>
      </c>
      <c r="B92" s="410">
        <v>3420</v>
      </c>
      <c r="C92" s="410">
        <v>600078442</v>
      </c>
      <c r="D92" s="309">
        <v>72741571</v>
      </c>
      <c r="E92" s="406" t="s">
        <v>514</v>
      </c>
      <c r="F92" s="225">
        <v>3113</v>
      </c>
      <c r="G92" s="351" t="s">
        <v>312</v>
      </c>
      <c r="H92" s="313" t="s">
        <v>278</v>
      </c>
      <c r="I92" s="477">
        <v>1063560</v>
      </c>
      <c r="J92" s="472">
        <v>779499</v>
      </c>
      <c r="K92" s="472">
        <v>0</v>
      </c>
      <c r="L92" s="472">
        <v>263471</v>
      </c>
      <c r="M92" s="472">
        <v>15590</v>
      </c>
      <c r="N92" s="472">
        <v>5000</v>
      </c>
      <c r="O92" s="473">
        <v>2.25</v>
      </c>
      <c r="P92" s="474">
        <v>2.25</v>
      </c>
      <c r="Q92" s="483">
        <v>0</v>
      </c>
      <c r="R92" s="485">
        <f t="shared" si="217"/>
        <v>0</v>
      </c>
      <c r="S92" s="475">
        <v>-57741</v>
      </c>
      <c r="T92" s="475">
        <v>0</v>
      </c>
      <c r="U92" s="475">
        <v>0</v>
      </c>
      <c r="V92" s="475">
        <v>0</v>
      </c>
      <c r="W92" s="475">
        <v>0</v>
      </c>
      <c r="X92" s="475">
        <f>SUM(R92:W92)</f>
        <v>-57741</v>
      </c>
      <c r="Y92" s="475">
        <v>0</v>
      </c>
      <c r="Z92" s="475">
        <v>0</v>
      </c>
      <c r="AA92" s="475">
        <v>0</v>
      </c>
      <c r="AB92" s="475">
        <f t="shared" si="218"/>
        <v>0</v>
      </c>
      <c r="AC92" s="475">
        <f t="shared" si="219"/>
        <v>-57741</v>
      </c>
      <c r="AD92" s="70">
        <f t="shared" si="220"/>
        <v>-19516</v>
      </c>
      <c r="AE92" s="70">
        <f t="shared" si="221"/>
        <v>-1155</v>
      </c>
      <c r="AF92" s="475">
        <v>0</v>
      </c>
      <c r="AG92" s="475">
        <v>0</v>
      </c>
      <c r="AH92" s="475">
        <f t="shared" si="222"/>
        <v>0</v>
      </c>
      <c r="AI92" s="475">
        <f t="shared" si="223"/>
        <v>-78412</v>
      </c>
      <c r="AJ92" s="476">
        <v>0</v>
      </c>
      <c r="AK92" s="476">
        <v>0</v>
      </c>
      <c r="AL92" s="476">
        <v>-0.17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>AJ92+AL92+AM92+AO92+AP92</f>
        <v>-0.17</v>
      </c>
      <c r="AS92" s="476">
        <f>AK92+AN92+AQ92</f>
        <v>0</v>
      </c>
      <c r="AT92" s="478">
        <f t="shared" si="224"/>
        <v>-0.17</v>
      </c>
      <c r="AU92" s="484">
        <f>I92+AI92</f>
        <v>985148</v>
      </c>
      <c r="AV92" s="475">
        <f>J92+X92</f>
        <v>721758</v>
      </c>
      <c r="AW92" s="475">
        <f t="shared" si="225"/>
        <v>0</v>
      </c>
      <c r="AX92" s="475">
        <f t="shared" si="226"/>
        <v>243955</v>
      </c>
      <c r="AY92" s="475">
        <f t="shared" si="226"/>
        <v>14435</v>
      </c>
      <c r="AZ92" s="475">
        <f>N92+AH92</f>
        <v>5000</v>
      </c>
      <c r="BA92" s="476">
        <f>O92+AT92</f>
        <v>2.08</v>
      </c>
      <c r="BB92" s="476">
        <f t="shared" si="227"/>
        <v>2.08</v>
      </c>
      <c r="BC92" s="478">
        <f t="shared" si="227"/>
        <v>0</v>
      </c>
    </row>
    <row r="93" spans="1:55" ht="12.95" customHeight="1" x14ac:dyDescent="0.25">
      <c r="A93" s="308">
        <v>18</v>
      </c>
      <c r="B93" s="225">
        <v>3420</v>
      </c>
      <c r="C93" s="225">
        <v>600078442</v>
      </c>
      <c r="D93" s="309">
        <v>72741571</v>
      </c>
      <c r="E93" s="224" t="s">
        <v>514</v>
      </c>
      <c r="F93" s="225">
        <v>3141</v>
      </c>
      <c r="G93" s="407" t="s">
        <v>315</v>
      </c>
      <c r="H93" s="313" t="s">
        <v>278</v>
      </c>
      <c r="I93" s="477">
        <v>1448617</v>
      </c>
      <c r="J93" s="472">
        <v>1058656</v>
      </c>
      <c r="K93" s="472">
        <v>0</v>
      </c>
      <c r="L93" s="472">
        <v>357826</v>
      </c>
      <c r="M93" s="472">
        <v>21173</v>
      </c>
      <c r="N93" s="472">
        <v>10962</v>
      </c>
      <c r="O93" s="473">
        <v>3.33</v>
      </c>
      <c r="P93" s="474">
        <v>0</v>
      </c>
      <c r="Q93" s="483">
        <v>3.33</v>
      </c>
      <c r="R93" s="485">
        <f t="shared" si="217"/>
        <v>0</v>
      </c>
      <c r="S93" s="475">
        <v>0</v>
      </c>
      <c r="T93" s="475">
        <v>7329</v>
      </c>
      <c r="U93" s="475">
        <v>0</v>
      </c>
      <c r="V93" s="475">
        <v>0</v>
      </c>
      <c r="W93" s="475">
        <v>0</v>
      </c>
      <c r="X93" s="475">
        <f>SUM(R93:W93)</f>
        <v>7329</v>
      </c>
      <c r="Y93" s="475">
        <v>0</v>
      </c>
      <c r="Z93" s="475">
        <v>0</v>
      </c>
      <c r="AA93" s="475">
        <v>0</v>
      </c>
      <c r="AB93" s="475">
        <f t="shared" si="218"/>
        <v>0</v>
      </c>
      <c r="AC93" s="475">
        <f t="shared" si="219"/>
        <v>7329</v>
      </c>
      <c r="AD93" s="70">
        <f t="shared" si="220"/>
        <v>2477</v>
      </c>
      <c r="AE93" s="70">
        <f t="shared" si="221"/>
        <v>147</v>
      </c>
      <c r="AF93" s="475">
        <v>0</v>
      </c>
      <c r="AG93" s="475">
        <v>0</v>
      </c>
      <c r="AH93" s="475">
        <f t="shared" si="222"/>
        <v>0</v>
      </c>
      <c r="AI93" s="475">
        <f t="shared" si="223"/>
        <v>9953</v>
      </c>
      <c r="AJ93" s="476">
        <v>0</v>
      </c>
      <c r="AK93" s="476">
        <v>0</v>
      </c>
      <c r="AL93" s="476">
        <v>0</v>
      </c>
      <c r="AM93" s="476">
        <v>0</v>
      </c>
      <c r="AN93" s="476">
        <v>0.02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0.02</v>
      </c>
      <c r="AT93" s="478">
        <f t="shared" si="224"/>
        <v>0.02</v>
      </c>
      <c r="AU93" s="484">
        <f>I93+AI93</f>
        <v>1458570</v>
      </c>
      <c r="AV93" s="475">
        <f>J93+X93</f>
        <v>1065985</v>
      </c>
      <c r="AW93" s="475">
        <f t="shared" si="225"/>
        <v>0</v>
      </c>
      <c r="AX93" s="475">
        <f t="shared" si="226"/>
        <v>360303</v>
      </c>
      <c r="AY93" s="475">
        <f t="shared" si="226"/>
        <v>21320</v>
      </c>
      <c r="AZ93" s="475">
        <f>N93+AH93</f>
        <v>10962</v>
      </c>
      <c r="BA93" s="476">
        <f>O93+AT93</f>
        <v>3.35</v>
      </c>
      <c r="BB93" s="476">
        <f t="shared" si="227"/>
        <v>0</v>
      </c>
      <c r="BC93" s="478">
        <f t="shared" si="227"/>
        <v>3.35</v>
      </c>
    </row>
    <row r="94" spans="1:55" ht="12.95" customHeight="1" x14ac:dyDescent="0.25">
      <c r="A94" s="308">
        <v>18</v>
      </c>
      <c r="B94" s="410">
        <v>3420</v>
      </c>
      <c r="C94" s="410">
        <v>600078442</v>
      </c>
      <c r="D94" s="309">
        <v>72741571</v>
      </c>
      <c r="E94" s="406" t="s">
        <v>514</v>
      </c>
      <c r="F94" s="225">
        <v>3143</v>
      </c>
      <c r="G94" s="351" t="s">
        <v>626</v>
      </c>
      <c r="H94" s="313" t="s">
        <v>277</v>
      </c>
      <c r="I94" s="477">
        <v>942365</v>
      </c>
      <c r="J94" s="472">
        <v>693936</v>
      </c>
      <c r="K94" s="472">
        <v>0</v>
      </c>
      <c r="L94" s="472">
        <v>234550</v>
      </c>
      <c r="M94" s="472">
        <v>13879</v>
      </c>
      <c r="N94" s="472">
        <v>0</v>
      </c>
      <c r="O94" s="473">
        <v>1.5</v>
      </c>
      <c r="P94" s="474">
        <v>1.5</v>
      </c>
      <c r="Q94" s="483">
        <v>0</v>
      </c>
      <c r="R94" s="485">
        <f t="shared" si="217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18"/>
        <v>0</v>
      </c>
      <c r="AC94" s="475">
        <f t="shared" si="219"/>
        <v>0</v>
      </c>
      <c r="AD94" s="70">
        <f t="shared" si="220"/>
        <v>0</v>
      </c>
      <c r="AE94" s="70">
        <f t="shared" si="221"/>
        <v>0</v>
      </c>
      <c r="AF94" s="475">
        <v>0</v>
      </c>
      <c r="AG94" s="475">
        <v>0</v>
      </c>
      <c r="AH94" s="475">
        <f t="shared" si="222"/>
        <v>0</v>
      </c>
      <c r="AI94" s="475">
        <f t="shared" si="223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24"/>
        <v>0</v>
      </c>
      <c r="AU94" s="484">
        <f>I94+AI94</f>
        <v>942365</v>
      </c>
      <c r="AV94" s="475">
        <f>J94+X94</f>
        <v>693936</v>
      </c>
      <c r="AW94" s="475">
        <f t="shared" si="225"/>
        <v>0</v>
      </c>
      <c r="AX94" s="475">
        <f t="shared" si="226"/>
        <v>234550</v>
      </c>
      <c r="AY94" s="475">
        <f t="shared" si="226"/>
        <v>13879</v>
      </c>
      <c r="AZ94" s="475">
        <f>N94+AH94</f>
        <v>0</v>
      </c>
      <c r="BA94" s="476">
        <f>O94+AT94</f>
        <v>1.5</v>
      </c>
      <c r="BB94" s="476">
        <f t="shared" si="227"/>
        <v>1.5</v>
      </c>
      <c r="BC94" s="478">
        <f t="shared" si="227"/>
        <v>0</v>
      </c>
    </row>
    <row r="95" spans="1:55" ht="12.95" customHeight="1" x14ac:dyDescent="0.25">
      <c r="A95" s="308">
        <v>18</v>
      </c>
      <c r="B95" s="410">
        <v>3420</v>
      </c>
      <c r="C95" s="410">
        <v>600078442</v>
      </c>
      <c r="D95" s="309">
        <v>72741571</v>
      </c>
      <c r="E95" s="406" t="s">
        <v>514</v>
      </c>
      <c r="F95" s="225">
        <v>3143</v>
      </c>
      <c r="G95" s="351" t="s">
        <v>627</v>
      </c>
      <c r="H95" s="313" t="s">
        <v>278</v>
      </c>
      <c r="I95" s="477">
        <v>37800</v>
      </c>
      <c r="J95" s="472">
        <v>26730</v>
      </c>
      <c r="K95" s="472">
        <v>0</v>
      </c>
      <c r="L95" s="472">
        <v>9035</v>
      </c>
      <c r="M95" s="472">
        <v>535</v>
      </c>
      <c r="N95" s="472">
        <v>1500</v>
      </c>
      <c r="O95" s="473">
        <v>0.1</v>
      </c>
      <c r="P95" s="474">
        <v>0</v>
      </c>
      <c r="Q95" s="483">
        <v>0.1</v>
      </c>
      <c r="R95" s="485">
        <f t="shared" si="217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>SUM(R95:W95)</f>
        <v>0</v>
      </c>
      <c r="Y95" s="475">
        <v>0</v>
      </c>
      <c r="Z95" s="475">
        <v>0</v>
      </c>
      <c r="AA95" s="475">
        <v>0</v>
      </c>
      <c r="AB95" s="475">
        <f t="shared" si="218"/>
        <v>0</v>
      </c>
      <c r="AC95" s="475">
        <f t="shared" si="219"/>
        <v>0</v>
      </c>
      <c r="AD95" s="70">
        <f t="shared" si="220"/>
        <v>0</v>
      </c>
      <c r="AE95" s="70">
        <f t="shared" si="221"/>
        <v>0</v>
      </c>
      <c r="AF95" s="475">
        <v>0</v>
      </c>
      <c r="AG95" s="475">
        <v>0</v>
      </c>
      <c r="AH95" s="475">
        <f t="shared" si="222"/>
        <v>0</v>
      </c>
      <c r="AI95" s="475">
        <f t="shared" si="223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</v>
      </c>
      <c r="AT95" s="478">
        <f t="shared" si="224"/>
        <v>0</v>
      </c>
      <c r="AU95" s="484">
        <f>I95+AI95</f>
        <v>37800</v>
      </c>
      <c r="AV95" s="475">
        <f>J95+X95</f>
        <v>26730</v>
      </c>
      <c r="AW95" s="475">
        <f t="shared" si="225"/>
        <v>0</v>
      </c>
      <c r="AX95" s="475">
        <f t="shared" si="226"/>
        <v>9035</v>
      </c>
      <c r="AY95" s="475">
        <f t="shared" si="226"/>
        <v>535</v>
      </c>
      <c r="AZ95" s="475">
        <f>N95+AH95</f>
        <v>1500</v>
      </c>
      <c r="BA95" s="476">
        <f>O95+AT95</f>
        <v>0.1</v>
      </c>
      <c r="BB95" s="476">
        <f t="shared" si="227"/>
        <v>0</v>
      </c>
      <c r="BC95" s="478">
        <f t="shared" si="227"/>
        <v>0.1</v>
      </c>
    </row>
    <row r="96" spans="1:55" ht="12.95" customHeight="1" x14ac:dyDescent="0.25">
      <c r="A96" s="226">
        <v>18</v>
      </c>
      <c r="B96" s="47">
        <v>3420</v>
      </c>
      <c r="C96" s="47">
        <v>600078442</v>
      </c>
      <c r="D96" s="47">
        <v>72741571</v>
      </c>
      <c r="E96" s="408" t="s">
        <v>515</v>
      </c>
      <c r="F96" s="46"/>
      <c r="G96" s="408"/>
      <c r="H96" s="190"/>
      <c r="I96" s="560">
        <v>18208145</v>
      </c>
      <c r="J96" s="556">
        <v>13086636</v>
      </c>
      <c r="K96" s="556">
        <v>75000</v>
      </c>
      <c r="L96" s="556">
        <v>4448634</v>
      </c>
      <c r="M96" s="556">
        <v>261733</v>
      </c>
      <c r="N96" s="556">
        <v>336142</v>
      </c>
      <c r="O96" s="557">
        <v>26.985900000000001</v>
      </c>
      <c r="P96" s="557">
        <v>18.258199999999999</v>
      </c>
      <c r="Q96" s="562">
        <v>8.7277000000000005</v>
      </c>
      <c r="R96" s="560">
        <f t="shared" ref="R96:BC96" si="228">SUM(R91:R95)</f>
        <v>0</v>
      </c>
      <c r="S96" s="556">
        <f t="shared" si="228"/>
        <v>-57741</v>
      </c>
      <c r="T96" s="556">
        <f t="shared" si="228"/>
        <v>7329</v>
      </c>
      <c r="U96" s="556">
        <f t="shared" si="228"/>
        <v>0</v>
      </c>
      <c r="V96" s="556">
        <f t="shared" si="228"/>
        <v>0</v>
      </c>
      <c r="W96" s="556">
        <f t="shared" si="228"/>
        <v>0</v>
      </c>
      <c r="X96" s="556">
        <f t="shared" si="228"/>
        <v>-50412</v>
      </c>
      <c r="Y96" s="556">
        <f t="shared" si="228"/>
        <v>0</v>
      </c>
      <c r="Z96" s="556">
        <f t="shared" si="228"/>
        <v>0</v>
      </c>
      <c r="AA96" s="556">
        <f t="shared" si="228"/>
        <v>0</v>
      </c>
      <c r="AB96" s="556">
        <f t="shared" si="228"/>
        <v>0</v>
      </c>
      <c r="AC96" s="556">
        <f t="shared" si="228"/>
        <v>-50412</v>
      </c>
      <c r="AD96" s="556">
        <f t="shared" si="228"/>
        <v>-17039</v>
      </c>
      <c r="AE96" s="556">
        <f t="shared" si="228"/>
        <v>-1008</v>
      </c>
      <c r="AF96" s="556">
        <f t="shared" si="228"/>
        <v>0</v>
      </c>
      <c r="AG96" s="556">
        <f t="shared" si="228"/>
        <v>0</v>
      </c>
      <c r="AH96" s="556">
        <f t="shared" si="228"/>
        <v>0</v>
      </c>
      <c r="AI96" s="556">
        <f t="shared" si="228"/>
        <v>-68459</v>
      </c>
      <c r="AJ96" s="557">
        <f t="shared" si="228"/>
        <v>0</v>
      </c>
      <c r="AK96" s="557">
        <f t="shared" si="228"/>
        <v>0</v>
      </c>
      <c r="AL96" s="557">
        <f t="shared" si="228"/>
        <v>-0.17</v>
      </c>
      <c r="AM96" s="557">
        <f t="shared" si="228"/>
        <v>0</v>
      </c>
      <c r="AN96" s="557">
        <f t="shared" si="228"/>
        <v>0.02</v>
      </c>
      <c r="AO96" s="557">
        <f t="shared" si="228"/>
        <v>0</v>
      </c>
      <c r="AP96" s="557">
        <f t="shared" si="228"/>
        <v>0</v>
      </c>
      <c r="AQ96" s="557">
        <f t="shared" si="228"/>
        <v>0</v>
      </c>
      <c r="AR96" s="557">
        <f t="shared" si="228"/>
        <v>-0.17</v>
      </c>
      <c r="AS96" s="557">
        <f t="shared" si="228"/>
        <v>0.02</v>
      </c>
      <c r="AT96" s="307">
        <f t="shared" si="228"/>
        <v>-0.15000000000000002</v>
      </c>
      <c r="AU96" s="564">
        <f t="shared" si="228"/>
        <v>18139686</v>
      </c>
      <c r="AV96" s="556">
        <f t="shared" si="228"/>
        <v>13036224</v>
      </c>
      <c r="AW96" s="556">
        <f t="shared" si="228"/>
        <v>75000</v>
      </c>
      <c r="AX96" s="556">
        <f t="shared" si="228"/>
        <v>4431595</v>
      </c>
      <c r="AY96" s="556">
        <f t="shared" si="228"/>
        <v>260725</v>
      </c>
      <c r="AZ96" s="556">
        <f t="shared" si="228"/>
        <v>336142</v>
      </c>
      <c r="BA96" s="557">
        <f t="shared" si="228"/>
        <v>26.835900000000002</v>
      </c>
      <c r="BB96" s="557">
        <f t="shared" si="228"/>
        <v>18.088200000000001</v>
      </c>
      <c r="BC96" s="307">
        <f t="shared" si="228"/>
        <v>8.7477</v>
      </c>
    </row>
    <row r="97" spans="1:55" ht="12.95" customHeight="1" x14ac:dyDescent="0.25">
      <c r="A97" s="308">
        <v>19</v>
      </c>
      <c r="B97" s="404">
        <v>5493</v>
      </c>
      <c r="C97" s="404">
        <v>691009813</v>
      </c>
      <c r="D97" s="309">
        <v>6181457</v>
      </c>
      <c r="E97" s="405" t="s">
        <v>516</v>
      </c>
      <c r="F97" s="404">
        <v>3111</v>
      </c>
      <c r="G97" s="407" t="s">
        <v>325</v>
      </c>
      <c r="H97" s="313" t="s">
        <v>277</v>
      </c>
      <c r="I97" s="477">
        <v>1920447</v>
      </c>
      <c r="J97" s="472">
        <v>1388378</v>
      </c>
      <c r="K97" s="472">
        <v>17100</v>
      </c>
      <c r="L97" s="472">
        <v>475052</v>
      </c>
      <c r="M97" s="472">
        <v>27767</v>
      </c>
      <c r="N97" s="472">
        <v>12150</v>
      </c>
      <c r="O97" s="473">
        <v>3.0149000000000004</v>
      </c>
      <c r="P97" s="474">
        <v>2.1700000000000004</v>
      </c>
      <c r="Q97" s="483">
        <v>0.84489999999999998</v>
      </c>
      <c r="R97" s="485">
        <f t="shared" ref="R97:R99" si="229">Y97*-1</f>
        <v>0</v>
      </c>
      <c r="S97" s="475">
        <v>0</v>
      </c>
      <c r="T97" s="475">
        <v>351896</v>
      </c>
      <c r="U97" s="475">
        <v>0</v>
      </c>
      <c r="V97" s="475">
        <v>0</v>
      </c>
      <c r="W97" s="475">
        <v>0</v>
      </c>
      <c r="X97" s="475">
        <f>SUM(R97:W97)</f>
        <v>351896</v>
      </c>
      <c r="Y97" s="475">
        <v>0</v>
      </c>
      <c r="Z97" s="475">
        <v>0</v>
      </c>
      <c r="AA97" s="475">
        <v>0</v>
      </c>
      <c r="AB97" s="475">
        <f t="shared" ref="AB97:AB99" si="230">SUM(Y97:AA97)</f>
        <v>0</v>
      </c>
      <c r="AC97" s="475">
        <f t="shared" ref="AC97:AC99" si="231">X97+AB97</f>
        <v>351896</v>
      </c>
      <c r="AD97" s="70">
        <f t="shared" ref="AD97:AD99" si="232">ROUND((X97+Y97+Z97)*33.8%,0)</f>
        <v>118941</v>
      </c>
      <c r="AE97" s="70">
        <f t="shared" ref="AE97:AE99" si="233">ROUND(X97*2%,0)</f>
        <v>7038</v>
      </c>
      <c r="AF97" s="475">
        <v>0</v>
      </c>
      <c r="AG97" s="475">
        <v>0</v>
      </c>
      <c r="AH97" s="475">
        <f t="shared" ref="AH97:AH99" si="234">SUM(AF97:AG97)</f>
        <v>0</v>
      </c>
      <c r="AI97" s="475">
        <f t="shared" ref="AI97:AI99" si="235">AC97+AD97+AE97+AH97</f>
        <v>477875</v>
      </c>
      <c r="AJ97" s="476">
        <v>0</v>
      </c>
      <c r="AK97" s="476">
        <v>0</v>
      </c>
      <c r="AL97" s="476">
        <v>0</v>
      </c>
      <c r="AM97" s="476">
        <v>0.66</v>
      </c>
      <c r="AN97" s="476">
        <v>0</v>
      </c>
      <c r="AO97" s="476">
        <v>0</v>
      </c>
      <c r="AP97" s="476">
        <v>0</v>
      </c>
      <c r="AQ97" s="476">
        <v>0</v>
      </c>
      <c r="AR97" s="476">
        <f>AJ97+AL97+AM97+AO97+AP97</f>
        <v>0.66</v>
      </c>
      <c r="AS97" s="476">
        <f>AK97+AN97+AQ97</f>
        <v>0</v>
      </c>
      <c r="AT97" s="478">
        <f t="shared" ref="AT97:AT99" si="236">SUM(AR97:AS97)</f>
        <v>0.66</v>
      </c>
      <c r="AU97" s="484">
        <f>I97+AI97</f>
        <v>2398322</v>
      </c>
      <c r="AV97" s="475">
        <f>J97+X97</f>
        <v>1740274</v>
      </c>
      <c r="AW97" s="475">
        <f t="shared" ref="AW97:AW99" si="237">K97+AB97</f>
        <v>17100</v>
      </c>
      <c r="AX97" s="475">
        <f t="shared" ref="AX97:AY99" si="238">L97+AD97</f>
        <v>593993</v>
      </c>
      <c r="AY97" s="475">
        <f t="shared" si="238"/>
        <v>34805</v>
      </c>
      <c r="AZ97" s="475">
        <f>N97+AH97</f>
        <v>12150</v>
      </c>
      <c r="BA97" s="476">
        <f>O97+AT97</f>
        <v>3.6749000000000005</v>
      </c>
      <c r="BB97" s="476">
        <f t="shared" ref="BB97:BC99" si="239">P97+AR97</f>
        <v>2.8300000000000005</v>
      </c>
      <c r="BC97" s="478">
        <f t="shared" si="239"/>
        <v>0.84489999999999998</v>
      </c>
    </row>
    <row r="98" spans="1:55" ht="12.95" customHeight="1" x14ac:dyDescent="0.25">
      <c r="A98" s="308">
        <v>19</v>
      </c>
      <c r="B98" s="404">
        <v>5493</v>
      </c>
      <c r="C98" s="404">
        <v>691009813</v>
      </c>
      <c r="D98" s="309">
        <v>6181457</v>
      </c>
      <c r="E98" s="405" t="s">
        <v>516</v>
      </c>
      <c r="F98" s="404">
        <v>3111</v>
      </c>
      <c r="G98" s="351" t="s">
        <v>312</v>
      </c>
      <c r="H98" s="313" t="s">
        <v>278</v>
      </c>
      <c r="I98" s="477">
        <v>235236</v>
      </c>
      <c r="J98" s="472">
        <v>173222</v>
      </c>
      <c r="K98" s="472">
        <v>0</v>
      </c>
      <c r="L98" s="472">
        <v>58549</v>
      </c>
      <c r="M98" s="472">
        <v>3465</v>
      </c>
      <c r="N98" s="472">
        <v>0</v>
      </c>
      <c r="O98" s="473">
        <v>0.5</v>
      </c>
      <c r="P98" s="474">
        <v>0.5</v>
      </c>
      <c r="Q98" s="483">
        <v>0</v>
      </c>
      <c r="R98" s="485">
        <f t="shared" si="229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>SUM(R98:W98)</f>
        <v>0</v>
      </c>
      <c r="Y98" s="475">
        <v>0</v>
      </c>
      <c r="Z98" s="475">
        <v>0</v>
      </c>
      <c r="AA98" s="475">
        <v>0</v>
      </c>
      <c r="AB98" s="475">
        <f t="shared" si="230"/>
        <v>0</v>
      </c>
      <c r="AC98" s="475">
        <f t="shared" si="231"/>
        <v>0</v>
      </c>
      <c r="AD98" s="70">
        <f t="shared" si="232"/>
        <v>0</v>
      </c>
      <c r="AE98" s="70">
        <f t="shared" si="233"/>
        <v>0</v>
      </c>
      <c r="AF98" s="475">
        <v>0</v>
      </c>
      <c r="AG98" s="475">
        <v>0</v>
      </c>
      <c r="AH98" s="475">
        <f t="shared" si="234"/>
        <v>0</v>
      </c>
      <c r="AI98" s="475">
        <f t="shared" si="235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>AJ98+AL98+AM98+AO98+AP98</f>
        <v>0</v>
      </c>
      <c r="AS98" s="476">
        <f>AK98+AN98+AQ98</f>
        <v>0</v>
      </c>
      <c r="AT98" s="478">
        <f t="shared" si="236"/>
        <v>0</v>
      </c>
      <c r="AU98" s="484">
        <f>I98+AI98</f>
        <v>235236</v>
      </c>
      <c r="AV98" s="475">
        <f>J98+X98</f>
        <v>173222</v>
      </c>
      <c r="AW98" s="475">
        <f t="shared" si="237"/>
        <v>0</v>
      </c>
      <c r="AX98" s="475">
        <f t="shared" si="238"/>
        <v>58549</v>
      </c>
      <c r="AY98" s="475">
        <f t="shared" si="238"/>
        <v>3465</v>
      </c>
      <c r="AZ98" s="475">
        <f>N98+AH98</f>
        <v>0</v>
      </c>
      <c r="BA98" s="476">
        <f>O98+AT98</f>
        <v>0.5</v>
      </c>
      <c r="BB98" s="476">
        <f t="shared" si="239"/>
        <v>0.5</v>
      </c>
      <c r="BC98" s="478">
        <f t="shared" si="239"/>
        <v>0</v>
      </c>
    </row>
    <row r="99" spans="1:55" ht="12.95" customHeight="1" x14ac:dyDescent="0.25">
      <c r="A99" s="308">
        <v>19</v>
      </c>
      <c r="B99" s="415">
        <v>5493</v>
      </c>
      <c r="C99" s="415">
        <v>691009813</v>
      </c>
      <c r="D99" s="309">
        <v>6181457</v>
      </c>
      <c r="E99" s="414" t="s">
        <v>516</v>
      </c>
      <c r="F99" s="415">
        <v>3141</v>
      </c>
      <c r="G99" s="407" t="s">
        <v>315</v>
      </c>
      <c r="H99" s="313" t="s">
        <v>278</v>
      </c>
      <c r="I99" s="477">
        <v>106992</v>
      </c>
      <c r="J99" s="472">
        <v>78031</v>
      </c>
      <c r="K99" s="472">
        <v>0</v>
      </c>
      <c r="L99" s="472">
        <v>26374</v>
      </c>
      <c r="M99" s="472">
        <v>1561</v>
      </c>
      <c r="N99" s="472">
        <v>1026</v>
      </c>
      <c r="O99" s="473">
        <v>0.41</v>
      </c>
      <c r="P99" s="474">
        <v>0</v>
      </c>
      <c r="Q99" s="483">
        <v>0.41</v>
      </c>
      <c r="R99" s="485">
        <f t="shared" si="229"/>
        <v>0</v>
      </c>
      <c r="S99" s="475">
        <v>0</v>
      </c>
      <c r="T99" s="475">
        <v>6105</v>
      </c>
      <c r="U99" s="475">
        <v>0</v>
      </c>
      <c r="V99" s="475">
        <v>0</v>
      </c>
      <c r="W99" s="475">
        <v>0</v>
      </c>
      <c r="X99" s="475">
        <f>SUM(R99:W99)</f>
        <v>6105</v>
      </c>
      <c r="Y99" s="475">
        <v>0</v>
      </c>
      <c r="Z99" s="475">
        <v>0</v>
      </c>
      <c r="AA99" s="475">
        <v>0</v>
      </c>
      <c r="AB99" s="475">
        <f t="shared" si="230"/>
        <v>0</v>
      </c>
      <c r="AC99" s="475">
        <f t="shared" si="231"/>
        <v>6105</v>
      </c>
      <c r="AD99" s="70">
        <f t="shared" si="232"/>
        <v>2063</v>
      </c>
      <c r="AE99" s="70">
        <f t="shared" si="233"/>
        <v>122</v>
      </c>
      <c r="AF99" s="475">
        <v>0</v>
      </c>
      <c r="AG99" s="475">
        <v>0</v>
      </c>
      <c r="AH99" s="475">
        <f t="shared" si="234"/>
        <v>0</v>
      </c>
      <c r="AI99" s="475">
        <f t="shared" si="235"/>
        <v>8290</v>
      </c>
      <c r="AJ99" s="476">
        <v>0</v>
      </c>
      <c r="AK99" s="476">
        <v>0</v>
      </c>
      <c r="AL99" s="476">
        <v>0</v>
      </c>
      <c r="AM99" s="476">
        <v>0</v>
      </c>
      <c r="AN99" s="476">
        <v>0.03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0.03</v>
      </c>
      <c r="AT99" s="478">
        <f t="shared" si="236"/>
        <v>0.03</v>
      </c>
      <c r="AU99" s="484">
        <f>I99+AI99</f>
        <v>115282</v>
      </c>
      <c r="AV99" s="475">
        <f>J99+X99</f>
        <v>84136</v>
      </c>
      <c r="AW99" s="475">
        <f t="shared" si="237"/>
        <v>0</v>
      </c>
      <c r="AX99" s="475">
        <f t="shared" si="238"/>
        <v>28437</v>
      </c>
      <c r="AY99" s="475">
        <f t="shared" si="238"/>
        <v>1683</v>
      </c>
      <c r="AZ99" s="475">
        <f>N99+AH99</f>
        <v>1026</v>
      </c>
      <c r="BA99" s="476">
        <f>O99+AT99</f>
        <v>0.43999999999999995</v>
      </c>
      <c r="BB99" s="476">
        <f t="shared" si="239"/>
        <v>0</v>
      </c>
      <c r="BC99" s="478">
        <f t="shared" si="239"/>
        <v>0.43999999999999995</v>
      </c>
    </row>
    <row r="100" spans="1:55" ht="12.95" customHeight="1" x14ac:dyDescent="0.25">
      <c r="A100" s="226">
        <v>19</v>
      </c>
      <c r="B100" s="48">
        <v>5493</v>
      </c>
      <c r="C100" s="48">
        <v>691009813</v>
      </c>
      <c r="D100" s="48">
        <v>6181457</v>
      </c>
      <c r="E100" s="420" t="s">
        <v>517</v>
      </c>
      <c r="F100" s="48"/>
      <c r="G100" s="420"/>
      <c r="H100" s="192"/>
      <c r="I100" s="560">
        <v>2262675</v>
      </c>
      <c r="J100" s="556">
        <v>1639631</v>
      </c>
      <c r="K100" s="556">
        <v>17100</v>
      </c>
      <c r="L100" s="556">
        <v>559975</v>
      </c>
      <c r="M100" s="556">
        <v>32793</v>
      </c>
      <c r="N100" s="556">
        <v>13176</v>
      </c>
      <c r="O100" s="557">
        <v>3.9249000000000005</v>
      </c>
      <c r="P100" s="557">
        <v>2.6700000000000004</v>
      </c>
      <c r="Q100" s="562">
        <v>1.2548999999999999</v>
      </c>
      <c r="R100" s="560">
        <f t="shared" ref="R100:BC100" si="240">SUM(R97:R99)</f>
        <v>0</v>
      </c>
      <c r="S100" s="556">
        <f t="shared" si="240"/>
        <v>0</v>
      </c>
      <c r="T100" s="556">
        <f t="shared" si="240"/>
        <v>358001</v>
      </c>
      <c r="U100" s="556">
        <f t="shared" si="240"/>
        <v>0</v>
      </c>
      <c r="V100" s="556">
        <f t="shared" si="240"/>
        <v>0</v>
      </c>
      <c r="W100" s="556">
        <f t="shared" si="240"/>
        <v>0</v>
      </c>
      <c r="X100" s="556">
        <f t="shared" si="240"/>
        <v>358001</v>
      </c>
      <c r="Y100" s="556">
        <f t="shared" si="240"/>
        <v>0</v>
      </c>
      <c r="Z100" s="556">
        <f t="shared" si="240"/>
        <v>0</v>
      </c>
      <c r="AA100" s="556">
        <f t="shared" si="240"/>
        <v>0</v>
      </c>
      <c r="AB100" s="556">
        <f t="shared" si="240"/>
        <v>0</v>
      </c>
      <c r="AC100" s="556">
        <f t="shared" si="240"/>
        <v>358001</v>
      </c>
      <c r="AD100" s="556">
        <f t="shared" si="240"/>
        <v>121004</v>
      </c>
      <c r="AE100" s="556">
        <f t="shared" si="240"/>
        <v>7160</v>
      </c>
      <c r="AF100" s="556">
        <f t="shared" si="240"/>
        <v>0</v>
      </c>
      <c r="AG100" s="556">
        <f t="shared" si="240"/>
        <v>0</v>
      </c>
      <c r="AH100" s="556">
        <f t="shared" si="240"/>
        <v>0</v>
      </c>
      <c r="AI100" s="556">
        <f t="shared" si="240"/>
        <v>486165</v>
      </c>
      <c r="AJ100" s="557">
        <f t="shared" si="240"/>
        <v>0</v>
      </c>
      <c r="AK100" s="557">
        <f t="shared" si="240"/>
        <v>0</v>
      </c>
      <c r="AL100" s="557">
        <f t="shared" si="240"/>
        <v>0</v>
      </c>
      <c r="AM100" s="557">
        <f t="shared" si="240"/>
        <v>0.66</v>
      </c>
      <c r="AN100" s="557">
        <f t="shared" si="240"/>
        <v>0.03</v>
      </c>
      <c r="AO100" s="557">
        <f t="shared" si="240"/>
        <v>0</v>
      </c>
      <c r="AP100" s="557">
        <f t="shared" si="240"/>
        <v>0</v>
      </c>
      <c r="AQ100" s="557">
        <f t="shared" si="240"/>
        <v>0</v>
      </c>
      <c r="AR100" s="557">
        <f t="shared" si="240"/>
        <v>0.66</v>
      </c>
      <c r="AS100" s="557">
        <f t="shared" si="240"/>
        <v>0.03</v>
      </c>
      <c r="AT100" s="307">
        <f t="shared" si="240"/>
        <v>0.69000000000000006</v>
      </c>
      <c r="AU100" s="564">
        <f t="shared" si="240"/>
        <v>2748840</v>
      </c>
      <c r="AV100" s="556">
        <f t="shared" si="240"/>
        <v>1997632</v>
      </c>
      <c r="AW100" s="556">
        <f t="shared" si="240"/>
        <v>17100</v>
      </c>
      <c r="AX100" s="556">
        <f t="shared" si="240"/>
        <v>680979</v>
      </c>
      <c r="AY100" s="556">
        <f t="shared" si="240"/>
        <v>39953</v>
      </c>
      <c r="AZ100" s="556">
        <f t="shared" si="240"/>
        <v>13176</v>
      </c>
      <c r="BA100" s="557">
        <f t="shared" si="240"/>
        <v>4.6149000000000004</v>
      </c>
      <c r="BB100" s="557">
        <f t="shared" si="240"/>
        <v>3.3300000000000005</v>
      </c>
      <c r="BC100" s="307">
        <f t="shared" si="240"/>
        <v>1.2848999999999999</v>
      </c>
    </row>
    <row r="101" spans="1:55" ht="12.95" customHeight="1" x14ac:dyDescent="0.25">
      <c r="A101" s="308">
        <v>20</v>
      </c>
      <c r="B101" s="225">
        <v>2463</v>
      </c>
      <c r="C101" s="225">
        <v>600080056</v>
      </c>
      <c r="D101" s="309">
        <v>70982066</v>
      </c>
      <c r="E101" s="406" t="s">
        <v>518</v>
      </c>
      <c r="F101" s="225">
        <v>3113</v>
      </c>
      <c r="G101" s="406" t="s">
        <v>329</v>
      </c>
      <c r="H101" s="313" t="s">
        <v>277</v>
      </c>
      <c r="I101" s="477">
        <v>9102490</v>
      </c>
      <c r="J101" s="472">
        <v>6575848</v>
      </c>
      <c r="K101" s="472">
        <v>10500</v>
      </c>
      <c r="L101" s="472">
        <v>2226186</v>
      </c>
      <c r="M101" s="472">
        <v>131516</v>
      </c>
      <c r="N101" s="472">
        <v>158440</v>
      </c>
      <c r="O101" s="473">
        <v>12.4077</v>
      </c>
      <c r="P101" s="474">
        <v>9.1352999999999991</v>
      </c>
      <c r="Q101" s="483">
        <v>3.2724000000000002</v>
      </c>
      <c r="R101" s="485">
        <f t="shared" ref="R101:R105" si="241">Y101*-1</f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>SUM(R101:W101)</f>
        <v>0</v>
      </c>
      <c r="Y101" s="475">
        <v>0</v>
      </c>
      <c r="Z101" s="475">
        <v>0</v>
      </c>
      <c r="AA101" s="475">
        <v>0</v>
      </c>
      <c r="AB101" s="475">
        <f t="shared" ref="AB101:AB105" si="242">SUM(Y101:AA101)</f>
        <v>0</v>
      </c>
      <c r="AC101" s="475">
        <f t="shared" ref="AC101:AC105" si="243">X101+AB101</f>
        <v>0</v>
      </c>
      <c r="AD101" s="70">
        <f t="shared" ref="AD101:AD105" si="244">ROUND((X101+Y101+Z101)*33.8%,0)</f>
        <v>0</v>
      </c>
      <c r="AE101" s="70">
        <f t="shared" ref="AE101:AE105" si="245">ROUND(X101*2%,0)</f>
        <v>0</v>
      </c>
      <c r="AF101" s="475">
        <v>0</v>
      </c>
      <c r="AG101" s="475">
        <v>0</v>
      </c>
      <c r="AH101" s="475">
        <f t="shared" ref="AH101:AH105" si="246">SUM(AF101:AG101)</f>
        <v>0</v>
      </c>
      <c r="AI101" s="475">
        <f t="shared" ref="AI101:AI105" si="247">AC101+AD101+AE101+AH101</f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ref="AT101:AT105" si="248">SUM(AR101:AS101)</f>
        <v>0</v>
      </c>
      <c r="AU101" s="484">
        <f>I101+AI101</f>
        <v>9102490</v>
      </c>
      <c r="AV101" s="475">
        <f>J101+X101</f>
        <v>6575848</v>
      </c>
      <c r="AW101" s="475">
        <f t="shared" ref="AW101:AW105" si="249">K101+AB101</f>
        <v>10500</v>
      </c>
      <c r="AX101" s="475">
        <f t="shared" ref="AX101:AY105" si="250">L101+AD101</f>
        <v>2226186</v>
      </c>
      <c r="AY101" s="475">
        <f t="shared" si="250"/>
        <v>131516</v>
      </c>
      <c r="AZ101" s="475">
        <f>N101+AH101</f>
        <v>158440</v>
      </c>
      <c r="BA101" s="476">
        <f>O101+AT101</f>
        <v>12.4077</v>
      </c>
      <c r="BB101" s="476">
        <f t="shared" ref="BB101:BC105" si="251">P101+AR101</f>
        <v>9.1352999999999991</v>
      </c>
      <c r="BC101" s="478">
        <f t="shared" si="251"/>
        <v>3.2724000000000002</v>
      </c>
    </row>
    <row r="102" spans="1:55" ht="12.95" customHeight="1" x14ac:dyDescent="0.25">
      <c r="A102" s="308">
        <v>20</v>
      </c>
      <c r="B102" s="410">
        <v>2463</v>
      </c>
      <c r="C102" s="410">
        <v>600080056</v>
      </c>
      <c r="D102" s="309">
        <v>70982066</v>
      </c>
      <c r="E102" s="406" t="s">
        <v>518</v>
      </c>
      <c r="F102" s="225">
        <v>3113</v>
      </c>
      <c r="G102" s="351" t="s">
        <v>312</v>
      </c>
      <c r="H102" s="313" t="s">
        <v>278</v>
      </c>
      <c r="I102" s="477">
        <v>984506</v>
      </c>
      <c r="J102" s="472">
        <v>724967</v>
      </c>
      <c r="K102" s="472">
        <v>0</v>
      </c>
      <c r="L102" s="472">
        <v>245039</v>
      </c>
      <c r="M102" s="472">
        <v>14500</v>
      </c>
      <c r="N102" s="472">
        <v>0</v>
      </c>
      <c r="O102" s="473">
        <v>2.1</v>
      </c>
      <c r="P102" s="474">
        <v>2.1</v>
      </c>
      <c r="Q102" s="483">
        <v>0</v>
      </c>
      <c r="R102" s="485">
        <f t="shared" si="241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>SUM(R102:W102)</f>
        <v>0</v>
      </c>
      <c r="Y102" s="475">
        <v>0</v>
      </c>
      <c r="Z102" s="475">
        <v>0</v>
      </c>
      <c r="AA102" s="475">
        <v>0</v>
      </c>
      <c r="AB102" s="475">
        <f t="shared" si="242"/>
        <v>0</v>
      </c>
      <c r="AC102" s="475">
        <f t="shared" si="243"/>
        <v>0</v>
      </c>
      <c r="AD102" s="70">
        <f t="shared" si="244"/>
        <v>0</v>
      </c>
      <c r="AE102" s="70">
        <f t="shared" si="245"/>
        <v>0</v>
      </c>
      <c r="AF102" s="475">
        <v>0</v>
      </c>
      <c r="AG102" s="475">
        <v>0</v>
      </c>
      <c r="AH102" s="475">
        <f t="shared" si="246"/>
        <v>0</v>
      </c>
      <c r="AI102" s="475">
        <f t="shared" si="247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</v>
      </c>
      <c r="AT102" s="478">
        <f t="shared" si="248"/>
        <v>0</v>
      </c>
      <c r="AU102" s="484">
        <f>I102+AI102</f>
        <v>984506</v>
      </c>
      <c r="AV102" s="475">
        <f>J102+X102</f>
        <v>724967</v>
      </c>
      <c r="AW102" s="475">
        <f t="shared" si="249"/>
        <v>0</v>
      </c>
      <c r="AX102" s="475">
        <f t="shared" si="250"/>
        <v>245039</v>
      </c>
      <c r="AY102" s="475">
        <f t="shared" si="250"/>
        <v>14500</v>
      </c>
      <c r="AZ102" s="475">
        <f>N102+AH102</f>
        <v>0</v>
      </c>
      <c r="BA102" s="476">
        <f>O102+AT102</f>
        <v>2.1</v>
      </c>
      <c r="BB102" s="476">
        <f t="shared" si="251"/>
        <v>2.1</v>
      </c>
      <c r="BC102" s="478">
        <f t="shared" si="251"/>
        <v>0</v>
      </c>
    </row>
    <row r="103" spans="1:55" ht="12.95" customHeight="1" x14ac:dyDescent="0.25">
      <c r="A103" s="308">
        <v>20</v>
      </c>
      <c r="B103" s="225">
        <v>2463</v>
      </c>
      <c r="C103" s="225">
        <v>600080056</v>
      </c>
      <c r="D103" s="309">
        <v>70982066</v>
      </c>
      <c r="E103" s="406" t="s">
        <v>518</v>
      </c>
      <c r="F103" s="225">
        <v>3141</v>
      </c>
      <c r="G103" s="407" t="s">
        <v>315</v>
      </c>
      <c r="H103" s="313" t="s">
        <v>278</v>
      </c>
      <c r="I103" s="477">
        <v>869464</v>
      </c>
      <c r="J103" s="472">
        <v>636068</v>
      </c>
      <c r="K103" s="472">
        <v>0</v>
      </c>
      <c r="L103" s="472">
        <v>214991</v>
      </c>
      <c r="M103" s="472">
        <v>12721</v>
      </c>
      <c r="N103" s="472">
        <v>5684</v>
      </c>
      <c r="O103" s="473">
        <v>2</v>
      </c>
      <c r="P103" s="474">
        <v>0</v>
      </c>
      <c r="Q103" s="483">
        <v>2</v>
      </c>
      <c r="R103" s="485">
        <f t="shared" si="241"/>
        <v>0</v>
      </c>
      <c r="S103" s="475">
        <v>0</v>
      </c>
      <c r="T103" s="475">
        <v>13105</v>
      </c>
      <c r="U103" s="475">
        <v>0</v>
      </c>
      <c r="V103" s="475">
        <v>0</v>
      </c>
      <c r="W103" s="475">
        <v>0</v>
      </c>
      <c r="X103" s="475">
        <f>SUM(R103:W103)</f>
        <v>13105</v>
      </c>
      <c r="Y103" s="475">
        <v>0</v>
      </c>
      <c r="Z103" s="475">
        <v>0</v>
      </c>
      <c r="AA103" s="475">
        <v>0</v>
      </c>
      <c r="AB103" s="475">
        <f t="shared" si="242"/>
        <v>0</v>
      </c>
      <c r="AC103" s="475">
        <f t="shared" si="243"/>
        <v>13105</v>
      </c>
      <c r="AD103" s="70">
        <f t="shared" si="244"/>
        <v>4429</v>
      </c>
      <c r="AE103" s="70">
        <f t="shared" si="245"/>
        <v>262</v>
      </c>
      <c r="AF103" s="475">
        <v>0</v>
      </c>
      <c r="AG103" s="475">
        <v>0</v>
      </c>
      <c r="AH103" s="475">
        <f t="shared" si="246"/>
        <v>0</v>
      </c>
      <c r="AI103" s="475">
        <f t="shared" si="247"/>
        <v>17796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0.04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0.04</v>
      </c>
      <c r="AT103" s="478">
        <f t="shared" si="248"/>
        <v>0.04</v>
      </c>
      <c r="AU103" s="484">
        <f>I103+AI103</f>
        <v>887260</v>
      </c>
      <c r="AV103" s="475">
        <f>J103+X103</f>
        <v>649173</v>
      </c>
      <c r="AW103" s="475">
        <f t="shared" si="249"/>
        <v>0</v>
      </c>
      <c r="AX103" s="475">
        <f t="shared" si="250"/>
        <v>219420</v>
      </c>
      <c r="AY103" s="475">
        <f t="shared" si="250"/>
        <v>12983</v>
      </c>
      <c r="AZ103" s="475">
        <f>N103+AH103</f>
        <v>5684</v>
      </c>
      <c r="BA103" s="476">
        <f>O103+AT103</f>
        <v>2.04</v>
      </c>
      <c r="BB103" s="476">
        <f t="shared" si="251"/>
        <v>0</v>
      </c>
      <c r="BC103" s="478">
        <f t="shared" si="251"/>
        <v>2.04</v>
      </c>
    </row>
    <row r="104" spans="1:55" ht="12.95" customHeight="1" x14ac:dyDescent="0.25">
      <c r="A104" s="308">
        <v>20</v>
      </c>
      <c r="B104" s="410">
        <v>2463</v>
      </c>
      <c r="C104" s="410">
        <v>600080056</v>
      </c>
      <c r="D104" s="309">
        <v>70982066</v>
      </c>
      <c r="E104" s="406" t="s">
        <v>518</v>
      </c>
      <c r="F104" s="225">
        <v>3143</v>
      </c>
      <c r="G104" s="351" t="s">
        <v>626</v>
      </c>
      <c r="H104" s="313" t="s">
        <v>277</v>
      </c>
      <c r="I104" s="477">
        <v>609378</v>
      </c>
      <c r="J104" s="472">
        <v>448732</v>
      </c>
      <c r="K104" s="472">
        <v>0</v>
      </c>
      <c r="L104" s="472">
        <v>151671</v>
      </c>
      <c r="M104" s="472">
        <v>8975</v>
      </c>
      <c r="N104" s="472">
        <v>0</v>
      </c>
      <c r="O104" s="473">
        <v>0.83330000000000004</v>
      </c>
      <c r="P104" s="474">
        <v>0.83330000000000004</v>
      </c>
      <c r="Q104" s="483">
        <v>0</v>
      </c>
      <c r="R104" s="485">
        <f t="shared" si="241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si="242"/>
        <v>0</v>
      </c>
      <c r="AC104" s="475">
        <f t="shared" si="243"/>
        <v>0</v>
      </c>
      <c r="AD104" s="70">
        <f t="shared" si="244"/>
        <v>0</v>
      </c>
      <c r="AE104" s="70">
        <f t="shared" si="245"/>
        <v>0</v>
      </c>
      <c r="AF104" s="475">
        <v>0</v>
      </c>
      <c r="AG104" s="475">
        <v>0</v>
      </c>
      <c r="AH104" s="475">
        <f t="shared" si="246"/>
        <v>0</v>
      </c>
      <c r="AI104" s="475">
        <f t="shared" si="247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248"/>
        <v>0</v>
      </c>
      <c r="AU104" s="484">
        <f>I104+AI104</f>
        <v>609378</v>
      </c>
      <c r="AV104" s="475">
        <f>J104+X104</f>
        <v>448732</v>
      </c>
      <c r="AW104" s="475">
        <f t="shared" si="249"/>
        <v>0</v>
      </c>
      <c r="AX104" s="475">
        <f t="shared" si="250"/>
        <v>151671</v>
      </c>
      <c r="AY104" s="475">
        <f t="shared" si="250"/>
        <v>8975</v>
      </c>
      <c r="AZ104" s="475">
        <f>N104+AH104</f>
        <v>0</v>
      </c>
      <c r="BA104" s="476">
        <f>O104+AT104</f>
        <v>0.83330000000000004</v>
      </c>
      <c r="BB104" s="476">
        <f t="shared" si="251"/>
        <v>0.83330000000000004</v>
      </c>
      <c r="BC104" s="478">
        <f t="shared" si="251"/>
        <v>0</v>
      </c>
    </row>
    <row r="105" spans="1:55" ht="12.95" customHeight="1" x14ac:dyDescent="0.25">
      <c r="A105" s="308">
        <v>20</v>
      </c>
      <c r="B105" s="410">
        <v>2463</v>
      </c>
      <c r="C105" s="410">
        <v>600080056</v>
      </c>
      <c r="D105" s="309">
        <v>70982066</v>
      </c>
      <c r="E105" s="406" t="s">
        <v>518</v>
      </c>
      <c r="F105" s="225">
        <v>3143</v>
      </c>
      <c r="G105" s="351" t="s">
        <v>627</v>
      </c>
      <c r="H105" s="313" t="s">
        <v>278</v>
      </c>
      <c r="I105" s="477">
        <v>21924</v>
      </c>
      <c r="J105" s="472">
        <v>15504</v>
      </c>
      <c r="K105" s="472">
        <v>0</v>
      </c>
      <c r="L105" s="472">
        <v>5240</v>
      </c>
      <c r="M105" s="472">
        <v>310</v>
      </c>
      <c r="N105" s="472">
        <v>870</v>
      </c>
      <c r="O105" s="473">
        <v>0.06</v>
      </c>
      <c r="P105" s="474">
        <v>0</v>
      </c>
      <c r="Q105" s="483">
        <v>0.06</v>
      </c>
      <c r="R105" s="485">
        <f t="shared" si="241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>SUM(R105:W105)</f>
        <v>0</v>
      </c>
      <c r="Y105" s="475">
        <v>0</v>
      </c>
      <c r="Z105" s="475">
        <v>0</v>
      </c>
      <c r="AA105" s="475">
        <v>0</v>
      </c>
      <c r="AB105" s="475">
        <f t="shared" si="242"/>
        <v>0</v>
      </c>
      <c r="AC105" s="475">
        <f t="shared" si="243"/>
        <v>0</v>
      </c>
      <c r="AD105" s="70">
        <f t="shared" si="244"/>
        <v>0</v>
      </c>
      <c r="AE105" s="70">
        <f t="shared" si="245"/>
        <v>0</v>
      </c>
      <c r="AF105" s="475">
        <v>0</v>
      </c>
      <c r="AG105" s="475">
        <v>0</v>
      </c>
      <c r="AH105" s="475">
        <f t="shared" si="246"/>
        <v>0</v>
      </c>
      <c r="AI105" s="475">
        <f t="shared" si="247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0</v>
      </c>
      <c r="AT105" s="478">
        <f t="shared" si="248"/>
        <v>0</v>
      </c>
      <c r="AU105" s="484">
        <f>I105+AI105</f>
        <v>21924</v>
      </c>
      <c r="AV105" s="475">
        <f>J105+X105</f>
        <v>15504</v>
      </c>
      <c r="AW105" s="475">
        <f t="shared" si="249"/>
        <v>0</v>
      </c>
      <c r="AX105" s="475">
        <f t="shared" si="250"/>
        <v>5240</v>
      </c>
      <c r="AY105" s="475">
        <f t="shared" si="250"/>
        <v>310</v>
      </c>
      <c r="AZ105" s="475">
        <f>N105+AH105</f>
        <v>870</v>
      </c>
      <c r="BA105" s="476">
        <f>O105+AT105</f>
        <v>0.06</v>
      </c>
      <c r="BB105" s="476">
        <f t="shared" si="251"/>
        <v>0</v>
      </c>
      <c r="BC105" s="478">
        <f t="shared" si="251"/>
        <v>0.06</v>
      </c>
    </row>
    <row r="106" spans="1:55" ht="12.75" customHeight="1" x14ac:dyDescent="0.25">
      <c r="A106" s="226">
        <v>20</v>
      </c>
      <c r="B106" s="47">
        <v>2463</v>
      </c>
      <c r="C106" s="47">
        <v>600080056</v>
      </c>
      <c r="D106" s="47">
        <v>70982066</v>
      </c>
      <c r="E106" s="408" t="s">
        <v>519</v>
      </c>
      <c r="F106" s="49"/>
      <c r="G106" s="421"/>
      <c r="H106" s="193"/>
      <c r="I106" s="592">
        <v>11587762</v>
      </c>
      <c r="J106" s="590">
        <v>8401119</v>
      </c>
      <c r="K106" s="590">
        <v>10500</v>
      </c>
      <c r="L106" s="590">
        <v>2843127</v>
      </c>
      <c r="M106" s="590">
        <v>168022</v>
      </c>
      <c r="N106" s="590">
        <v>164994</v>
      </c>
      <c r="O106" s="591">
        <v>17.401</v>
      </c>
      <c r="P106" s="591">
        <v>12.068599999999998</v>
      </c>
      <c r="Q106" s="593">
        <v>5.3323999999999998</v>
      </c>
      <c r="R106" s="592">
        <f t="shared" ref="R106:BC106" si="252">SUM(R101:R105)</f>
        <v>0</v>
      </c>
      <c r="S106" s="590">
        <f t="shared" si="252"/>
        <v>0</v>
      </c>
      <c r="T106" s="590">
        <f t="shared" si="252"/>
        <v>13105</v>
      </c>
      <c r="U106" s="590">
        <f t="shared" si="252"/>
        <v>0</v>
      </c>
      <c r="V106" s="590">
        <f t="shared" si="252"/>
        <v>0</v>
      </c>
      <c r="W106" s="590">
        <f t="shared" si="252"/>
        <v>0</v>
      </c>
      <c r="X106" s="590">
        <f t="shared" si="252"/>
        <v>13105</v>
      </c>
      <c r="Y106" s="590">
        <f t="shared" si="252"/>
        <v>0</v>
      </c>
      <c r="Z106" s="590">
        <f t="shared" si="252"/>
        <v>0</v>
      </c>
      <c r="AA106" s="590">
        <f t="shared" si="252"/>
        <v>0</v>
      </c>
      <c r="AB106" s="590">
        <f t="shared" si="252"/>
        <v>0</v>
      </c>
      <c r="AC106" s="590">
        <f t="shared" si="252"/>
        <v>13105</v>
      </c>
      <c r="AD106" s="590">
        <f t="shared" si="252"/>
        <v>4429</v>
      </c>
      <c r="AE106" s="590">
        <f t="shared" si="252"/>
        <v>262</v>
      </c>
      <c r="AF106" s="590">
        <f t="shared" si="252"/>
        <v>0</v>
      </c>
      <c r="AG106" s="590">
        <f t="shared" si="252"/>
        <v>0</v>
      </c>
      <c r="AH106" s="590">
        <f t="shared" si="252"/>
        <v>0</v>
      </c>
      <c r="AI106" s="590">
        <f t="shared" si="252"/>
        <v>17796</v>
      </c>
      <c r="AJ106" s="591">
        <f t="shared" si="252"/>
        <v>0</v>
      </c>
      <c r="AK106" s="591">
        <f t="shared" si="252"/>
        <v>0</v>
      </c>
      <c r="AL106" s="591">
        <f t="shared" si="252"/>
        <v>0</v>
      </c>
      <c r="AM106" s="591">
        <f t="shared" si="252"/>
        <v>0</v>
      </c>
      <c r="AN106" s="591">
        <f t="shared" si="252"/>
        <v>0.04</v>
      </c>
      <c r="AO106" s="591">
        <f t="shared" si="252"/>
        <v>0</v>
      </c>
      <c r="AP106" s="591">
        <f t="shared" si="252"/>
        <v>0</v>
      </c>
      <c r="AQ106" s="591">
        <f t="shared" si="252"/>
        <v>0</v>
      </c>
      <c r="AR106" s="591">
        <f t="shared" si="252"/>
        <v>0</v>
      </c>
      <c r="AS106" s="591">
        <f t="shared" si="252"/>
        <v>0.04</v>
      </c>
      <c r="AT106" s="381">
        <f t="shared" si="252"/>
        <v>0.04</v>
      </c>
      <c r="AU106" s="594">
        <f t="shared" si="252"/>
        <v>11605558</v>
      </c>
      <c r="AV106" s="590">
        <f t="shared" si="252"/>
        <v>8414224</v>
      </c>
      <c r="AW106" s="590">
        <f t="shared" si="252"/>
        <v>10500</v>
      </c>
      <c r="AX106" s="590">
        <f t="shared" si="252"/>
        <v>2847556</v>
      </c>
      <c r="AY106" s="590">
        <f t="shared" si="252"/>
        <v>168284</v>
      </c>
      <c r="AZ106" s="590">
        <f t="shared" si="252"/>
        <v>164994</v>
      </c>
      <c r="BA106" s="591">
        <f t="shared" si="252"/>
        <v>17.440999999999999</v>
      </c>
      <c r="BB106" s="591">
        <f t="shared" si="252"/>
        <v>12.068599999999998</v>
      </c>
      <c r="BC106" s="381">
        <f t="shared" si="252"/>
        <v>5.3723999999999998</v>
      </c>
    </row>
    <row r="107" spans="1:55" ht="12.95" customHeight="1" x14ac:dyDescent="0.25">
      <c r="A107" s="308">
        <v>21</v>
      </c>
      <c r="B107" s="225">
        <v>3427</v>
      </c>
      <c r="C107" s="225">
        <v>650023340</v>
      </c>
      <c r="D107" s="309">
        <v>70982988</v>
      </c>
      <c r="E107" s="224" t="s">
        <v>520</v>
      </c>
      <c r="F107" s="225">
        <v>3111</v>
      </c>
      <c r="G107" s="407" t="s">
        <v>325</v>
      </c>
      <c r="H107" s="313" t="s">
        <v>277</v>
      </c>
      <c r="I107" s="477">
        <v>2954307</v>
      </c>
      <c r="J107" s="472">
        <v>2160241</v>
      </c>
      <c r="K107" s="472">
        <v>0</v>
      </c>
      <c r="L107" s="472">
        <v>730161</v>
      </c>
      <c r="M107" s="472">
        <v>43205</v>
      </c>
      <c r="N107" s="472">
        <v>20700</v>
      </c>
      <c r="O107" s="473">
        <v>4.7218</v>
      </c>
      <c r="P107" s="474">
        <v>3.7</v>
      </c>
      <c r="Q107" s="483">
        <v>1.0218</v>
      </c>
      <c r="R107" s="485">
        <f t="shared" ref="R107:R112" si="253">Y107*-1</f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ref="X107:X112" si="254">SUM(R107:W107)</f>
        <v>0</v>
      </c>
      <c r="Y107" s="475">
        <v>0</v>
      </c>
      <c r="Z107" s="475">
        <v>0</v>
      </c>
      <c r="AA107" s="475">
        <v>0</v>
      </c>
      <c r="AB107" s="475">
        <f t="shared" ref="AB107:AB112" si="255">SUM(Y107:AA107)</f>
        <v>0</v>
      </c>
      <c r="AC107" s="475">
        <f t="shared" ref="AC107:AC112" si="256">X107+AB107</f>
        <v>0</v>
      </c>
      <c r="AD107" s="70">
        <f t="shared" ref="AD107:AD112" si="257">ROUND((X107+Y107+Z107)*33.8%,0)</f>
        <v>0</v>
      </c>
      <c r="AE107" s="70">
        <f t="shared" ref="AE107:AE112" si="258">ROUND(X107*2%,0)</f>
        <v>0</v>
      </c>
      <c r="AF107" s="475">
        <v>0</v>
      </c>
      <c r="AG107" s="475">
        <v>0</v>
      </c>
      <c r="AH107" s="475">
        <f t="shared" ref="AH107:AH112" si="259">SUM(AF107:AG107)</f>
        <v>0</v>
      </c>
      <c r="AI107" s="475">
        <f t="shared" ref="AI107:AI112" si="260">AC107+AD107+AE107+AH107</f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 t="shared" ref="AR107:AR112" si="261">AJ107+AL107+AM107+AO107+AP107</f>
        <v>0</v>
      </c>
      <c r="AS107" s="476">
        <f t="shared" ref="AS107:AS112" si="262">AK107+AN107+AQ107</f>
        <v>0</v>
      </c>
      <c r="AT107" s="478">
        <f t="shared" ref="AT107:AT112" si="263">SUM(AR107:AS107)</f>
        <v>0</v>
      </c>
      <c r="AU107" s="484">
        <f t="shared" ref="AU107:AU112" si="264">I107+AI107</f>
        <v>2954307</v>
      </c>
      <c r="AV107" s="475">
        <f t="shared" ref="AV107:AV112" si="265">J107+X107</f>
        <v>2160241</v>
      </c>
      <c r="AW107" s="475">
        <f t="shared" ref="AW107:AW112" si="266">K107+AB107</f>
        <v>0</v>
      </c>
      <c r="AX107" s="475">
        <f t="shared" ref="AX107:AY112" si="267">L107+AD107</f>
        <v>730161</v>
      </c>
      <c r="AY107" s="475">
        <f t="shared" si="267"/>
        <v>43205</v>
      </c>
      <c r="AZ107" s="475">
        <f t="shared" ref="AZ107:AZ112" si="268">N107+AH107</f>
        <v>20700</v>
      </c>
      <c r="BA107" s="476">
        <f t="shared" ref="BA107:BA112" si="269">O107+AT107</f>
        <v>4.7218</v>
      </c>
      <c r="BB107" s="476">
        <f t="shared" ref="BB107:BC112" si="270">P107+AR107</f>
        <v>3.7</v>
      </c>
      <c r="BC107" s="478">
        <f t="shared" si="270"/>
        <v>1.0218</v>
      </c>
    </row>
    <row r="108" spans="1:55" ht="12.95" customHeight="1" x14ac:dyDescent="0.25">
      <c r="A108" s="308">
        <v>21</v>
      </c>
      <c r="B108" s="225">
        <v>3427</v>
      </c>
      <c r="C108" s="225">
        <v>650023340</v>
      </c>
      <c r="D108" s="309">
        <v>70982988</v>
      </c>
      <c r="E108" s="406" t="s">
        <v>520</v>
      </c>
      <c r="F108" s="225">
        <v>3113</v>
      </c>
      <c r="G108" s="406" t="s">
        <v>329</v>
      </c>
      <c r="H108" s="313" t="s">
        <v>277</v>
      </c>
      <c r="I108" s="477">
        <v>12494641</v>
      </c>
      <c r="J108" s="472">
        <v>9008675</v>
      </c>
      <c r="K108" s="472">
        <v>25800</v>
      </c>
      <c r="L108" s="472">
        <v>3053653</v>
      </c>
      <c r="M108" s="472">
        <v>180173</v>
      </c>
      <c r="N108" s="472">
        <v>226340</v>
      </c>
      <c r="O108" s="473">
        <v>18.000499999999999</v>
      </c>
      <c r="P108" s="474">
        <v>13.000299999999999</v>
      </c>
      <c r="Q108" s="670">
        <v>5.0001999999999995</v>
      </c>
      <c r="R108" s="485">
        <f t="shared" si="253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si="254"/>
        <v>0</v>
      </c>
      <c r="Y108" s="475">
        <v>0</v>
      </c>
      <c r="Z108" s="475">
        <v>0</v>
      </c>
      <c r="AA108" s="475">
        <v>0</v>
      </c>
      <c r="AB108" s="475">
        <f t="shared" si="255"/>
        <v>0</v>
      </c>
      <c r="AC108" s="475">
        <f t="shared" si="256"/>
        <v>0</v>
      </c>
      <c r="AD108" s="70">
        <f t="shared" si="257"/>
        <v>0</v>
      </c>
      <c r="AE108" s="70">
        <f t="shared" si="258"/>
        <v>0</v>
      </c>
      <c r="AF108" s="475">
        <v>0</v>
      </c>
      <c r="AG108" s="475">
        <v>0</v>
      </c>
      <c r="AH108" s="475">
        <f t="shared" si="259"/>
        <v>0</v>
      </c>
      <c r="AI108" s="475">
        <f t="shared" si="260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si="261"/>
        <v>0</v>
      </c>
      <c r="AS108" s="476">
        <f t="shared" si="262"/>
        <v>0</v>
      </c>
      <c r="AT108" s="478">
        <f t="shared" si="263"/>
        <v>0</v>
      </c>
      <c r="AU108" s="484">
        <f t="shared" si="264"/>
        <v>12494641</v>
      </c>
      <c r="AV108" s="475">
        <f t="shared" si="265"/>
        <v>9008675</v>
      </c>
      <c r="AW108" s="475">
        <f t="shared" si="266"/>
        <v>25800</v>
      </c>
      <c r="AX108" s="475">
        <f t="shared" si="267"/>
        <v>3053653</v>
      </c>
      <c r="AY108" s="475">
        <f t="shared" si="267"/>
        <v>180173</v>
      </c>
      <c r="AZ108" s="475">
        <f t="shared" si="268"/>
        <v>226340</v>
      </c>
      <c r="BA108" s="476">
        <f t="shared" si="269"/>
        <v>18.000499999999999</v>
      </c>
      <c r="BB108" s="476">
        <f t="shared" si="270"/>
        <v>13.000299999999999</v>
      </c>
      <c r="BC108" s="478">
        <f t="shared" si="270"/>
        <v>5.0001999999999995</v>
      </c>
    </row>
    <row r="109" spans="1:55" ht="12.95" customHeight="1" x14ac:dyDescent="0.25">
      <c r="A109" s="308">
        <v>21</v>
      </c>
      <c r="B109" s="225">
        <v>3427</v>
      </c>
      <c r="C109" s="225">
        <v>650023340</v>
      </c>
      <c r="D109" s="309">
        <v>70982988</v>
      </c>
      <c r="E109" s="406" t="s">
        <v>520</v>
      </c>
      <c r="F109" s="225">
        <v>3113</v>
      </c>
      <c r="G109" s="351" t="s">
        <v>312</v>
      </c>
      <c r="H109" s="313" t="s">
        <v>278</v>
      </c>
      <c r="I109" s="477">
        <v>1722314</v>
      </c>
      <c r="J109" s="472">
        <v>1268273</v>
      </c>
      <c r="K109" s="472">
        <v>0</v>
      </c>
      <c r="L109" s="472">
        <v>428676</v>
      </c>
      <c r="M109" s="472">
        <v>25365</v>
      </c>
      <c r="N109" s="472">
        <v>0</v>
      </c>
      <c r="O109" s="473">
        <v>3.7399999999999998</v>
      </c>
      <c r="P109" s="474">
        <v>3.7399999999999998</v>
      </c>
      <c r="Q109" s="483">
        <v>0</v>
      </c>
      <c r="R109" s="485">
        <f t="shared" si="253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54"/>
        <v>0</v>
      </c>
      <c r="Y109" s="475">
        <v>0</v>
      </c>
      <c r="Z109" s="475">
        <v>0</v>
      </c>
      <c r="AA109" s="475">
        <v>0</v>
      </c>
      <c r="AB109" s="475">
        <f t="shared" si="255"/>
        <v>0</v>
      </c>
      <c r="AC109" s="475">
        <f t="shared" si="256"/>
        <v>0</v>
      </c>
      <c r="AD109" s="70">
        <f t="shared" si="257"/>
        <v>0</v>
      </c>
      <c r="AE109" s="70">
        <f t="shared" si="258"/>
        <v>0</v>
      </c>
      <c r="AF109" s="475">
        <v>0</v>
      </c>
      <c r="AG109" s="475">
        <v>0</v>
      </c>
      <c r="AH109" s="475">
        <f t="shared" si="259"/>
        <v>0</v>
      </c>
      <c r="AI109" s="475">
        <f t="shared" si="260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 t="shared" si="261"/>
        <v>0</v>
      </c>
      <c r="AS109" s="476">
        <f t="shared" si="262"/>
        <v>0</v>
      </c>
      <c r="AT109" s="478">
        <f t="shared" si="263"/>
        <v>0</v>
      </c>
      <c r="AU109" s="484">
        <f t="shared" si="264"/>
        <v>1722314</v>
      </c>
      <c r="AV109" s="475">
        <f t="shared" si="265"/>
        <v>1268273</v>
      </c>
      <c r="AW109" s="475">
        <f t="shared" si="266"/>
        <v>0</v>
      </c>
      <c r="AX109" s="475">
        <f t="shared" si="267"/>
        <v>428676</v>
      </c>
      <c r="AY109" s="475">
        <f t="shared" si="267"/>
        <v>25365</v>
      </c>
      <c r="AZ109" s="475">
        <f t="shared" si="268"/>
        <v>0</v>
      </c>
      <c r="BA109" s="476">
        <f t="shared" si="269"/>
        <v>3.7399999999999998</v>
      </c>
      <c r="BB109" s="476">
        <f t="shared" si="270"/>
        <v>3.7399999999999998</v>
      </c>
      <c r="BC109" s="478">
        <f t="shared" si="270"/>
        <v>0</v>
      </c>
    </row>
    <row r="110" spans="1:55" ht="12.95" customHeight="1" x14ac:dyDescent="0.25">
      <c r="A110" s="308">
        <v>21</v>
      </c>
      <c r="B110" s="225">
        <v>3427</v>
      </c>
      <c r="C110" s="225">
        <v>650023340</v>
      </c>
      <c r="D110" s="309">
        <v>70982988</v>
      </c>
      <c r="E110" s="405" t="s">
        <v>520</v>
      </c>
      <c r="F110" s="416">
        <v>3141</v>
      </c>
      <c r="G110" s="407" t="s">
        <v>315</v>
      </c>
      <c r="H110" s="313" t="s">
        <v>278</v>
      </c>
      <c r="I110" s="477">
        <v>1752790</v>
      </c>
      <c r="J110" s="472">
        <v>1282414</v>
      </c>
      <c r="K110" s="472">
        <v>0</v>
      </c>
      <c r="L110" s="472">
        <v>433456</v>
      </c>
      <c r="M110" s="472">
        <v>25648</v>
      </c>
      <c r="N110" s="472">
        <v>11272</v>
      </c>
      <c r="O110" s="473">
        <v>4.04</v>
      </c>
      <c r="P110" s="474">
        <v>0</v>
      </c>
      <c r="Q110" s="483">
        <v>4.04</v>
      </c>
      <c r="R110" s="485">
        <f t="shared" si="253"/>
        <v>0</v>
      </c>
      <c r="S110" s="475">
        <v>0</v>
      </c>
      <c r="T110" s="475">
        <f>13824+975</f>
        <v>14799</v>
      </c>
      <c r="U110" s="475">
        <v>0</v>
      </c>
      <c r="V110" s="475">
        <v>0</v>
      </c>
      <c r="W110" s="475">
        <v>0</v>
      </c>
      <c r="X110" s="475">
        <f t="shared" si="254"/>
        <v>14799</v>
      </c>
      <c r="Y110" s="475">
        <v>0</v>
      </c>
      <c r="Z110" s="475">
        <v>0</v>
      </c>
      <c r="AA110" s="475">
        <v>0</v>
      </c>
      <c r="AB110" s="475">
        <f t="shared" si="255"/>
        <v>0</v>
      </c>
      <c r="AC110" s="475">
        <f t="shared" si="256"/>
        <v>14799</v>
      </c>
      <c r="AD110" s="70">
        <f t="shared" si="257"/>
        <v>5002</v>
      </c>
      <c r="AE110" s="70">
        <f t="shared" si="258"/>
        <v>296</v>
      </c>
      <c r="AF110" s="475">
        <v>0</v>
      </c>
      <c r="AG110" s="475">
        <v>0</v>
      </c>
      <c r="AH110" s="475">
        <f t="shared" si="259"/>
        <v>0</v>
      </c>
      <c r="AI110" s="475">
        <f t="shared" si="260"/>
        <v>20097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0.04</v>
      </c>
      <c r="AO110" s="476">
        <v>0</v>
      </c>
      <c r="AP110" s="476">
        <v>0</v>
      </c>
      <c r="AQ110" s="476">
        <v>0</v>
      </c>
      <c r="AR110" s="476">
        <f t="shared" si="261"/>
        <v>0</v>
      </c>
      <c r="AS110" s="476">
        <f t="shared" si="262"/>
        <v>0.04</v>
      </c>
      <c r="AT110" s="478">
        <f t="shared" si="263"/>
        <v>0.04</v>
      </c>
      <c r="AU110" s="484">
        <f t="shared" si="264"/>
        <v>1772887</v>
      </c>
      <c r="AV110" s="475">
        <f t="shared" si="265"/>
        <v>1297213</v>
      </c>
      <c r="AW110" s="475">
        <f t="shared" si="266"/>
        <v>0</v>
      </c>
      <c r="AX110" s="475">
        <f t="shared" si="267"/>
        <v>438458</v>
      </c>
      <c r="AY110" s="475">
        <f t="shared" si="267"/>
        <v>25944</v>
      </c>
      <c r="AZ110" s="475">
        <f t="shared" si="268"/>
        <v>11272</v>
      </c>
      <c r="BA110" s="476">
        <f t="shared" si="269"/>
        <v>4.08</v>
      </c>
      <c r="BB110" s="476">
        <f t="shared" si="270"/>
        <v>0</v>
      </c>
      <c r="BC110" s="478">
        <f t="shared" si="270"/>
        <v>4.08</v>
      </c>
    </row>
    <row r="111" spans="1:55" ht="12.95" customHeight="1" x14ac:dyDescent="0.25">
      <c r="A111" s="308">
        <v>21</v>
      </c>
      <c r="B111" s="225">
        <v>3427</v>
      </c>
      <c r="C111" s="225">
        <v>650023340</v>
      </c>
      <c r="D111" s="309">
        <v>70982988</v>
      </c>
      <c r="E111" s="406" t="s">
        <v>520</v>
      </c>
      <c r="F111" s="225">
        <v>3143</v>
      </c>
      <c r="G111" s="351" t="s">
        <v>626</v>
      </c>
      <c r="H111" s="313" t="s">
        <v>277</v>
      </c>
      <c r="I111" s="477">
        <v>1130190</v>
      </c>
      <c r="J111" s="472">
        <v>832246</v>
      </c>
      <c r="K111" s="472">
        <v>0</v>
      </c>
      <c r="L111" s="472">
        <v>281299</v>
      </c>
      <c r="M111" s="472">
        <v>16645</v>
      </c>
      <c r="N111" s="472">
        <v>0</v>
      </c>
      <c r="O111" s="473">
        <v>1.7142999999999999</v>
      </c>
      <c r="P111" s="474">
        <v>1.7142999999999999</v>
      </c>
      <c r="Q111" s="483">
        <v>0</v>
      </c>
      <c r="R111" s="485">
        <f t="shared" si="253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54"/>
        <v>0</v>
      </c>
      <c r="Y111" s="475">
        <v>0</v>
      </c>
      <c r="Z111" s="475">
        <v>0</v>
      </c>
      <c r="AA111" s="475">
        <v>0</v>
      </c>
      <c r="AB111" s="475">
        <f t="shared" si="255"/>
        <v>0</v>
      </c>
      <c r="AC111" s="475">
        <f t="shared" si="256"/>
        <v>0</v>
      </c>
      <c r="AD111" s="70">
        <f t="shared" si="257"/>
        <v>0</v>
      </c>
      <c r="AE111" s="70">
        <f t="shared" si="258"/>
        <v>0</v>
      </c>
      <c r="AF111" s="475">
        <v>0</v>
      </c>
      <c r="AG111" s="475">
        <v>0</v>
      </c>
      <c r="AH111" s="475">
        <f t="shared" si="259"/>
        <v>0</v>
      </c>
      <c r="AI111" s="475">
        <f t="shared" si="260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 t="shared" si="261"/>
        <v>0</v>
      </c>
      <c r="AS111" s="476">
        <f t="shared" si="262"/>
        <v>0</v>
      </c>
      <c r="AT111" s="478">
        <f t="shared" si="263"/>
        <v>0</v>
      </c>
      <c r="AU111" s="484">
        <f t="shared" si="264"/>
        <v>1130190</v>
      </c>
      <c r="AV111" s="475">
        <f t="shared" si="265"/>
        <v>832246</v>
      </c>
      <c r="AW111" s="475">
        <f t="shared" si="266"/>
        <v>0</v>
      </c>
      <c r="AX111" s="475">
        <f t="shared" si="267"/>
        <v>281299</v>
      </c>
      <c r="AY111" s="475">
        <f t="shared" si="267"/>
        <v>16645</v>
      </c>
      <c r="AZ111" s="475">
        <f t="shared" si="268"/>
        <v>0</v>
      </c>
      <c r="BA111" s="476">
        <f t="shared" si="269"/>
        <v>1.7142999999999999</v>
      </c>
      <c r="BB111" s="476">
        <f t="shared" si="270"/>
        <v>1.7142999999999999</v>
      </c>
      <c r="BC111" s="478">
        <f t="shared" si="270"/>
        <v>0</v>
      </c>
    </row>
    <row r="112" spans="1:55" ht="12.95" customHeight="1" x14ac:dyDescent="0.25">
      <c r="A112" s="308">
        <v>21</v>
      </c>
      <c r="B112" s="225">
        <v>3427</v>
      </c>
      <c r="C112" s="225">
        <v>650023340</v>
      </c>
      <c r="D112" s="309">
        <v>70982988</v>
      </c>
      <c r="E112" s="406" t="s">
        <v>520</v>
      </c>
      <c r="F112" s="225">
        <v>3143</v>
      </c>
      <c r="G112" s="351" t="s">
        <v>627</v>
      </c>
      <c r="H112" s="313" t="s">
        <v>278</v>
      </c>
      <c r="I112" s="477">
        <v>33264</v>
      </c>
      <c r="J112" s="472">
        <v>23523</v>
      </c>
      <c r="K112" s="472">
        <v>0</v>
      </c>
      <c r="L112" s="472">
        <v>7951</v>
      </c>
      <c r="M112" s="472">
        <v>470</v>
      </c>
      <c r="N112" s="472">
        <v>1320</v>
      </c>
      <c r="O112" s="473">
        <v>0.09</v>
      </c>
      <c r="P112" s="474">
        <v>0</v>
      </c>
      <c r="Q112" s="483">
        <v>0.09</v>
      </c>
      <c r="R112" s="485">
        <f t="shared" si="253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54"/>
        <v>0</v>
      </c>
      <c r="Y112" s="475">
        <v>0</v>
      </c>
      <c r="Z112" s="475">
        <v>0</v>
      </c>
      <c r="AA112" s="475">
        <v>0</v>
      </c>
      <c r="AB112" s="475">
        <f t="shared" si="255"/>
        <v>0</v>
      </c>
      <c r="AC112" s="475">
        <f t="shared" si="256"/>
        <v>0</v>
      </c>
      <c r="AD112" s="70">
        <f t="shared" si="257"/>
        <v>0</v>
      </c>
      <c r="AE112" s="70">
        <f t="shared" si="258"/>
        <v>0</v>
      </c>
      <c r="AF112" s="475">
        <v>0</v>
      </c>
      <c r="AG112" s="475">
        <v>0</v>
      </c>
      <c r="AH112" s="475">
        <f t="shared" si="259"/>
        <v>0</v>
      </c>
      <c r="AI112" s="475">
        <f t="shared" si="260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261"/>
        <v>0</v>
      </c>
      <c r="AS112" s="476">
        <f t="shared" si="262"/>
        <v>0</v>
      </c>
      <c r="AT112" s="478">
        <f t="shared" si="263"/>
        <v>0</v>
      </c>
      <c r="AU112" s="484">
        <f t="shared" si="264"/>
        <v>33264</v>
      </c>
      <c r="AV112" s="475">
        <f t="shared" si="265"/>
        <v>23523</v>
      </c>
      <c r="AW112" s="475">
        <f t="shared" si="266"/>
        <v>0</v>
      </c>
      <c r="AX112" s="475">
        <f t="shared" si="267"/>
        <v>7951</v>
      </c>
      <c r="AY112" s="475">
        <f t="shared" si="267"/>
        <v>470</v>
      </c>
      <c r="AZ112" s="475">
        <f t="shared" si="268"/>
        <v>1320</v>
      </c>
      <c r="BA112" s="476">
        <f t="shared" si="269"/>
        <v>0.09</v>
      </c>
      <c r="BB112" s="476">
        <f t="shared" si="270"/>
        <v>0</v>
      </c>
      <c r="BC112" s="478">
        <f t="shared" si="270"/>
        <v>0.09</v>
      </c>
    </row>
    <row r="113" spans="1:55" ht="12.95" customHeight="1" x14ac:dyDescent="0.25">
      <c r="A113" s="226">
        <v>21</v>
      </c>
      <c r="B113" s="47">
        <v>3427</v>
      </c>
      <c r="C113" s="47">
        <v>650023340</v>
      </c>
      <c r="D113" s="47">
        <v>70982988</v>
      </c>
      <c r="E113" s="408" t="s">
        <v>521</v>
      </c>
      <c r="F113" s="46"/>
      <c r="G113" s="408"/>
      <c r="H113" s="190"/>
      <c r="I113" s="612">
        <v>20087506</v>
      </c>
      <c r="J113" s="609">
        <v>14575372</v>
      </c>
      <c r="K113" s="609">
        <v>25800</v>
      </c>
      <c r="L113" s="609">
        <v>4935196</v>
      </c>
      <c r="M113" s="609">
        <v>291506</v>
      </c>
      <c r="N113" s="609">
        <v>259632</v>
      </c>
      <c r="O113" s="610">
        <v>32.306599999999996</v>
      </c>
      <c r="P113" s="610">
        <v>22.154599999999999</v>
      </c>
      <c r="Q113" s="614">
        <v>10.151999999999999</v>
      </c>
      <c r="R113" s="612">
        <f t="shared" ref="R113:BC113" si="271">SUM(R107:R112)</f>
        <v>0</v>
      </c>
      <c r="S113" s="609">
        <f t="shared" si="271"/>
        <v>0</v>
      </c>
      <c r="T113" s="609">
        <f t="shared" si="271"/>
        <v>14799</v>
      </c>
      <c r="U113" s="609">
        <f t="shared" si="271"/>
        <v>0</v>
      </c>
      <c r="V113" s="609">
        <f t="shared" si="271"/>
        <v>0</v>
      </c>
      <c r="W113" s="609">
        <f t="shared" si="271"/>
        <v>0</v>
      </c>
      <c r="X113" s="609">
        <f t="shared" si="271"/>
        <v>14799</v>
      </c>
      <c r="Y113" s="609">
        <f t="shared" si="271"/>
        <v>0</v>
      </c>
      <c r="Z113" s="609">
        <f t="shared" si="271"/>
        <v>0</v>
      </c>
      <c r="AA113" s="609">
        <f t="shared" si="271"/>
        <v>0</v>
      </c>
      <c r="AB113" s="609">
        <f t="shared" si="271"/>
        <v>0</v>
      </c>
      <c r="AC113" s="609">
        <f t="shared" si="271"/>
        <v>14799</v>
      </c>
      <c r="AD113" s="609">
        <f t="shared" si="271"/>
        <v>5002</v>
      </c>
      <c r="AE113" s="609">
        <f t="shared" si="271"/>
        <v>296</v>
      </c>
      <c r="AF113" s="609">
        <f t="shared" si="271"/>
        <v>0</v>
      </c>
      <c r="AG113" s="609">
        <f t="shared" si="271"/>
        <v>0</v>
      </c>
      <c r="AH113" s="609">
        <f t="shared" si="271"/>
        <v>0</v>
      </c>
      <c r="AI113" s="609">
        <f t="shared" si="271"/>
        <v>20097</v>
      </c>
      <c r="AJ113" s="610">
        <f t="shared" si="271"/>
        <v>0</v>
      </c>
      <c r="AK113" s="610">
        <f t="shared" si="271"/>
        <v>0</v>
      </c>
      <c r="AL113" s="610">
        <f t="shared" si="271"/>
        <v>0</v>
      </c>
      <c r="AM113" s="610">
        <f t="shared" si="271"/>
        <v>0</v>
      </c>
      <c r="AN113" s="610">
        <f t="shared" si="271"/>
        <v>0.04</v>
      </c>
      <c r="AO113" s="610">
        <f t="shared" si="271"/>
        <v>0</v>
      </c>
      <c r="AP113" s="610">
        <f t="shared" si="271"/>
        <v>0</v>
      </c>
      <c r="AQ113" s="610">
        <f t="shared" si="271"/>
        <v>0</v>
      </c>
      <c r="AR113" s="610">
        <f t="shared" si="271"/>
        <v>0</v>
      </c>
      <c r="AS113" s="610">
        <f t="shared" si="271"/>
        <v>0.04</v>
      </c>
      <c r="AT113" s="413">
        <f t="shared" si="271"/>
        <v>0.04</v>
      </c>
      <c r="AU113" s="616">
        <f t="shared" si="271"/>
        <v>20107603</v>
      </c>
      <c r="AV113" s="609">
        <f t="shared" si="271"/>
        <v>14590171</v>
      </c>
      <c r="AW113" s="609">
        <f t="shared" si="271"/>
        <v>25800</v>
      </c>
      <c r="AX113" s="609">
        <f t="shared" si="271"/>
        <v>4940198</v>
      </c>
      <c r="AY113" s="609">
        <f t="shared" si="271"/>
        <v>291802</v>
      </c>
      <c r="AZ113" s="609">
        <f t="shared" si="271"/>
        <v>259632</v>
      </c>
      <c r="BA113" s="610">
        <f t="shared" si="271"/>
        <v>32.346600000000002</v>
      </c>
      <c r="BB113" s="610">
        <f t="shared" si="271"/>
        <v>22.154599999999999</v>
      </c>
      <c r="BC113" s="413">
        <f t="shared" si="271"/>
        <v>10.192</v>
      </c>
    </row>
    <row r="114" spans="1:55" ht="12.95" customHeight="1" x14ac:dyDescent="0.25">
      <c r="A114" s="308">
        <v>22</v>
      </c>
      <c r="B114" s="225">
        <v>5484</v>
      </c>
      <c r="C114" s="225">
        <v>600098532</v>
      </c>
      <c r="D114" s="309">
        <v>72743255</v>
      </c>
      <c r="E114" s="406" t="s">
        <v>522</v>
      </c>
      <c r="F114" s="225">
        <v>3111</v>
      </c>
      <c r="G114" s="407" t="s">
        <v>325</v>
      </c>
      <c r="H114" s="313" t="s">
        <v>277</v>
      </c>
      <c r="I114" s="477">
        <v>6338450</v>
      </c>
      <c r="J114" s="472">
        <v>4642636</v>
      </c>
      <c r="K114" s="472">
        <v>0</v>
      </c>
      <c r="L114" s="472">
        <v>1569211</v>
      </c>
      <c r="M114" s="472">
        <v>92853</v>
      </c>
      <c r="N114" s="472">
        <v>33750</v>
      </c>
      <c r="O114" s="473">
        <v>10.668199999999999</v>
      </c>
      <c r="P114" s="474">
        <v>8</v>
      </c>
      <c r="Q114" s="483">
        <v>2.6681999999999997</v>
      </c>
      <c r="R114" s="485">
        <f t="shared" ref="R114:R115" si="272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>SUM(R114:W114)</f>
        <v>0</v>
      </c>
      <c r="Y114" s="475">
        <v>0</v>
      </c>
      <c r="Z114" s="475">
        <v>0</v>
      </c>
      <c r="AA114" s="475">
        <v>0</v>
      </c>
      <c r="AB114" s="475">
        <f t="shared" ref="AB114:AB115" si="273">SUM(Y114:AA114)</f>
        <v>0</v>
      </c>
      <c r="AC114" s="475">
        <f t="shared" ref="AC114:AC115" si="274">X114+AB114</f>
        <v>0</v>
      </c>
      <c r="AD114" s="70">
        <f t="shared" ref="AD114:AD115" si="275">ROUND((X114+Y114+Z114)*33.8%,0)</f>
        <v>0</v>
      </c>
      <c r="AE114" s="70">
        <f t="shared" ref="AE114:AE115" si="276">ROUND(X114*2%,0)</f>
        <v>0</v>
      </c>
      <c r="AF114" s="475">
        <v>0</v>
      </c>
      <c r="AG114" s="475">
        <v>0</v>
      </c>
      <c r="AH114" s="475">
        <f t="shared" ref="AH114:AH115" si="277">SUM(AF114:AG114)</f>
        <v>0</v>
      </c>
      <c r="AI114" s="475">
        <f t="shared" ref="AI114:AI115" si="278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ref="AT114:AT115" si="279">SUM(AR114:AS114)</f>
        <v>0</v>
      </c>
      <c r="AU114" s="484">
        <f>I114+AI114</f>
        <v>6338450</v>
      </c>
      <c r="AV114" s="475">
        <f>J114+X114</f>
        <v>4642636</v>
      </c>
      <c r="AW114" s="475">
        <f t="shared" ref="AW114:AW115" si="280">K114+AB114</f>
        <v>0</v>
      </c>
      <c r="AX114" s="475">
        <f>L114+AD114</f>
        <v>1569211</v>
      </c>
      <c r="AY114" s="475">
        <f>M114+AE114</f>
        <v>92853</v>
      </c>
      <c r="AZ114" s="475">
        <f>N114+AH114</f>
        <v>33750</v>
      </c>
      <c r="BA114" s="476">
        <f>O114+AT114</f>
        <v>10.668199999999999</v>
      </c>
      <c r="BB114" s="476">
        <f>P114+AR114</f>
        <v>8</v>
      </c>
      <c r="BC114" s="478">
        <f>Q114+AS114</f>
        <v>2.6681999999999997</v>
      </c>
    </row>
    <row r="115" spans="1:55" ht="12.95" customHeight="1" x14ac:dyDescent="0.25">
      <c r="A115" s="308">
        <v>22</v>
      </c>
      <c r="B115" s="225">
        <v>5484</v>
      </c>
      <c r="C115" s="225">
        <v>600098532</v>
      </c>
      <c r="D115" s="309">
        <v>72743255</v>
      </c>
      <c r="E115" s="406" t="s">
        <v>522</v>
      </c>
      <c r="F115" s="225">
        <v>3141</v>
      </c>
      <c r="G115" s="407" t="s">
        <v>315</v>
      </c>
      <c r="H115" s="313" t="s">
        <v>278</v>
      </c>
      <c r="I115" s="477">
        <v>1348035</v>
      </c>
      <c r="J115" s="472">
        <v>987248</v>
      </c>
      <c r="K115" s="472">
        <v>0</v>
      </c>
      <c r="L115" s="472">
        <v>333690</v>
      </c>
      <c r="M115" s="472">
        <v>19745</v>
      </c>
      <c r="N115" s="472">
        <v>7352</v>
      </c>
      <c r="O115" s="473">
        <v>3.11</v>
      </c>
      <c r="P115" s="474">
        <v>0</v>
      </c>
      <c r="Q115" s="483">
        <v>3.11</v>
      </c>
      <c r="R115" s="485">
        <f t="shared" si="272"/>
        <v>0</v>
      </c>
      <c r="S115" s="475">
        <v>0</v>
      </c>
      <c r="T115" s="475">
        <v>-1925</v>
      </c>
      <c r="U115" s="475">
        <v>0</v>
      </c>
      <c r="V115" s="475">
        <v>0</v>
      </c>
      <c r="W115" s="475">
        <v>0</v>
      </c>
      <c r="X115" s="475">
        <f>SUM(R115:W115)</f>
        <v>-1925</v>
      </c>
      <c r="Y115" s="475">
        <v>0</v>
      </c>
      <c r="Z115" s="475">
        <v>0</v>
      </c>
      <c r="AA115" s="475">
        <v>0</v>
      </c>
      <c r="AB115" s="475">
        <f t="shared" si="273"/>
        <v>0</v>
      </c>
      <c r="AC115" s="475">
        <f t="shared" si="274"/>
        <v>-1925</v>
      </c>
      <c r="AD115" s="70">
        <f t="shared" si="275"/>
        <v>-651</v>
      </c>
      <c r="AE115" s="70">
        <f t="shared" si="276"/>
        <v>-39</v>
      </c>
      <c r="AF115" s="475">
        <v>0</v>
      </c>
      <c r="AG115" s="475">
        <v>0</v>
      </c>
      <c r="AH115" s="475">
        <f t="shared" si="277"/>
        <v>0</v>
      </c>
      <c r="AI115" s="475">
        <f t="shared" si="278"/>
        <v>-2615</v>
      </c>
      <c r="AJ115" s="476">
        <v>0</v>
      </c>
      <c r="AK115" s="476">
        <v>0</v>
      </c>
      <c r="AL115" s="476">
        <v>0</v>
      </c>
      <c r="AM115" s="476">
        <v>0</v>
      </c>
      <c r="AN115" s="476">
        <v>-0.01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-0.01</v>
      </c>
      <c r="AT115" s="478">
        <f t="shared" si="279"/>
        <v>-0.01</v>
      </c>
      <c r="AU115" s="484">
        <f>I115+AI115</f>
        <v>1345420</v>
      </c>
      <c r="AV115" s="475">
        <f>J115+X115</f>
        <v>985323</v>
      </c>
      <c r="AW115" s="475">
        <f t="shared" si="280"/>
        <v>0</v>
      </c>
      <c r="AX115" s="475">
        <f>L115+AD115</f>
        <v>333039</v>
      </c>
      <c r="AY115" s="475">
        <f>M115+AE115</f>
        <v>19706</v>
      </c>
      <c r="AZ115" s="475">
        <f>N115+AH115</f>
        <v>7352</v>
      </c>
      <c r="BA115" s="476">
        <f>O115+AT115</f>
        <v>3.1</v>
      </c>
      <c r="BB115" s="476">
        <f>P115+AR115</f>
        <v>0</v>
      </c>
      <c r="BC115" s="478">
        <f>Q115+AS115</f>
        <v>3.1</v>
      </c>
    </row>
    <row r="116" spans="1:55" ht="12.95" customHeight="1" x14ac:dyDescent="0.25">
      <c r="A116" s="226">
        <v>22</v>
      </c>
      <c r="B116" s="46">
        <v>5484</v>
      </c>
      <c r="C116" s="46">
        <v>600098532</v>
      </c>
      <c r="D116" s="46">
        <v>72743255</v>
      </c>
      <c r="E116" s="408" t="s">
        <v>523</v>
      </c>
      <c r="F116" s="46"/>
      <c r="G116" s="408"/>
      <c r="H116" s="190"/>
      <c r="I116" s="560">
        <v>7686485</v>
      </c>
      <c r="J116" s="556">
        <v>5629884</v>
      </c>
      <c r="K116" s="556">
        <v>0</v>
      </c>
      <c r="L116" s="556">
        <v>1902901</v>
      </c>
      <c r="M116" s="556">
        <v>112598</v>
      </c>
      <c r="N116" s="556">
        <v>41102</v>
      </c>
      <c r="O116" s="557">
        <v>13.778199999999998</v>
      </c>
      <c r="P116" s="557">
        <v>8</v>
      </c>
      <c r="Q116" s="562">
        <v>5.7782</v>
      </c>
      <c r="R116" s="560">
        <f t="shared" ref="R116:BC116" si="281">SUM(R114:R115)</f>
        <v>0</v>
      </c>
      <c r="S116" s="556">
        <f t="shared" si="281"/>
        <v>0</v>
      </c>
      <c r="T116" s="556">
        <f t="shared" si="281"/>
        <v>-1925</v>
      </c>
      <c r="U116" s="556">
        <f t="shared" si="281"/>
        <v>0</v>
      </c>
      <c r="V116" s="556">
        <f t="shared" si="281"/>
        <v>0</v>
      </c>
      <c r="W116" s="556">
        <f t="shared" si="281"/>
        <v>0</v>
      </c>
      <c r="X116" s="556">
        <f t="shared" si="281"/>
        <v>-1925</v>
      </c>
      <c r="Y116" s="556">
        <f t="shared" si="281"/>
        <v>0</v>
      </c>
      <c r="Z116" s="556">
        <f t="shared" si="281"/>
        <v>0</v>
      </c>
      <c r="AA116" s="556">
        <f t="shared" si="281"/>
        <v>0</v>
      </c>
      <c r="AB116" s="556">
        <f t="shared" si="281"/>
        <v>0</v>
      </c>
      <c r="AC116" s="556">
        <f t="shared" si="281"/>
        <v>-1925</v>
      </c>
      <c r="AD116" s="556">
        <f t="shared" si="281"/>
        <v>-651</v>
      </c>
      <c r="AE116" s="556">
        <f t="shared" si="281"/>
        <v>-39</v>
      </c>
      <c r="AF116" s="556">
        <f t="shared" si="281"/>
        <v>0</v>
      </c>
      <c r="AG116" s="556">
        <f t="shared" si="281"/>
        <v>0</v>
      </c>
      <c r="AH116" s="556">
        <f t="shared" si="281"/>
        <v>0</v>
      </c>
      <c r="AI116" s="556">
        <f t="shared" si="281"/>
        <v>-2615</v>
      </c>
      <c r="AJ116" s="557">
        <f t="shared" si="281"/>
        <v>0</v>
      </c>
      <c r="AK116" s="557">
        <f t="shared" si="281"/>
        <v>0</v>
      </c>
      <c r="AL116" s="557">
        <f t="shared" si="281"/>
        <v>0</v>
      </c>
      <c r="AM116" s="557">
        <f t="shared" si="281"/>
        <v>0</v>
      </c>
      <c r="AN116" s="557">
        <f t="shared" si="281"/>
        <v>-0.01</v>
      </c>
      <c r="AO116" s="557">
        <f t="shared" si="281"/>
        <v>0</v>
      </c>
      <c r="AP116" s="557">
        <f t="shared" si="281"/>
        <v>0</v>
      </c>
      <c r="AQ116" s="557">
        <f t="shared" si="281"/>
        <v>0</v>
      </c>
      <c r="AR116" s="557">
        <f t="shared" si="281"/>
        <v>0</v>
      </c>
      <c r="AS116" s="557">
        <f t="shared" si="281"/>
        <v>-0.01</v>
      </c>
      <c r="AT116" s="307">
        <f t="shared" si="281"/>
        <v>-0.01</v>
      </c>
      <c r="AU116" s="564">
        <f t="shared" si="281"/>
        <v>7683870</v>
      </c>
      <c r="AV116" s="556">
        <f t="shared" si="281"/>
        <v>5627959</v>
      </c>
      <c r="AW116" s="556">
        <f t="shared" si="281"/>
        <v>0</v>
      </c>
      <c r="AX116" s="556">
        <f t="shared" si="281"/>
        <v>1902250</v>
      </c>
      <c r="AY116" s="556">
        <f t="shared" si="281"/>
        <v>112559</v>
      </c>
      <c r="AZ116" s="556">
        <f t="shared" si="281"/>
        <v>41102</v>
      </c>
      <c r="BA116" s="557">
        <f t="shared" si="281"/>
        <v>13.768199999999998</v>
      </c>
      <c r="BB116" s="557">
        <f t="shared" si="281"/>
        <v>8</v>
      </c>
      <c r="BC116" s="307">
        <f t="shared" si="281"/>
        <v>5.7682000000000002</v>
      </c>
    </row>
    <row r="117" spans="1:55" ht="12.95" customHeight="1" x14ac:dyDescent="0.25">
      <c r="A117" s="308">
        <v>23</v>
      </c>
      <c r="B117" s="225">
        <v>5485</v>
      </c>
      <c r="C117" s="225">
        <v>600099300</v>
      </c>
      <c r="D117" s="309">
        <v>72743174</v>
      </c>
      <c r="E117" s="406" t="s">
        <v>524</v>
      </c>
      <c r="F117" s="225">
        <v>3117</v>
      </c>
      <c r="G117" s="406" t="s">
        <v>329</v>
      </c>
      <c r="H117" s="313" t="s">
        <v>277</v>
      </c>
      <c r="I117" s="477">
        <v>6115912</v>
      </c>
      <c r="J117" s="472">
        <v>4398664</v>
      </c>
      <c r="K117" s="472">
        <v>4280</v>
      </c>
      <c r="L117" s="472">
        <v>1488195</v>
      </c>
      <c r="M117" s="472">
        <v>87973</v>
      </c>
      <c r="N117" s="472">
        <v>136800</v>
      </c>
      <c r="O117" s="473">
        <v>8.9179999999999993</v>
      </c>
      <c r="P117" s="474">
        <v>6.0903</v>
      </c>
      <c r="Q117" s="483">
        <v>2.8277000000000001</v>
      </c>
      <c r="R117" s="485">
        <f t="shared" ref="R117:R121" si="282">Y117*-1</f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>SUM(R117:W117)</f>
        <v>0</v>
      </c>
      <c r="Y117" s="475">
        <v>0</v>
      </c>
      <c r="Z117" s="475">
        <v>0</v>
      </c>
      <c r="AA117" s="475">
        <v>0</v>
      </c>
      <c r="AB117" s="475">
        <f t="shared" ref="AB117:AB121" si="283">SUM(Y117:AA117)</f>
        <v>0</v>
      </c>
      <c r="AC117" s="475">
        <f t="shared" ref="AC117:AC121" si="284">X117+AB117</f>
        <v>0</v>
      </c>
      <c r="AD117" s="70">
        <f t="shared" ref="AD117:AD121" si="285">ROUND((X117+Y117+Z117)*33.8%,0)</f>
        <v>0</v>
      </c>
      <c r="AE117" s="70">
        <f t="shared" ref="AE117:AE121" si="286">ROUND(X117*2%,0)</f>
        <v>0</v>
      </c>
      <c r="AF117" s="475">
        <v>0</v>
      </c>
      <c r="AG117" s="475">
        <v>0</v>
      </c>
      <c r="AH117" s="475">
        <f t="shared" ref="AH117:AH121" si="287">SUM(AF117:AG117)</f>
        <v>0</v>
      </c>
      <c r="AI117" s="475">
        <f t="shared" ref="AI117:AI121" si="288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0</v>
      </c>
      <c r="AT117" s="478">
        <f t="shared" ref="AT117:AT121" si="289">SUM(AR117:AS117)</f>
        <v>0</v>
      </c>
      <c r="AU117" s="484">
        <f>I117+AI117</f>
        <v>6115912</v>
      </c>
      <c r="AV117" s="475">
        <f>J117+X117</f>
        <v>4398664</v>
      </c>
      <c r="AW117" s="475">
        <f t="shared" ref="AW117:AW121" si="290">K117+AB117</f>
        <v>4280</v>
      </c>
      <c r="AX117" s="475">
        <f t="shared" ref="AX117:AY121" si="291">L117+AD117</f>
        <v>1488195</v>
      </c>
      <c r="AY117" s="475">
        <f t="shared" si="291"/>
        <v>87973</v>
      </c>
      <c r="AZ117" s="475">
        <f>N117+AH117</f>
        <v>136800</v>
      </c>
      <c r="BA117" s="476">
        <f>O117+AT117</f>
        <v>8.9179999999999993</v>
      </c>
      <c r="BB117" s="476">
        <f t="shared" ref="BB117:BC121" si="292">P117+AR117</f>
        <v>6.0903</v>
      </c>
      <c r="BC117" s="478">
        <f t="shared" si="292"/>
        <v>2.8277000000000001</v>
      </c>
    </row>
    <row r="118" spans="1:55" ht="12.95" customHeight="1" x14ac:dyDescent="0.25">
      <c r="A118" s="308">
        <v>23</v>
      </c>
      <c r="B118" s="225">
        <v>5485</v>
      </c>
      <c r="C118" s="225">
        <v>600099300</v>
      </c>
      <c r="D118" s="309">
        <v>72743174</v>
      </c>
      <c r="E118" s="405" t="s">
        <v>524</v>
      </c>
      <c r="F118" s="225">
        <v>3117</v>
      </c>
      <c r="G118" s="351" t="s">
        <v>312</v>
      </c>
      <c r="H118" s="313" t="s">
        <v>278</v>
      </c>
      <c r="I118" s="477">
        <v>479778</v>
      </c>
      <c r="J118" s="472">
        <v>352377</v>
      </c>
      <c r="K118" s="472">
        <v>0</v>
      </c>
      <c r="L118" s="472">
        <v>119103</v>
      </c>
      <c r="M118" s="472">
        <v>7048</v>
      </c>
      <c r="N118" s="472">
        <v>1250</v>
      </c>
      <c r="O118" s="473">
        <v>0.95</v>
      </c>
      <c r="P118" s="474">
        <v>0.95</v>
      </c>
      <c r="Q118" s="483">
        <v>0</v>
      </c>
      <c r="R118" s="485">
        <f t="shared" si="282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>SUM(R118:W118)</f>
        <v>0</v>
      </c>
      <c r="Y118" s="475">
        <v>0</v>
      </c>
      <c r="Z118" s="475">
        <v>0</v>
      </c>
      <c r="AA118" s="475">
        <v>0</v>
      </c>
      <c r="AB118" s="475">
        <f t="shared" si="283"/>
        <v>0</v>
      </c>
      <c r="AC118" s="475">
        <f t="shared" si="284"/>
        <v>0</v>
      </c>
      <c r="AD118" s="70">
        <f t="shared" si="285"/>
        <v>0</v>
      </c>
      <c r="AE118" s="70">
        <f t="shared" si="286"/>
        <v>0</v>
      </c>
      <c r="AF118" s="475">
        <v>0</v>
      </c>
      <c r="AG118" s="475">
        <v>0</v>
      </c>
      <c r="AH118" s="475">
        <f t="shared" si="287"/>
        <v>0</v>
      </c>
      <c r="AI118" s="475">
        <f t="shared" si="288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</v>
      </c>
      <c r="AS118" s="476">
        <f>AK118+AN118+AQ118</f>
        <v>0</v>
      </c>
      <c r="AT118" s="478">
        <f t="shared" si="289"/>
        <v>0</v>
      </c>
      <c r="AU118" s="484">
        <f>I118+AI118</f>
        <v>479778</v>
      </c>
      <c r="AV118" s="475">
        <f>J118+X118</f>
        <v>352377</v>
      </c>
      <c r="AW118" s="475">
        <f t="shared" si="290"/>
        <v>0</v>
      </c>
      <c r="AX118" s="475">
        <f t="shared" si="291"/>
        <v>119103</v>
      </c>
      <c r="AY118" s="475">
        <f t="shared" si="291"/>
        <v>7048</v>
      </c>
      <c r="AZ118" s="475">
        <f>N118+AH118</f>
        <v>1250</v>
      </c>
      <c r="BA118" s="476">
        <f>O118+AT118</f>
        <v>0.95</v>
      </c>
      <c r="BB118" s="476">
        <f t="shared" si="292"/>
        <v>0.95</v>
      </c>
      <c r="BC118" s="478">
        <f t="shared" si="292"/>
        <v>0</v>
      </c>
    </row>
    <row r="119" spans="1:55" ht="12.95" customHeight="1" x14ac:dyDescent="0.25">
      <c r="A119" s="308">
        <v>23</v>
      </c>
      <c r="B119" s="225">
        <v>5485</v>
      </c>
      <c r="C119" s="225">
        <v>600099300</v>
      </c>
      <c r="D119" s="309">
        <v>72743174</v>
      </c>
      <c r="E119" s="406" t="s">
        <v>524</v>
      </c>
      <c r="F119" s="225">
        <v>3141</v>
      </c>
      <c r="G119" s="407" t="s">
        <v>315</v>
      </c>
      <c r="H119" s="313" t="s">
        <v>278</v>
      </c>
      <c r="I119" s="477">
        <v>296482</v>
      </c>
      <c r="J119" s="472">
        <v>216112</v>
      </c>
      <c r="K119" s="472">
        <v>0</v>
      </c>
      <c r="L119" s="472">
        <v>73046</v>
      </c>
      <c r="M119" s="472">
        <v>4322</v>
      </c>
      <c r="N119" s="472">
        <v>3002</v>
      </c>
      <c r="O119" s="473">
        <v>0.68</v>
      </c>
      <c r="P119" s="474">
        <v>0</v>
      </c>
      <c r="Q119" s="483">
        <v>0.68</v>
      </c>
      <c r="R119" s="485">
        <f t="shared" si="282"/>
        <v>0</v>
      </c>
      <c r="S119" s="475">
        <v>0</v>
      </c>
      <c r="T119" s="475">
        <v>2731</v>
      </c>
      <c r="U119" s="475">
        <v>0</v>
      </c>
      <c r="V119" s="475">
        <v>0</v>
      </c>
      <c r="W119" s="475">
        <v>0</v>
      </c>
      <c r="X119" s="475">
        <f>SUM(R119:W119)</f>
        <v>2731</v>
      </c>
      <c r="Y119" s="475">
        <v>0</v>
      </c>
      <c r="Z119" s="475">
        <v>0</v>
      </c>
      <c r="AA119" s="475">
        <v>0</v>
      </c>
      <c r="AB119" s="475">
        <f t="shared" si="283"/>
        <v>0</v>
      </c>
      <c r="AC119" s="475">
        <f t="shared" si="284"/>
        <v>2731</v>
      </c>
      <c r="AD119" s="70">
        <f t="shared" si="285"/>
        <v>923</v>
      </c>
      <c r="AE119" s="70">
        <f t="shared" si="286"/>
        <v>55</v>
      </c>
      <c r="AF119" s="475">
        <v>0</v>
      </c>
      <c r="AG119" s="475">
        <v>0</v>
      </c>
      <c r="AH119" s="475">
        <f t="shared" si="287"/>
        <v>0</v>
      </c>
      <c r="AI119" s="475">
        <f t="shared" si="288"/>
        <v>3709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0.01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0.01</v>
      </c>
      <c r="AT119" s="478">
        <f t="shared" si="289"/>
        <v>0.01</v>
      </c>
      <c r="AU119" s="484">
        <f>I119+AI119</f>
        <v>300191</v>
      </c>
      <c r="AV119" s="475">
        <f>J119+X119</f>
        <v>218843</v>
      </c>
      <c r="AW119" s="475">
        <f t="shared" si="290"/>
        <v>0</v>
      </c>
      <c r="AX119" s="475">
        <f t="shared" si="291"/>
        <v>73969</v>
      </c>
      <c r="AY119" s="475">
        <f t="shared" si="291"/>
        <v>4377</v>
      </c>
      <c r="AZ119" s="475">
        <f>N119+AH119</f>
        <v>3002</v>
      </c>
      <c r="BA119" s="476">
        <f>O119+AT119</f>
        <v>0.69000000000000006</v>
      </c>
      <c r="BB119" s="476">
        <f t="shared" si="292"/>
        <v>0</v>
      </c>
      <c r="BC119" s="478">
        <f t="shared" si="292"/>
        <v>0.69000000000000006</v>
      </c>
    </row>
    <row r="120" spans="1:55" ht="12.95" customHeight="1" x14ac:dyDescent="0.25">
      <c r="A120" s="308">
        <v>23</v>
      </c>
      <c r="B120" s="225">
        <v>5485</v>
      </c>
      <c r="C120" s="225">
        <v>600099300</v>
      </c>
      <c r="D120" s="309">
        <v>72743174</v>
      </c>
      <c r="E120" s="405" t="s">
        <v>524</v>
      </c>
      <c r="F120" s="416">
        <v>3143</v>
      </c>
      <c r="G120" s="351" t="s">
        <v>626</v>
      </c>
      <c r="H120" s="313" t="s">
        <v>277</v>
      </c>
      <c r="I120" s="477">
        <v>947045</v>
      </c>
      <c r="J120" s="472">
        <v>697382</v>
      </c>
      <c r="K120" s="472">
        <v>0</v>
      </c>
      <c r="L120" s="472">
        <v>235715</v>
      </c>
      <c r="M120" s="472">
        <v>13948</v>
      </c>
      <c r="N120" s="472">
        <v>0</v>
      </c>
      <c r="O120" s="473">
        <v>1.4</v>
      </c>
      <c r="P120" s="474">
        <v>1.4</v>
      </c>
      <c r="Q120" s="483">
        <v>0</v>
      </c>
      <c r="R120" s="485">
        <f t="shared" si="282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83"/>
        <v>0</v>
      </c>
      <c r="AC120" s="475">
        <f t="shared" si="284"/>
        <v>0</v>
      </c>
      <c r="AD120" s="70">
        <f t="shared" si="285"/>
        <v>0</v>
      </c>
      <c r="AE120" s="70">
        <f t="shared" si="286"/>
        <v>0</v>
      </c>
      <c r="AF120" s="475">
        <v>0</v>
      </c>
      <c r="AG120" s="475">
        <v>0</v>
      </c>
      <c r="AH120" s="475">
        <f t="shared" si="287"/>
        <v>0</v>
      </c>
      <c r="AI120" s="475">
        <f t="shared" si="288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89"/>
        <v>0</v>
      </c>
      <c r="AU120" s="484">
        <f>I120+AI120</f>
        <v>947045</v>
      </c>
      <c r="AV120" s="475">
        <f>J120+X120</f>
        <v>697382</v>
      </c>
      <c r="AW120" s="475">
        <f t="shared" si="290"/>
        <v>0</v>
      </c>
      <c r="AX120" s="475">
        <f t="shared" si="291"/>
        <v>235715</v>
      </c>
      <c r="AY120" s="475">
        <f t="shared" si="291"/>
        <v>13948</v>
      </c>
      <c r="AZ120" s="475">
        <f>N120+AH120</f>
        <v>0</v>
      </c>
      <c r="BA120" s="476">
        <f>O120+AT120</f>
        <v>1.4</v>
      </c>
      <c r="BB120" s="476">
        <f t="shared" si="292"/>
        <v>1.4</v>
      </c>
      <c r="BC120" s="478">
        <f t="shared" si="292"/>
        <v>0</v>
      </c>
    </row>
    <row r="121" spans="1:55" ht="12.95" customHeight="1" x14ac:dyDescent="0.25">
      <c r="A121" s="308">
        <v>23</v>
      </c>
      <c r="B121" s="225">
        <v>5485</v>
      </c>
      <c r="C121" s="225">
        <v>600099300</v>
      </c>
      <c r="D121" s="309">
        <v>72743174</v>
      </c>
      <c r="E121" s="405" t="s">
        <v>524</v>
      </c>
      <c r="F121" s="416">
        <v>3143</v>
      </c>
      <c r="G121" s="351" t="s">
        <v>627</v>
      </c>
      <c r="H121" s="313" t="s">
        <v>278</v>
      </c>
      <c r="I121" s="477">
        <v>45361</v>
      </c>
      <c r="J121" s="472">
        <v>32077</v>
      </c>
      <c r="K121" s="472">
        <v>0</v>
      </c>
      <c r="L121" s="472">
        <v>10842</v>
      </c>
      <c r="M121" s="472">
        <v>642</v>
      </c>
      <c r="N121" s="472">
        <v>1800</v>
      </c>
      <c r="O121" s="473">
        <v>0.13</v>
      </c>
      <c r="P121" s="474">
        <v>0</v>
      </c>
      <c r="Q121" s="483">
        <v>0.13</v>
      </c>
      <c r="R121" s="485">
        <f t="shared" si="282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83"/>
        <v>0</v>
      </c>
      <c r="AC121" s="475">
        <f t="shared" si="284"/>
        <v>0</v>
      </c>
      <c r="AD121" s="70">
        <f t="shared" si="285"/>
        <v>0</v>
      </c>
      <c r="AE121" s="70">
        <f t="shared" si="286"/>
        <v>0</v>
      </c>
      <c r="AF121" s="475">
        <v>0</v>
      </c>
      <c r="AG121" s="475">
        <v>0</v>
      </c>
      <c r="AH121" s="475">
        <f t="shared" si="287"/>
        <v>0</v>
      </c>
      <c r="AI121" s="475">
        <f t="shared" si="288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89"/>
        <v>0</v>
      </c>
      <c r="AU121" s="484">
        <f>I121+AI121</f>
        <v>45361</v>
      </c>
      <c r="AV121" s="475">
        <f>J121+X121</f>
        <v>32077</v>
      </c>
      <c r="AW121" s="475">
        <f t="shared" si="290"/>
        <v>0</v>
      </c>
      <c r="AX121" s="475">
        <f t="shared" si="291"/>
        <v>10842</v>
      </c>
      <c r="AY121" s="475">
        <f t="shared" si="291"/>
        <v>642</v>
      </c>
      <c r="AZ121" s="475">
        <f>N121+AH121</f>
        <v>1800</v>
      </c>
      <c r="BA121" s="476">
        <f>O121+AT121</f>
        <v>0.13</v>
      </c>
      <c r="BB121" s="476">
        <f t="shared" si="292"/>
        <v>0</v>
      </c>
      <c r="BC121" s="478">
        <f t="shared" si="292"/>
        <v>0.13</v>
      </c>
    </row>
    <row r="122" spans="1:55" ht="12.95" customHeight="1" x14ac:dyDescent="0.25">
      <c r="A122" s="226">
        <v>23</v>
      </c>
      <c r="B122" s="47">
        <v>5485</v>
      </c>
      <c r="C122" s="47">
        <v>600099300</v>
      </c>
      <c r="D122" s="47">
        <v>72743174</v>
      </c>
      <c r="E122" s="417" t="s">
        <v>525</v>
      </c>
      <c r="F122" s="422"/>
      <c r="G122" s="421"/>
      <c r="H122" s="193"/>
      <c r="I122" s="560">
        <v>7884578</v>
      </c>
      <c r="J122" s="556">
        <v>5696612</v>
      </c>
      <c r="K122" s="556">
        <v>4280</v>
      </c>
      <c r="L122" s="556">
        <v>1926901</v>
      </c>
      <c r="M122" s="556">
        <v>113933</v>
      </c>
      <c r="N122" s="556">
        <v>142852</v>
      </c>
      <c r="O122" s="557">
        <v>12.077999999999999</v>
      </c>
      <c r="P122" s="557">
        <v>8.4403000000000006</v>
      </c>
      <c r="Q122" s="562">
        <v>3.6377000000000002</v>
      </c>
      <c r="R122" s="560">
        <f t="shared" ref="R122:BC122" si="293">SUM(R117:R121)</f>
        <v>0</v>
      </c>
      <c r="S122" s="556">
        <f t="shared" si="293"/>
        <v>0</v>
      </c>
      <c r="T122" s="556">
        <f t="shared" si="293"/>
        <v>2731</v>
      </c>
      <c r="U122" s="556">
        <f t="shared" si="293"/>
        <v>0</v>
      </c>
      <c r="V122" s="556">
        <f t="shared" si="293"/>
        <v>0</v>
      </c>
      <c r="W122" s="556">
        <f t="shared" si="293"/>
        <v>0</v>
      </c>
      <c r="X122" s="556">
        <f t="shared" si="293"/>
        <v>2731</v>
      </c>
      <c r="Y122" s="556">
        <f t="shared" si="293"/>
        <v>0</v>
      </c>
      <c r="Z122" s="556">
        <f t="shared" si="293"/>
        <v>0</v>
      </c>
      <c r="AA122" s="556">
        <f t="shared" si="293"/>
        <v>0</v>
      </c>
      <c r="AB122" s="556">
        <f t="shared" si="293"/>
        <v>0</v>
      </c>
      <c r="AC122" s="556">
        <f t="shared" si="293"/>
        <v>2731</v>
      </c>
      <c r="AD122" s="556">
        <f t="shared" si="293"/>
        <v>923</v>
      </c>
      <c r="AE122" s="556">
        <f t="shared" si="293"/>
        <v>55</v>
      </c>
      <c r="AF122" s="556">
        <f t="shared" si="293"/>
        <v>0</v>
      </c>
      <c r="AG122" s="556">
        <f t="shared" si="293"/>
        <v>0</v>
      </c>
      <c r="AH122" s="556">
        <f t="shared" si="293"/>
        <v>0</v>
      </c>
      <c r="AI122" s="556">
        <f t="shared" si="293"/>
        <v>3709</v>
      </c>
      <c r="AJ122" s="557">
        <f t="shared" si="293"/>
        <v>0</v>
      </c>
      <c r="AK122" s="557">
        <f t="shared" si="293"/>
        <v>0</v>
      </c>
      <c r="AL122" s="557">
        <f t="shared" si="293"/>
        <v>0</v>
      </c>
      <c r="AM122" s="557">
        <f t="shared" si="293"/>
        <v>0</v>
      </c>
      <c r="AN122" s="557">
        <f t="shared" si="293"/>
        <v>0.01</v>
      </c>
      <c r="AO122" s="557">
        <f t="shared" si="293"/>
        <v>0</v>
      </c>
      <c r="AP122" s="557">
        <f t="shared" si="293"/>
        <v>0</v>
      </c>
      <c r="AQ122" s="557">
        <f t="shared" si="293"/>
        <v>0</v>
      </c>
      <c r="AR122" s="557">
        <f t="shared" si="293"/>
        <v>0</v>
      </c>
      <c r="AS122" s="557">
        <f t="shared" si="293"/>
        <v>0.01</v>
      </c>
      <c r="AT122" s="307">
        <f t="shared" si="293"/>
        <v>0.01</v>
      </c>
      <c r="AU122" s="564">
        <f t="shared" si="293"/>
        <v>7888287</v>
      </c>
      <c r="AV122" s="556">
        <f t="shared" si="293"/>
        <v>5699343</v>
      </c>
      <c r="AW122" s="556">
        <f t="shared" si="293"/>
        <v>4280</v>
      </c>
      <c r="AX122" s="556">
        <f t="shared" si="293"/>
        <v>1927824</v>
      </c>
      <c r="AY122" s="556">
        <f t="shared" si="293"/>
        <v>113988</v>
      </c>
      <c r="AZ122" s="556">
        <f t="shared" si="293"/>
        <v>142852</v>
      </c>
      <c r="BA122" s="557">
        <f t="shared" si="293"/>
        <v>12.087999999999999</v>
      </c>
      <c r="BB122" s="557">
        <f t="shared" si="293"/>
        <v>8.4403000000000006</v>
      </c>
      <c r="BC122" s="307">
        <f t="shared" si="293"/>
        <v>3.6476999999999999</v>
      </c>
    </row>
    <row r="123" spans="1:55" ht="12.95" customHeight="1" x14ac:dyDescent="0.25">
      <c r="A123" s="308">
        <v>24</v>
      </c>
      <c r="B123" s="225">
        <v>5434</v>
      </c>
      <c r="C123" s="225">
        <v>600098923</v>
      </c>
      <c r="D123" s="309">
        <v>70695318</v>
      </c>
      <c r="E123" s="406" t="s">
        <v>526</v>
      </c>
      <c r="F123" s="225">
        <v>3111</v>
      </c>
      <c r="G123" s="407" t="s">
        <v>325</v>
      </c>
      <c r="H123" s="313" t="s">
        <v>277</v>
      </c>
      <c r="I123" s="477">
        <v>3191236</v>
      </c>
      <c r="J123" s="472">
        <v>2337029</v>
      </c>
      <c r="K123" s="472">
        <v>0</v>
      </c>
      <c r="L123" s="472">
        <v>789916</v>
      </c>
      <c r="M123" s="472">
        <v>46741</v>
      </c>
      <c r="N123" s="472">
        <v>17550</v>
      </c>
      <c r="O123" s="473">
        <v>5.3898000000000001</v>
      </c>
      <c r="P123" s="474">
        <v>4</v>
      </c>
      <c r="Q123" s="483">
        <v>1.3897999999999999</v>
      </c>
      <c r="R123" s="485">
        <f t="shared" ref="R123:R125" si="294">Y123*-1</f>
        <v>0</v>
      </c>
      <c r="S123" s="475">
        <v>0</v>
      </c>
      <c r="T123" s="475">
        <v>0</v>
      </c>
      <c r="U123" s="475">
        <v>0</v>
      </c>
      <c r="V123" s="475">
        <v>-13991</v>
      </c>
      <c r="W123" s="475">
        <v>0</v>
      </c>
      <c r="X123" s="475">
        <f>SUM(R123:W123)</f>
        <v>-13991</v>
      </c>
      <c r="Y123" s="475">
        <v>0</v>
      </c>
      <c r="Z123" s="475">
        <v>0</v>
      </c>
      <c r="AA123" s="475">
        <v>0</v>
      </c>
      <c r="AB123" s="475">
        <f t="shared" ref="AB123:AB125" si="295">SUM(Y123:AA123)</f>
        <v>0</v>
      </c>
      <c r="AC123" s="475">
        <f t="shared" ref="AC123:AC125" si="296">X123+AB123</f>
        <v>-13991</v>
      </c>
      <c r="AD123" s="70">
        <f t="shared" ref="AD123:AD125" si="297">ROUND((X123+Y123+Z123)*33.8%,0)</f>
        <v>-4729</v>
      </c>
      <c r="AE123" s="70">
        <f t="shared" ref="AE123:AE125" si="298">ROUND(X123*2%,0)</f>
        <v>-280</v>
      </c>
      <c r="AF123" s="475">
        <v>0</v>
      </c>
      <c r="AG123" s="475">
        <v>19000</v>
      </c>
      <c r="AH123" s="475">
        <f t="shared" ref="AH123:AH125" si="299">SUM(AF123:AG123)</f>
        <v>19000</v>
      </c>
      <c r="AI123" s="475">
        <f t="shared" ref="AI123:AI125" si="300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ref="AT123:AT125" si="301">SUM(AR123:AS123)</f>
        <v>0</v>
      </c>
      <c r="AU123" s="484">
        <f>I123+AI123</f>
        <v>3191236</v>
      </c>
      <c r="AV123" s="475">
        <f>J123+X123</f>
        <v>2323038</v>
      </c>
      <c r="AW123" s="475">
        <f t="shared" ref="AW123:AW125" si="302">K123+AB123</f>
        <v>0</v>
      </c>
      <c r="AX123" s="475">
        <f t="shared" ref="AX123:AY125" si="303">L123+AD123</f>
        <v>785187</v>
      </c>
      <c r="AY123" s="475">
        <f t="shared" si="303"/>
        <v>46461</v>
      </c>
      <c r="AZ123" s="475">
        <f>N123+AH123</f>
        <v>36550</v>
      </c>
      <c r="BA123" s="476">
        <f>O123+AT123</f>
        <v>5.3898000000000001</v>
      </c>
      <c r="BB123" s="476">
        <f t="shared" ref="BB123:BC125" si="304">P123+AR123</f>
        <v>4</v>
      </c>
      <c r="BC123" s="478">
        <f t="shared" si="304"/>
        <v>1.3897999999999999</v>
      </c>
    </row>
    <row r="124" spans="1:55" ht="12.95" customHeight="1" x14ac:dyDescent="0.25">
      <c r="A124" s="308">
        <v>24</v>
      </c>
      <c r="B124" s="225">
        <v>5434</v>
      </c>
      <c r="C124" s="225">
        <v>600098923</v>
      </c>
      <c r="D124" s="309">
        <v>70695318</v>
      </c>
      <c r="E124" s="405" t="s">
        <v>526</v>
      </c>
      <c r="F124" s="225">
        <v>3111</v>
      </c>
      <c r="G124" s="351" t="s">
        <v>312</v>
      </c>
      <c r="H124" s="313" t="s">
        <v>278</v>
      </c>
      <c r="I124" s="477">
        <v>470470</v>
      </c>
      <c r="J124" s="472">
        <v>346443</v>
      </c>
      <c r="K124" s="472">
        <v>0</v>
      </c>
      <c r="L124" s="472">
        <v>117098</v>
      </c>
      <c r="M124" s="472">
        <v>6929</v>
      </c>
      <c r="N124" s="472">
        <v>0</v>
      </c>
      <c r="O124" s="473">
        <v>1</v>
      </c>
      <c r="P124" s="474">
        <v>1</v>
      </c>
      <c r="Q124" s="483">
        <v>0</v>
      </c>
      <c r="R124" s="485">
        <f t="shared" si="294"/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>SUM(R124:W124)</f>
        <v>0</v>
      </c>
      <c r="Y124" s="475">
        <v>0</v>
      </c>
      <c r="Z124" s="475">
        <v>0</v>
      </c>
      <c r="AA124" s="475">
        <v>0</v>
      </c>
      <c r="AB124" s="475">
        <f t="shared" si="295"/>
        <v>0</v>
      </c>
      <c r="AC124" s="475">
        <f t="shared" si="296"/>
        <v>0</v>
      </c>
      <c r="AD124" s="70">
        <f t="shared" si="297"/>
        <v>0</v>
      </c>
      <c r="AE124" s="70">
        <f t="shared" si="298"/>
        <v>0</v>
      </c>
      <c r="AF124" s="475">
        <v>0</v>
      </c>
      <c r="AG124" s="475">
        <v>0</v>
      </c>
      <c r="AH124" s="475">
        <f t="shared" si="299"/>
        <v>0</v>
      </c>
      <c r="AI124" s="475">
        <f t="shared" si="300"/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301"/>
        <v>0</v>
      </c>
      <c r="AU124" s="484">
        <f>I124+AI124</f>
        <v>470470</v>
      </c>
      <c r="AV124" s="475">
        <f>J124+X124</f>
        <v>346443</v>
      </c>
      <c r="AW124" s="475">
        <f t="shared" si="302"/>
        <v>0</v>
      </c>
      <c r="AX124" s="475">
        <f t="shared" si="303"/>
        <v>117098</v>
      </c>
      <c r="AY124" s="475">
        <f t="shared" si="303"/>
        <v>6929</v>
      </c>
      <c r="AZ124" s="475">
        <f>N124+AH124</f>
        <v>0</v>
      </c>
      <c r="BA124" s="476">
        <f>O124+AT124</f>
        <v>1</v>
      </c>
      <c r="BB124" s="476">
        <f t="shared" si="304"/>
        <v>1</v>
      </c>
      <c r="BC124" s="478">
        <f t="shared" si="304"/>
        <v>0</v>
      </c>
    </row>
    <row r="125" spans="1:55" ht="12.75" customHeight="1" x14ac:dyDescent="0.25">
      <c r="A125" s="308">
        <v>24</v>
      </c>
      <c r="B125" s="225">
        <v>5434</v>
      </c>
      <c r="C125" s="225">
        <v>600098923</v>
      </c>
      <c r="D125" s="309">
        <v>70695318</v>
      </c>
      <c r="E125" s="405" t="s">
        <v>526</v>
      </c>
      <c r="F125" s="416">
        <v>3141</v>
      </c>
      <c r="G125" s="407" t="s">
        <v>315</v>
      </c>
      <c r="H125" s="313" t="s">
        <v>278</v>
      </c>
      <c r="I125" s="477">
        <v>568241</v>
      </c>
      <c r="J125" s="472">
        <v>416817</v>
      </c>
      <c r="K125" s="472">
        <v>0</v>
      </c>
      <c r="L125" s="472">
        <v>140884</v>
      </c>
      <c r="M125" s="472">
        <v>8336</v>
      </c>
      <c r="N125" s="472">
        <v>2204</v>
      </c>
      <c r="O125" s="473">
        <v>1.31</v>
      </c>
      <c r="P125" s="474">
        <v>0</v>
      </c>
      <c r="Q125" s="483">
        <v>1.31</v>
      </c>
      <c r="R125" s="485">
        <f t="shared" si="294"/>
        <v>0</v>
      </c>
      <c r="S125" s="475">
        <v>0</v>
      </c>
      <c r="T125" s="475">
        <v>10123</v>
      </c>
      <c r="U125" s="475">
        <v>0</v>
      </c>
      <c r="V125" s="475">
        <v>0</v>
      </c>
      <c r="W125" s="475">
        <v>0</v>
      </c>
      <c r="X125" s="475">
        <f>SUM(R125:W125)</f>
        <v>10123</v>
      </c>
      <c r="Y125" s="475">
        <v>0</v>
      </c>
      <c r="Z125" s="475">
        <v>0</v>
      </c>
      <c r="AA125" s="475">
        <v>0</v>
      </c>
      <c r="AB125" s="475">
        <f t="shared" si="295"/>
        <v>0</v>
      </c>
      <c r="AC125" s="475">
        <f t="shared" si="296"/>
        <v>10123</v>
      </c>
      <c r="AD125" s="70">
        <f t="shared" si="297"/>
        <v>3422</v>
      </c>
      <c r="AE125" s="70">
        <f t="shared" si="298"/>
        <v>202</v>
      </c>
      <c r="AF125" s="475">
        <v>0</v>
      </c>
      <c r="AG125" s="475">
        <v>0</v>
      </c>
      <c r="AH125" s="475">
        <f t="shared" si="299"/>
        <v>0</v>
      </c>
      <c r="AI125" s="475">
        <f t="shared" si="300"/>
        <v>13747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0.03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0.03</v>
      </c>
      <c r="AT125" s="478">
        <f t="shared" si="301"/>
        <v>0.03</v>
      </c>
      <c r="AU125" s="484">
        <f>I125+AI125</f>
        <v>581988</v>
      </c>
      <c r="AV125" s="475">
        <f>J125+X125</f>
        <v>426940</v>
      </c>
      <c r="AW125" s="475">
        <f t="shared" si="302"/>
        <v>0</v>
      </c>
      <c r="AX125" s="475">
        <f t="shared" si="303"/>
        <v>144306</v>
      </c>
      <c r="AY125" s="475">
        <f t="shared" si="303"/>
        <v>8538</v>
      </c>
      <c r="AZ125" s="475">
        <f>N125+AH125</f>
        <v>2204</v>
      </c>
      <c r="BA125" s="476">
        <f>O125+AT125</f>
        <v>1.34</v>
      </c>
      <c r="BB125" s="476">
        <f t="shared" si="304"/>
        <v>0</v>
      </c>
      <c r="BC125" s="478">
        <f t="shared" si="304"/>
        <v>1.34</v>
      </c>
    </row>
    <row r="126" spans="1:55" ht="12.75" customHeight="1" x14ac:dyDescent="0.25">
      <c r="A126" s="226">
        <v>24</v>
      </c>
      <c r="B126" s="47">
        <v>5434</v>
      </c>
      <c r="C126" s="47">
        <v>600098923</v>
      </c>
      <c r="D126" s="47">
        <v>70695318</v>
      </c>
      <c r="E126" s="417" t="s">
        <v>527</v>
      </c>
      <c r="F126" s="418"/>
      <c r="G126" s="417"/>
      <c r="H126" s="419"/>
      <c r="I126" s="560">
        <v>4229947</v>
      </c>
      <c r="J126" s="556">
        <v>3100289</v>
      </c>
      <c r="K126" s="556">
        <v>0</v>
      </c>
      <c r="L126" s="556">
        <v>1047898</v>
      </c>
      <c r="M126" s="556">
        <v>62006</v>
      </c>
      <c r="N126" s="556">
        <v>19754</v>
      </c>
      <c r="O126" s="557">
        <v>7.6997999999999998</v>
      </c>
      <c r="P126" s="557">
        <v>5</v>
      </c>
      <c r="Q126" s="562">
        <v>2.6997999999999998</v>
      </c>
      <c r="R126" s="560">
        <f t="shared" ref="R126:BC126" si="305">SUM(R123:R125)</f>
        <v>0</v>
      </c>
      <c r="S126" s="556">
        <f t="shared" si="305"/>
        <v>0</v>
      </c>
      <c r="T126" s="556">
        <f t="shared" si="305"/>
        <v>10123</v>
      </c>
      <c r="U126" s="556">
        <f t="shared" si="305"/>
        <v>0</v>
      </c>
      <c r="V126" s="556">
        <f t="shared" si="305"/>
        <v>-13991</v>
      </c>
      <c r="W126" s="556">
        <f t="shared" si="305"/>
        <v>0</v>
      </c>
      <c r="X126" s="556">
        <f t="shared" si="305"/>
        <v>-3868</v>
      </c>
      <c r="Y126" s="556">
        <f t="shared" si="305"/>
        <v>0</v>
      </c>
      <c r="Z126" s="556">
        <f t="shared" si="305"/>
        <v>0</v>
      </c>
      <c r="AA126" s="556">
        <f t="shared" si="305"/>
        <v>0</v>
      </c>
      <c r="AB126" s="556">
        <f t="shared" si="305"/>
        <v>0</v>
      </c>
      <c r="AC126" s="556">
        <f t="shared" si="305"/>
        <v>-3868</v>
      </c>
      <c r="AD126" s="556">
        <f t="shared" si="305"/>
        <v>-1307</v>
      </c>
      <c r="AE126" s="556">
        <f t="shared" si="305"/>
        <v>-78</v>
      </c>
      <c r="AF126" s="556">
        <f t="shared" si="305"/>
        <v>0</v>
      </c>
      <c r="AG126" s="556">
        <f t="shared" si="305"/>
        <v>19000</v>
      </c>
      <c r="AH126" s="556">
        <f t="shared" si="305"/>
        <v>19000</v>
      </c>
      <c r="AI126" s="556">
        <f t="shared" si="305"/>
        <v>13747</v>
      </c>
      <c r="AJ126" s="557">
        <f t="shared" si="305"/>
        <v>0</v>
      </c>
      <c r="AK126" s="557">
        <f t="shared" si="305"/>
        <v>0</v>
      </c>
      <c r="AL126" s="557">
        <f t="shared" si="305"/>
        <v>0</v>
      </c>
      <c r="AM126" s="557">
        <f t="shared" si="305"/>
        <v>0</v>
      </c>
      <c r="AN126" s="557">
        <f t="shared" si="305"/>
        <v>0.03</v>
      </c>
      <c r="AO126" s="557">
        <f t="shared" si="305"/>
        <v>0</v>
      </c>
      <c r="AP126" s="557">
        <f t="shared" si="305"/>
        <v>0</v>
      </c>
      <c r="AQ126" s="557">
        <f t="shared" si="305"/>
        <v>0</v>
      </c>
      <c r="AR126" s="557">
        <f t="shared" si="305"/>
        <v>0</v>
      </c>
      <c r="AS126" s="557">
        <f t="shared" si="305"/>
        <v>0.03</v>
      </c>
      <c r="AT126" s="307">
        <f t="shared" si="305"/>
        <v>0.03</v>
      </c>
      <c r="AU126" s="564">
        <f t="shared" si="305"/>
        <v>4243694</v>
      </c>
      <c r="AV126" s="556">
        <f t="shared" si="305"/>
        <v>3096421</v>
      </c>
      <c r="AW126" s="556">
        <f t="shared" si="305"/>
        <v>0</v>
      </c>
      <c r="AX126" s="556">
        <f t="shared" si="305"/>
        <v>1046591</v>
      </c>
      <c r="AY126" s="556">
        <f t="shared" si="305"/>
        <v>61928</v>
      </c>
      <c r="AZ126" s="556">
        <f t="shared" si="305"/>
        <v>38754</v>
      </c>
      <c r="BA126" s="557">
        <f t="shared" si="305"/>
        <v>7.7298</v>
      </c>
      <c r="BB126" s="557">
        <f t="shared" si="305"/>
        <v>5</v>
      </c>
      <c r="BC126" s="307">
        <f t="shared" si="305"/>
        <v>2.7298</v>
      </c>
    </row>
    <row r="127" spans="1:55" ht="12.95" customHeight="1" x14ac:dyDescent="0.25">
      <c r="A127" s="308">
        <v>25</v>
      </c>
      <c r="B127" s="225">
        <v>5433</v>
      </c>
      <c r="C127" s="225">
        <v>600099253</v>
      </c>
      <c r="D127" s="309">
        <v>70695300</v>
      </c>
      <c r="E127" s="224" t="s">
        <v>528</v>
      </c>
      <c r="F127" s="225">
        <v>3117</v>
      </c>
      <c r="G127" s="406" t="s">
        <v>329</v>
      </c>
      <c r="H127" s="313" t="s">
        <v>277</v>
      </c>
      <c r="I127" s="477">
        <v>3509896</v>
      </c>
      <c r="J127" s="472">
        <v>2540535</v>
      </c>
      <c r="K127" s="472">
        <v>0</v>
      </c>
      <c r="L127" s="472">
        <v>858700</v>
      </c>
      <c r="M127" s="472">
        <v>50811</v>
      </c>
      <c r="N127" s="472">
        <v>59850</v>
      </c>
      <c r="O127" s="473">
        <v>4.6193</v>
      </c>
      <c r="P127" s="474">
        <v>3.4089999999999998</v>
      </c>
      <c r="Q127" s="483">
        <v>1.2102999999999999</v>
      </c>
      <c r="R127" s="485">
        <f t="shared" ref="R127:R131" si="306">Y127*-1</f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>SUM(R127:W127)</f>
        <v>0</v>
      </c>
      <c r="Y127" s="475">
        <v>0</v>
      </c>
      <c r="Z127" s="475">
        <v>0</v>
      </c>
      <c r="AA127" s="475">
        <v>0</v>
      </c>
      <c r="AB127" s="475">
        <f t="shared" ref="AB127:AB131" si="307">SUM(Y127:AA127)</f>
        <v>0</v>
      </c>
      <c r="AC127" s="475">
        <f t="shared" ref="AC127:AC131" si="308">X127+AB127</f>
        <v>0</v>
      </c>
      <c r="AD127" s="70">
        <f t="shared" ref="AD127:AD131" si="309">ROUND((X127+Y127+Z127)*33.8%,0)</f>
        <v>0</v>
      </c>
      <c r="AE127" s="70">
        <f t="shared" ref="AE127:AE131" si="310">ROUND(X127*2%,0)</f>
        <v>0</v>
      </c>
      <c r="AF127" s="475">
        <v>0</v>
      </c>
      <c r="AG127" s="475">
        <v>0</v>
      </c>
      <c r="AH127" s="475">
        <f t="shared" ref="AH127:AH131" si="311">SUM(AF127:AG127)</f>
        <v>0</v>
      </c>
      <c r="AI127" s="475">
        <f t="shared" ref="AI127:AI131" si="312">AC127+AD127+AE127+AH127</f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ref="AT127:AT131" si="313">SUM(AR127:AS127)</f>
        <v>0</v>
      </c>
      <c r="AU127" s="484">
        <f>I127+AI127</f>
        <v>3509896</v>
      </c>
      <c r="AV127" s="475">
        <f>J127+X127</f>
        <v>2540535</v>
      </c>
      <c r="AW127" s="475">
        <f t="shared" ref="AW127:AW131" si="314">K127+AB127</f>
        <v>0</v>
      </c>
      <c r="AX127" s="475">
        <f t="shared" ref="AX127:AY131" si="315">L127+AD127</f>
        <v>858700</v>
      </c>
      <c r="AY127" s="475">
        <f t="shared" si="315"/>
        <v>50811</v>
      </c>
      <c r="AZ127" s="475">
        <f>N127+AH127</f>
        <v>59850</v>
      </c>
      <c r="BA127" s="476">
        <f>O127+AT127</f>
        <v>4.6193</v>
      </c>
      <c r="BB127" s="476">
        <f t="shared" ref="BB127:BC131" si="316">P127+AR127</f>
        <v>3.4089999999999998</v>
      </c>
      <c r="BC127" s="478">
        <f t="shared" si="316"/>
        <v>1.2102999999999999</v>
      </c>
    </row>
    <row r="128" spans="1:55" ht="12.95" customHeight="1" x14ac:dyDescent="0.25">
      <c r="A128" s="308">
        <v>25</v>
      </c>
      <c r="B128" s="225">
        <v>5433</v>
      </c>
      <c r="C128" s="225">
        <v>600099253</v>
      </c>
      <c r="D128" s="309">
        <v>70695300</v>
      </c>
      <c r="E128" s="405" t="s">
        <v>528</v>
      </c>
      <c r="F128" s="225">
        <v>3117</v>
      </c>
      <c r="G128" s="351" t="s">
        <v>312</v>
      </c>
      <c r="H128" s="313" t="s">
        <v>278</v>
      </c>
      <c r="I128" s="477">
        <v>0</v>
      </c>
      <c r="J128" s="472">
        <v>0</v>
      </c>
      <c r="K128" s="472">
        <v>0</v>
      </c>
      <c r="L128" s="472">
        <v>0</v>
      </c>
      <c r="M128" s="472">
        <v>0</v>
      </c>
      <c r="N128" s="472">
        <v>0</v>
      </c>
      <c r="O128" s="473">
        <v>0</v>
      </c>
      <c r="P128" s="474">
        <v>0</v>
      </c>
      <c r="Q128" s="483">
        <v>0</v>
      </c>
      <c r="R128" s="485">
        <f t="shared" si="306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>SUM(R128:W128)</f>
        <v>0</v>
      </c>
      <c r="Y128" s="475">
        <v>0</v>
      </c>
      <c r="Z128" s="475">
        <v>0</v>
      </c>
      <c r="AA128" s="475">
        <v>0</v>
      </c>
      <c r="AB128" s="475">
        <f t="shared" si="307"/>
        <v>0</v>
      </c>
      <c r="AC128" s="475">
        <f t="shared" si="308"/>
        <v>0</v>
      </c>
      <c r="AD128" s="70">
        <f t="shared" si="309"/>
        <v>0</v>
      </c>
      <c r="AE128" s="70">
        <f t="shared" si="310"/>
        <v>0</v>
      </c>
      <c r="AF128" s="475">
        <v>0</v>
      </c>
      <c r="AG128" s="475">
        <v>0</v>
      </c>
      <c r="AH128" s="475">
        <f t="shared" si="311"/>
        <v>0</v>
      </c>
      <c r="AI128" s="475">
        <f t="shared" si="312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0</v>
      </c>
      <c r="AT128" s="478">
        <f t="shared" si="313"/>
        <v>0</v>
      </c>
      <c r="AU128" s="484">
        <f>I128+AI128</f>
        <v>0</v>
      </c>
      <c r="AV128" s="475">
        <f>J128+X128</f>
        <v>0</v>
      </c>
      <c r="AW128" s="475">
        <f t="shared" si="314"/>
        <v>0</v>
      </c>
      <c r="AX128" s="475">
        <f t="shared" si="315"/>
        <v>0</v>
      </c>
      <c r="AY128" s="475">
        <f t="shared" si="315"/>
        <v>0</v>
      </c>
      <c r="AZ128" s="475">
        <f>N128+AH128</f>
        <v>0</v>
      </c>
      <c r="BA128" s="476">
        <f>O128+AT128</f>
        <v>0</v>
      </c>
      <c r="BB128" s="476">
        <f t="shared" si="316"/>
        <v>0</v>
      </c>
      <c r="BC128" s="478">
        <f t="shared" si="316"/>
        <v>0</v>
      </c>
    </row>
    <row r="129" spans="1:55" ht="12.95" customHeight="1" x14ac:dyDescent="0.25">
      <c r="A129" s="308">
        <v>25</v>
      </c>
      <c r="B129" s="225">
        <v>5433</v>
      </c>
      <c r="C129" s="225">
        <v>600099253</v>
      </c>
      <c r="D129" s="309">
        <v>70695300</v>
      </c>
      <c r="E129" s="406" t="s">
        <v>528</v>
      </c>
      <c r="F129" s="225">
        <v>3141</v>
      </c>
      <c r="G129" s="407" t="s">
        <v>315</v>
      </c>
      <c r="H129" s="313" t="s">
        <v>278</v>
      </c>
      <c r="I129" s="477">
        <v>416347</v>
      </c>
      <c r="J129" s="472">
        <v>305051</v>
      </c>
      <c r="K129" s="472">
        <v>0</v>
      </c>
      <c r="L129" s="472">
        <v>103107</v>
      </c>
      <c r="M129" s="472">
        <v>6101</v>
      </c>
      <c r="N129" s="472">
        <v>2088</v>
      </c>
      <c r="O129" s="473">
        <v>0.96</v>
      </c>
      <c r="P129" s="474">
        <v>0</v>
      </c>
      <c r="Q129" s="483">
        <v>0.96</v>
      </c>
      <c r="R129" s="485">
        <f t="shared" si="306"/>
        <v>0</v>
      </c>
      <c r="S129" s="475">
        <v>0</v>
      </c>
      <c r="T129" s="475">
        <v>-5964</v>
      </c>
      <c r="U129" s="475">
        <v>0</v>
      </c>
      <c r="V129" s="475">
        <v>0</v>
      </c>
      <c r="W129" s="475">
        <v>0</v>
      </c>
      <c r="X129" s="475">
        <f>SUM(R129:W129)</f>
        <v>-5964</v>
      </c>
      <c r="Y129" s="475">
        <v>0</v>
      </c>
      <c r="Z129" s="475">
        <v>0</v>
      </c>
      <c r="AA129" s="475">
        <v>0</v>
      </c>
      <c r="AB129" s="475">
        <f t="shared" si="307"/>
        <v>0</v>
      </c>
      <c r="AC129" s="475">
        <f t="shared" si="308"/>
        <v>-5964</v>
      </c>
      <c r="AD129" s="70">
        <f t="shared" si="309"/>
        <v>-2016</v>
      </c>
      <c r="AE129" s="70">
        <f t="shared" si="310"/>
        <v>-119</v>
      </c>
      <c r="AF129" s="475">
        <v>0</v>
      </c>
      <c r="AG129" s="475">
        <v>0</v>
      </c>
      <c r="AH129" s="475">
        <f t="shared" si="311"/>
        <v>0</v>
      </c>
      <c r="AI129" s="475">
        <f t="shared" si="312"/>
        <v>-8099</v>
      </c>
      <c r="AJ129" s="476">
        <v>0</v>
      </c>
      <c r="AK129" s="476">
        <v>0</v>
      </c>
      <c r="AL129" s="476">
        <v>0</v>
      </c>
      <c r="AM129" s="476">
        <v>0</v>
      </c>
      <c r="AN129" s="476">
        <v>-0.02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-0.02</v>
      </c>
      <c r="AT129" s="478">
        <f t="shared" si="313"/>
        <v>-0.02</v>
      </c>
      <c r="AU129" s="484">
        <f>I129+AI129</f>
        <v>408248</v>
      </c>
      <c r="AV129" s="475">
        <f>J129+X129</f>
        <v>299087</v>
      </c>
      <c r="AW129" s="475">
        <f t="shared" si="314"/>
        <v>0</v>
      </c>
      <c r="AX129" s="475">
        <f t="shared" si="315"/>
        <v>101091</v>
      </c>
      <c r="AY129" s="475">
        <f t="shared" si="315"/>
        <v>5982</v>
      </c>
      <c r="AZ129" s="475">
        <f>N129+AH129</f>
        <v>2088</v>
      </c>
      <c r="BA129" s="476">
        <f>O129+AT129</f>
        <v>0.94</v>
      </c>
      <c r="BB129" s="476">
        <f t="shared" si="316"/>
        <v>0</v>
      </c>
      <c r="BC129" s="478">
        <f t="shared" si="316"/>
        <v>0.94</v>
      </c>
    </row>
    <row r="130" spans="1:55" ht="12.95" customHeight="1" x14ac:dyDescent="0.25">
      <c r="A130" s="308">
        <v>25</v>
      </c>
      <c r="B130" s="225">
        <v>5433</v>
      </c>
      <c r="C130" s="225">
        <v>600099253</v>
      </c>
      <c r="D130" s="309">
        <v>70695300</v>
      </c>
      <c r="E130" s="405" t="s">
        <v>528</v>
      </c>
      <c r="F130" s="416">
        <v>3143</v>
      </c>
      <c r="G130" s="351" t="s">
        <v>626</v>
      </c>
      <c r="H130" s="313" t="s">
        <v>277</v>
      </c>
      <c r="I130" s="477">
        <v>544428</v>
      </c>
      <c r="J130" s="472">
        <v>400904</v>
      </c>
      <c r="K130" s="472">
        <v>0</v>
      </c>
      <c r="L130" s="472">
        <v>135506</v>
      </c>
      <c r="M130" s="472">
        <v>8018</v>
      </c>
      <c r="N130" s="472">
        <v>0</v>
      </c>
      <c r="O130" s="473">
        <v>1</v>
      </c>
      <c r="P130" s="474">
        <v>1</v>
      </c>
      <c r="Q130" s="483">
        <v>0</v>
      </c>
      <c r="R130" s="485">
        <f t="shared" si="306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si="307"/>
        <v>0</v>
      </c>
      <c r="AC130" s="475">
        <f t="shared" si="308"/>
        <v>0</v>
      </c>
      <c r="AD130" s="70">
        <f t="shared" si="309"/>
        <v>0</v>
      </c>
      <c r="AE130" s="70">
        <f t="shared" si="310"/>
        <v>0</v>
      </c>
      <c r="AF130" s="475">
        <v>0</v>
      </c>
      <c r="AG130" s="475">
        <v>0</v>
      </c>
      <c r="AH130" s="475">
        <f t="shared" si="311"/>
        <v>0</v>
      </c>
      <c r="AI130" s="475">
        <f t="shared" si="312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si="313"/>
        <v>0</v>
      </c>
      <c r="AU130" s="484">
        <f>I130+AI130</f>
        <v>544428</v>
      </c>
      <c r="AV130" s="475">
        <f>J130+X130</f>
        <v>400904</v>
      </c>
      <c r="AW130" s="475">
        <f t="shared" si="314"/>
        <v>0</v>
      </c>
      <c r="AX130" s="475">
        <f t="shared" si="315"/>
        <v>135506</v>
      </c>
      <c r="AY130" s="475">
        <f t="shared" si="315"/>
        <v>8018</v>
      </c>
      <c r="AZ130" s="475">
        <f>N130+AH130</f>
        <v>0</v>
      </c>
      <c r="BA130" s="476">
        <f>O130+AT130</f>
        <v>1</v>
      </c>
      <c r="BB130" s="476">
        <f t="shared" si="316"/>
        <v>1</v>
      </c>
      <c r="BC130" s="478">
        <f t="shared" si="316"/>
        <v>0</v>
      </c>
    </row>
    <row r="131" spans="1:55" ht="12.95" customHeight="1" x14ac:dyDescent="0.25">
      <c r="A131" s="308">
        <v>25</v>
      </c>
      <c r="B131" s="225">
        <v>5433</v>
      </c>
      <c r="C131" s="225">
        <v>600099253</v>
      </c>
      <c r="D131" s="309">
        <v>70695300</v>
      </c>
      <c r="E131" s="405" t="s">
        <v>528</v>
      </c>
      <c r="F131" s="416">
        <v>3143</v>
      </c>
      <c r="G131" s="351" t="s">
        <v>627</v>
      </c>
      <c r="H131" s="313" t="s">
        <v>278</v>
      </c>
      <c r="I131" s="477">
        <v>18899</v>
      </c>
      <c r="J131" s="472">
        <v>13365</v>
      </c>
      <c r="K131" s="472">
        <v>0</v>
      </c>
      <c r="L131" s="472">
        <v>4517</v>
      </c>
      <c r="M131" s="472">
        <v>267</v>
      </c>
      <c r="N131" s="472">
        <v>750</v>
      </c>
      <c r="O131" s="473">
        <v>0.05</v>
      </c>
      <c r="P131" s="474">
        <v>0</v>
      </c>
      <c r="Q131" s="483">
        <v>0.05</v>
      </c>
      <c r="R131" s="485">
        <f t="shared" si="306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>SUM(R131:W131)</f>
        <v>0</v>
      </c>
      <c r="Y131" s="475">
        <v>0</v>
      </c>
      <c r="Z131" s="475">
        <v>0</v>
      </c>
      <c r="AA131" s="475">
        <v>0</v>
      </c>
      <c r="AB131" s="475">
        <f t="shared" si="307"/>
        <v>0</v>
      </c>
      <c r="AC131" s="475">
        <f t="shared" si="308"/>
        <v>0</v>
      </c>
      <c r="AD131" s="70">
        <f t="shared" si="309"/>
        <v>0</v>
      </c>
      <c r="AE131" s="70">
        <f t="shared" si="310"/>
        <v>0</v>
      </c>
      <c r="AF131" s="475">
        <v>0</v>
      </c>
      <c r="AG131" s="475">
        <v>0</v>
      </c>
      <c r="AH131" s="475">
        <f t="shared" si="311"/>
        <v>0</v>
      </c>
      <c r="AI131" s="475">
        <f t="shared" si="312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0</v>
      </c>
      <c r="AT131" s="478">
        <f t="shared" si="313"/>
        <v>0</v>
      </c>
      <c r="AU131" s="484">
        <f>I131+AI131</f>
        <v>18899</v>
      </c>
      <c r="AV131" s="475">
        <f>J131+X131</f>
        <v>13365</v>
      </c>
      <c r="AW131" s="475">
        <f t="shared" si="314"/>
        <v>0</v>
      </c>
      <c r="AX131" s="475">
        <f t="shared" si="315"/>
        <v>4517</v>
      </c>
      <c r="AY131" s="475">
        <f t="shared" si="315"/>
        <v>267</v>
      </c>
      <c r="AZ131" s="475">
        <f>N131+AH131</f>
        <v>750</v>
      </c>
      <c r="BA131" s="476">
        <f>O131+AT131</f>
        <v>0.05</v>
      </c>
      <c r="BB131" s="476">
        <f t="shared" si="316"/>
        <v>0</v>
      </c>
      <c r="BC131" s="478">
        <f t="shared" si="316"/>
        <v>0.05</v>
      </c>
    </row>
    <row r="132" spans="1:55" ht="12.95" customHeight="1" x14ac:dyDescent="0.25">
      <c r="A132" s="226">
        <v>25</v>
      </c>
      <c r="B132" s="46">
        <v>5433</v>
      </c>
      <c r="C132" s="46">
        <v>600099253</v>
      </c>
      <c r="D132" s="46">
        <v>70695300</v>
      </c>
      <c r="E132" s="417" t="s">
        <v>529</v>
      </c>
      <c r="F132" s="418"/>
      <c r="G132" s="417"/>
      <c r="H132" s="419"/>
      <c r="I132" s="560">
        <v>4489570</v>
      </c>
      <c r="J132" s="556">
        <v>3259855</v>
      </c>
      <c r="K132" s="556">
        <v>0</v>
      </c>
      <c r="L132" s="556">
        <v>1101830</v>
      </c>
      <c r="M132" s="556">
        <v>65197</v>
      </c>
      <c r="N132" s="556">
        <v>62688</v>
      </c>
      <c r="O132" s="557">
        <v>6.6292999999999997</v>
      </c>
      <c r="P132" s="557">
        <v>4.4089999999999998</v>
      </c>
      <c r="Q132" s="562">
        <v>2.2202999999999999</v>
      </c>
      <c r="R132" s="560">
        <f t="shared" ref="R132:BC132" si="317">SUM(R127:R131)</f>
        <v>0</v>
      </c>
      <c r="S132" s="556">
        <f t="shared" si="317"/>
        <v>0</v>
      </c>
      <c r="T132" s="556">
        <f t="shared" si="317"/>
        <v>-5964</v>
      </c>
      <c r="U132" s="556">
        <f t="shared" si="317"/>
        <v>0</v>
      </c>
      <c r="V132" s="556">
        <f t="shared" si="317"/>
        <v>0</v>
      </c>
      <c r="W132" s="556">
        <f t="shared" si="317"/>
        <v>0</v>
      </c>
      <c r="X132" s="556">
        <f t="shared" si="317"/>
        <v>-5964</v>
      </c>
      <c r="Y132" s="556">
        <f t="shared" si="317"/>
        <v>0</v>
      </c>
      <c r="Z132" s="556">
        <f t="shared" si="317"/>
        <v>0</v>
      </c>
      <c r="AA132" s="556">
        <f t="shared" si="317"/>
        <v>0</v>
      </c>
      <c r="AB132" s="556">
        <f t="shared" si="317"/>
        <v>0</v>
      </c>
      <c r="AC132" s="556">
        <f t="shared" si="317"/>
        <v>-5964</v>
      </c>
      <c r="AD132" s="556">
        <f t="shared" si="317"/>
        <v>-2016</v>
      </c>
      <c r="AE132" s="556">
        <f t="shared" si="317"/>
        <v>-119</v>
      </c>
      <c r="AF132" s="556">
        <f t="shared" si="317"/>
        <v>0</v>
      </c>
      <c r="AG132" s="556">
        <f t="shared" si="317"/>
        <v>0</v>
      </c>
      <c r="AH132" s="556">
        <f t="shared" si="317"/>
        <v>0</v>
      </c>
      <c r="AI132" s="556">
        <f t="shared" si="317"/>
        <v>-8099</v>
      </c>
      <c r="AJ132" s="557">
        <f t="shared" si="317"/>
        <v>0</v>
      </c>
      <c r="AK132" s="557">
        <f t="shared" si="317"/>
        <v>0</v>
      </c>
      <c r="AL132" s="557">
        <f t="shared" si="317"/>
        <v>0</v>
      </c>
      <c r="AM132" s="557">
        <f t="shared" si="317"/>
        <v>0</v>
      </c>
      <c r="AN132" s="557">
        <f t="shared" si="317"/>
        <v>-0.02</v>
      </c>
      <c r="AO132" s="557">
        <f t="shared" si="317"/>
        <v>0</v>
      </c>
      <c r="AP132" s="557">
        <f t="shared" si="317"/>
        <v>0</v>
      </c>
      <c r="AQ132" s="557">
        <f t="shared" si="317"/>
        <v>0</v>
      </c>
      <c r="AR132" s="557">
        <f t="shared" si="317"/>
        <v>0</v>
      </c>
      <c r="AS132" s="557">
        <f t="shared" si="317"/>
        <v>-0.02</v>
      </c>
      <c r="AT132" s="307">
        <f t="shared" si="317"/>
        <v>-0.02</v>
      </c>
      <c r="AU132" s="564">
        <f t="shared" si="317"/>
        <v>4481471</v>
      </c>
      <c r="AV132" s="556">
        <f t="shared" si="317"/>
        <v>3253891</v>
      </c>
      <c r="AW132" s="556">
        <f t="shared" si="317"/>
        <v>0</v>
      </c>
      <c r="AX132" s="556">
        <f t="shared" si="317"/>
        <v>1099814</v>
      </c>
      <c r="AY132" s="556">
        <f t="shared" si="317"/>
        <v>65078</v>
      </c>
      <c r="AZ132" s="556">
        <f t="shared" si="317"/>
        <v>62688</v>
      </c>
      <c r="BA132" s="557">
        <f t="shared" si="317"/>
        <v>6.6093000000000002</v>
      </c>
      <c r="BB132" s="557">
        <f t="shared" si="317"/>
        <v>4.4089999999999998</v>
      </c>
      <c r="BC132" s="307">
        <f t="shared" si="317"/>
        <v>2.2002999999999995</v>
      </c>
    </row>
    <row r="133" spans="1:55" ht="12.95" customHeight="1" x14ac:dyDescent="0.25">
      <c r="A133" s="308">
        <v>26</v>
      </c>
      <c r="B133" s="225">
        <v>5486</v>
      </c>
      <c r="C133" s="225">
        <v>600098711</v>
      </c>
      <c r="D133" s="309">
        <v>72744022</v>
      </c>
      <c r="E133" s="406" t="s">
        <v>530</v>
      </c>
      <c r="F133" s="225">
        <v>3111</v>
      </c>
      <c r="G133" s="407" t="s">
        <v>325</v>
      </c>
      <c r="H133" s="313" t="s">
        <v>277</v>
      </c>
      <c r="I133" s="477">
        <v>2090297</v>
      </c>
      <c r="J133" s="472">
        <v>1531294</v>
      </c>
      <c r="K133" s="472">
        <v>0</v>
      </c>
      <c r="L133" s="472">
        <v>517577</v>
      </c>
      <c r="M133" s="472">
        <v>30626</v>
      </c>
      <c r="N133" s="472">
        <v>10800</v>
      </c>
      <c r="O133" s="473">
        <v>3.1251999999999995</v>
      </c>
      <c r="P133" s="474">
        <v>2.2902999999999998</v>
      </c>
      <c r="Q133" s="483">
        <v>0.83489999999999998</v>
      </c>
      <c r="R133" s="485">
        <f t="shared" ref="R133:R134" si="318">Y133*-1</f>
        <v>0</v>
      </c>
      <c r="S133" s="475">
        <v>0</v>
      </c>
      <c r="T133" s="475">
        <v>0</v>
      </c>
      <c r="U133" s="475">
        <v>0</v>
      </c>
      <c r="V133" s="475">
        <v>-8100</v>
      </c>
      <c r="W133" s="475">
        <v>0</v>
      </c>
      <c r="X133" s="475">
        <f>SUM(R133:W133)</f>
        <v>-8100</v>
      </c>
      <c r="Y133" s="475">
        <v>0</v>
      </c>
      <c r="Z133" s="475">
        <v>0</v>
      </c>
      <c r="AA133" s="475">
        <v>0</v>
      </c>
      <c r="AB133" s="475">
        <f t="shared" ref="AB133:AB134" si="319">SUM(Y133:AA133)</f>
        <v>0</v>
      </c>
      <c r="AC133" s="475">
        <f t="shared" ref="AC133:AC134" si="320">X133+AB133</f>
        <v>-8100</v>
      </c>
      <c r="AD133" s="70">
        <f t="shared" ref="AD133:AD134" si="321">ROUND((X133+Y133+Z133)*33.8%,0)</f>
        <v>-2738</v>
      </c>
      <c r="AE133" s="70">
        <f t="shared" ref="AE133:AE134" si="322">ROUND(X133*2%,0)</f>
        <v>-162</v>
      </c>
      <c r="AF133" s="475">
        <v>0</v>
      </c>
      <c r="AG133" s="475">
        <v>11000</v>
      </c>
      <c r="AH133" s="475">
        <f t="shared" ref="AH133:AH134" si="323">SUM(AF133:AG133)</f>
        <v>11000</v>
      </c>
      <c r="AI133" s="475">
        <f t="shared" ref="AI133:AI134" si="324">AC133+AD133+AE133+AH133</f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>AJ133+AL133+AM133+AO133+AP133</f>
        <v>0</v>
      </c>
      <c r="AS133" s="476">
        <f>AK133+AN133+AQ133</f>
        <v>0</v>
      </c>
      <c r="AT133" s="478">
        <f t="shared" ref="AT133:AT134" si="325">SUM(AR133:AS133)</f>
        <v>0</v>
      </c>
      <c r="AU133" s="484">
        <f>I133+AI133</f>
        <v>2090297</v>
      </c>
      <c r="AV133" s="475">
        <f>J133+X133</f>
        <v>1523194</v>
      </c>
      <c r="AW133" s="475">
        <f t="shared" ref="AW133:AW134" si="326">K133+AB133</f>
        <v>0</v>
      </c>
      <c r="AX133" s="475">
        <f>L133+AD133</f>
        <v>514839</v>
      </c>
      <c r="AY133" s="475">
        <f>M133+AE133</f>
        <v>30464</v>
      </c>
      <c r="AZ133" s="475">
        <f>N133+AH133</f>
        <v>21800</v>
      </c>
      <c r="BA133" s="476">
        <f>O133+AT133</f>
        <v>3.1251999999999995</v>
      </c>
      <c r="BB133" s="476">
        <f>P133+AR133</f>
        <v>2.2902999999999998</v>
      </c>
      <c r="BC133" s="478">
        <f>Q133+AS133</f>
        <v>0.83489999999999998</v>
      </c>
    </row>
    <row r="134" spans="1:55" ht="12.95" customHeight="1" x14ac:dyDescent="0.25">
      <c r="A134" s="308">
        <v>26</v>
      </c>
      <c r="B134" s="225">
        <v>5486</v>
      </c>
      <c r="C134" s="225">
        <v>600098711</v>
      </c>
      <c r="D134" s="309">
        <v>72744022</v>
      </c>
      <c r="E134" s="406" t="s">
        <v>530</v>
      </c>
      <c r="F134" s="225">
        <v>3141</v>
      </c>
      <c r="G134" s="407" t="s">
        <v>315</v>
      </c>
      <c r="H134" s="313" t="s">
        <v>278</v>
      </c>
      <c r="I134" s="477">
        <v>404755</v>
      </c>
      <c r="J134" s="472">
        <v>297027</v>
      </c>
      <c r="K134" s="472">
        <v>0</v>
      </c>
      <c r="L134" s="472">
        <v>100395</v>
      </c>
      <c r="M134" s="472">
        <v>5941</v>
      </c>
      <c r="N134" s="472">
        <v>1392</v>
      </c>
      <c r="O134" s="473">
        <v>0.94</v>
      </c>
      <c r="P134" s="474">
        <v>0</v>
      </c>
      <c r="Q134" s="483">
        <v>0.94</v>
      </c>
      <c r="R134" s="485">
        <f t="shared" si="318"/>
        <v>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>SUM(R134:W134)</f>
        <v>0</v>
      </c>
      <c r="Y134" s="475">
        <v>0</v>
      </c>
      <c r="Z134" s="475">
        <v>0</v>
      </c>
      <c r="AA134" s="475">
        <v>0</v>
      </c>
      <c r="AB134" s="475">
        <f t="shared" si="319"/>
        <v>0</v>
      </c>
      <c r="AC134" s="475">
        <f t="shared" si="320"/>
        <v>0</v>
      </c>
      <c r="AD134" s="70">
        <f t="shared" si="321"/>
        <v>0</v>
      </c>
      <c r="AE134" s="70">
        <f t="shared" si="322"/>
        <v>0</v>
      </c>
      <c r="AF134" s="475">
        <v>0</v>
      </c>
      <c r="AG134" s="475">
        <v>0</v>
      </c>
      <c r="AH134" s="475">
        <f t="shared" si="323"/>
        <v>0</v>
      </c>
      <c r="AI134" s="475">
        <f t="shared" si="324"/>
        <v>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>AJ134+AL134+AM134+AO134+AP134</f>
        <v>0</v>
      </c>
      <c r="AS134" s="476">
        <f>AK134+AN134+AQ134</f>
        <v>0</v>
      </c>
      <c r="AT134" s="478">
        <f t="shared" si="325"/>
        <v>0</v>
      </c>
      <c r="AU134" s="484">
        <f>I134+AI134</f>
        <v>404755</v>
      </c>
      <c r="AV134" s="475">
        <f>J134+X134</f>
        <v>297027</v>
      </c>
      <c r="AW134" s="475">
        <f t="shared" si="326"/>
        <v>0</v>
      </c>
      <c r="AX134" s="475">
        <f>L134+AD134</f>
        <v>100395</v>
      </c>
      <c r="AY134" s="475">
        <f>M134+AE134</f>
        <v>5941</v>
      </c>
      <c r="AZ134" s="475">
        <f>N134+AH134</f>
        <v>1392</v>
      </c>
      <c r="BA134" s="476">
        <f>O134+AT134</f>
        <v>0.94</v>
      </c>
      <c r="BB134" s="476">
        <f>P134+AR134</f>
        <v>0</v>
      </c>
      <c r="BC134" s="478">
        <f>Q134+AS134</f>
        <v>0.94</v>
      </c>
    </row>
    <row r="135" spans="1:55" ht="12.95" customHeight="1" x14ac:dyDescent="0.25">
      <c r="A135" s="226">
        <v>26</v>
      </c>
      <c r="B135" s="46">
        <v>5486</v>
      </c>
      <c r="C135" s="46">
        <v>600098711</v>
      </c>
      <c r="D135" s="46">
        <v>72744022</v>
      </c>
      <c r="E135" s="408" t="s">
        <v>531</v>
      </c>
      <c r="F135" s="46"/>
      <c r="G135" s="408"/>
      <c r="H135" s="190"/>
      <c r="I135" s="612">
        <v>2495052</v>
      </c>
      <c r="J135" s="609">
        <v>1828321</v>
      </c>
      <c r="K135" s="609">
        <v>0</v>
      </c>
      <c r="L135" s="609">
        <v>617972</v>
      </c>
      <c r="M135" s="609">
        <v>36567</v>
      </c>
      <c r="N135" s="609">
        <v>12192</v>
      </c>
      <c r="O135" s="610">
        <v>4.065199999999999</v>
      </c>
      <c r="P135" s="610">
        <v>2.2902999999999998</v>
      </c>
      <c r="Q135" s="614">
        <v>1.7748999999999999</v>
      </c>
      <c r="R135" s="612">
        <f t="shared" ref="R135:BC135" si="327">SUM(R133:R134)</f>
        <v>0</v>
      </c>
      <c r="S135" s="609">
        <f t="shared" si="327"/>
        <v>0</v>
      </c>
      <c r="T135" s="609">
        <f t="shared" si="327"/>
        <v>0</v>
      </c>
      <c r="U135" s="609">
        <f t="shared" si="327"/>
        <v>0</v>
      </c>
      <c r="V135" s="609">
        <f t="shared" si="327"/>
        <v>-8100</v>
      </c>
      <c r="W135" s="609">
        <f t="shared" si="327"/>
        <v>0</v>
      </c>
      <c r="X135" s="609">
        <f t="shared" si="327"/>
        <v>-8100</v>
      </c>
      <c r="Y135" s="609">
        <f t="shared" si="327"/>
        <v>0</v>
      </c>
      <c r="Z135" s="609">
        <f t="shared" si="327"/>
        <v>0</v>
      </c>
      <c r="AA135" s="609">
        <f t="shared" si="327"/>
        <v>0</v>
      </c>
      <c r="AB135" s="609">
        <f t="shared" si="327"/>
        <v>0</v>
      </c>
      <c r="AC135" s="609">
        <f t="shared" si="327"/>
        <v>-8100</v>
      </c>
      <c r="AD135" s="609">
        <f t="shared" si="327"/>
        <v>-2738</v>
      </c>
      <c r="AE135" s="609">
        <f t="shared" si="327"/>
        <v>-162</v>
      </c>
      <c r="AF135" s="609">
        <f t="shared" si="327"/>
        <v>0</v>
      </c>
      <c r="AG135" s="609">
        <f t="shared" si="327"/>
        <v>11000</v>
      </c>
      <c r="AH135" s="609">
        <f t="shared" si="327"/>
        <v>11000</v>
      </c>
      <c r="AI135" s="609">
        <f t="shared" si="327"/>
        <v>0</v>
      </c>
      <c r="AJ135" s="610">
        <f t="shared" si="327"/>
        <v>0</v>
      </c>
      <c r="AK135" s="610">
        <f t="shared" si="327"/>
        <v>0</v>
      </c>
      <c r="AL135" s="610">
        <f t="shared" si="327"/>
        <v>0</v>
      </c>
      <c r="AM135" s="610">
        <f t="shared" si="327"/>
        <v>0</v>
      </c>
      <c r="AN135" s="610">
        <f t="shared" si="327"/>
        <v>0</v>
      </c>
      <c r="AO135" s="610">
        <f t="shared" si="327"/>
        <v>0</v>
      </c>
      <c r="AP135" s="610">
        <f t="shared" si="327"/>
        <v>0</v>
      </c>
      <c r="AQ135" s="610">
        <f t="shared" si="327"/>
        <v>0</v>
      </c>
      <c r="AR135" s="610">
        <f t="shared" si="327"/>
        <v>0</v>
      </c>
      <c r="AS135" s="610">
        <f t="shared" si="327"/>
        <v>0</v>
      </c>
      <c r="AT135" s="413">
        <f t="shared" si="327"/>
        <v>0</v>
      </c>
      <c r="AU135" s="616">
        <f t="shared" si="327"/>
        <v>2495052</v>
      </c>
      <c r="AV135" s="609">
        <f t="shared" si="327"/>
        <v>1820221</v>
      </c>
      <c r="AW135" s="609">
        <f t="shared" si="327"/>
        <v>0</v>
      </c>
      <c r="AX135" s="609">
        <f t="shared" si="327"/>
        <v>615234</v>
      </c>
      <c r="AY135" s="609">
        <f t="shared" si="327"/>
        <v>36405</v>
      </c>
      <c r="AZ135" s="609">
        <f t="shared" si="327"/>
        <v>23192</v>
      </c>
      <c r="BA135" s="610">
        <f t="shared" si="327"/>
        <v>4.065199999999999</v>
      </c>
      <c r="BB135" s="610">
        <f t="shared" si="327"/>
        <v>2.2902999999999998</v>
      </c>
      <c r="BC135" s="413">
        <f t="shared" si="327"/>
        <v>1.7748999999999999</v>
      </c>
    </row>
    <row r="136" spans="1:55" ht="12.95" customHeight="1" x14ac:dyDescent="0.25">
      <c r="A136" s="308">
        <v>27</v>
      </c>
      <c r="B136" s="410">
        <v>2440</v>
      </c>
      <c r="C136" s="410">
        <v>600079392</v>
      </c>
      <c r="D136" s="309">
        <v>70981183</v>
      </c>
      <c r="E136" s="406" t="s">
        <v>532</v>
      </c>
      <c r="F136" s="225">
        <v>3111</v>
      </c>
      <c r="G136" s="407" t="s">
        <v>325</v>
      </c>
      <c r="H136" s="313" t="s">
        <v>277</v>
      </c>
      <c r="I136" s="477">
        <v>2518824</v>
      </c>
      <c r="J136" s="472">
        <v>1806760</v>
      </c>
      <c r="K136" s="472">
        <v>38000</v>
      </c>
      <c r="L136" s="472">
        <v>623529</v>
      </c>
      <c r="M136" s="472">
        <v>36135</v>
      </c>
      <c r="N136" s="472">
        <v>14400</v>
      </c>
      <c r="O136" s="473">
        <v>4.2298</v>
      </c>
      <c r="P136" s="474">
        <v>3</v>
      </c>
      <c r="Q136" s="483">
        <v>1.2298</v>
      </c>
      <c r="R136" s="485">
        <f t="shared" ref="R136:R137" si="328">Y136*-1</f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>SUM(R136:W136)</f>
        <v>0</v>
      </c>
      <c r="Y136" s="475">
        <v>0</v>
      </c>
      <c r="Z136" s="475">
        <v>0</v>
      </c>
      <c r="AA136" s="475">
        <v>0</v>
      </c>
      <c r="AB136" s="475">
        <f t="shared" ref="AB136:AB137" si="329">SUM(Y136:AA136)</f>
        <v>0</v>
      </c>
      <c r="AC136" s="475">
        <f t="shared" ref="AC136:AC137" si="330">X136+AB136</f>
        <v>0</v>
      </c>
      <c r="AD136" s="70">
        <f t="shared" ref="AD136:AD137" si="331">ROUND((X136+Y136+Z136)*33.8%,0)</f>
        <v>0</v>
      </c>
      <c r="AE136" s="70">
        <f t="shared" ref="AE136:AE137" si="332">ROUND(X136*2%,0)</f>
        <v>0</v>
      </c>
      <c r="AF136" s="475">
        <v>0</v>
      </c>
      <c r="AG136" s="475">
        <v>0</v>
      </c>
      <c r="AH136" s="475">
        <f t="shared" ref="AH136:AH137" si="333">SUM(AF136:AG136)</f>
        <v>0</v>
      </c>
      <c r="AI136" s="475">
        <f t="shared" ref="AI136:AI137" si="334">AC136+AD136+AE136+AH136</f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>AJ136+AL136+AM136+AO136+AP136</f>
        <v>0</v>
      </c>
      <c r="AS136" s="476">
        <f>AK136+AN136+AQ136</f>
        <v>0</v>
      </c>
      <c r="AT136" s="478">
        <f t="shared" ref="AT136:AT137" si="335">SUM(AR136:AS136)</f>
        <v>0</v>
      </c>
      <c r="AU136" s="484">
        <f>I136+AI136</f>
        <v>2518824</v>
      </c>
      <c r="AV136" s="475">
        <f>J136+X136</f>
        <v>1806760</v>
      </c>
      <c r="AW136" s="475">
        <f t="shared" ref="AW136:AW137" si="336">K136+AB136</f>
        <v>38000</v>
      </c>
      <c r="AX136" s="475">
        <f>L136+AD136</f>
        <v>623529</v>
      </c>
      <c r="AY136" s="475">
        <f>M136+AE136</f>
        <v>36135</v>
      </c>
      <c r="AZ136" s="475">
        <f>N136+AH136</f>
        <v>14400</v>
      </c>
      <c r="BA136" s="476">
        <f>O136+AT136</f>
        <v>4.2298</v>
      </c>
      <c r="BB136" s="476">
        <f>P136+AR136</f>
        <v>3</v>
      </c>
      <c r="BC136" s="478">
        <f>Q136+AS136</f>
        <v>1.2298</v>
      </c>
    </row>
    <row r="137" spans="1:55" ht="12.95" customHeight="1" x14ac:dyDescent="0.25">
      <c r="A137" s="308">
        <v>27</v>
      </c>
      <c r="B137" s="225">
        <v>2440</v>
      </c>
      <c r="C137" s="225">
        <v>600079392</v>
      </c>
      <c r="D137" s="309">
        <v>70981183</v>
      </c>
      <c r="E137" s="406" t="s">
        <v>532</v>
      </c>
      <c r="F137" s="225">
        <v>3141</v>
      </c>
      <c r="G137" s="407" t="s">
        <v>315</v>
      </c>
      <c r="H137" s="313" t="s">
        <v>278</v>
      </c>
      <c r="I137" s="477">
        <v>502137</v>
      </c>
      <c r="J137" s="472">
        <v>368395</v>
      </c>
      <c r="K137" s="472">
        <v>0</v>
      </c>
      <c r="L137" s="472">
        <v>124518</v>
      </c>
      <c r="M137" s="472">
        <v>7368</v>
      </c>
      <c r="N137" s="472">
        <v>1856</v>
      </c>
      <c r="O137" s="473">
        <v>1.1599999999999999</v>
      </c>
      <c r="P137" s="474">
        <v>0</v>
      </c>
      <c r="Q137" s="483">
        <v>1.1599999999999999</v>
      </c>
      <c r="R137" s="485">
        <f t="shared" si="328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>SUM(R137:W137)</f>
        <v>0</v>
      </c>
      <c r="Y137" s="475">
        <v>0</v>
      </c>
      <c r="Z137" s="475">
        <v>0</v>
      </c>
      <c r="AA137" s="475">
        <v>0</v>
      </c>
      <c r="AB137" s="475">
        <f t="shared" si="329"/>
        <v>0</v>
      </c>
      <c r="AC137" s="475">
        <f t="shared" si="330"/>
        <v>0</v>
      </c>
      <c r="AD137" s="70">
        <f t="shared" si="331"/>
        <v>0</v>
      </c>
      <c r="AE137" s="70">
        <f t="shared" si="332"/>
        <v>0</v>
      </c>
      <c r="AF137" s="475">
        <v>0</v>
      </c>
      <c r="AG137" s="475">
        <v>0</v>
      </c>
      <c r="AH137" s="475">
        <f t="shared" si="333"/>
        <v>0</v>
      </c>
      <c r="AI137" s="475">
        <f t="shared" si="334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>AJ137+AL137+AM137+AO137+AP137</f>
        <v>0</v>
      </c>
      <c r="AS137" s="476">
        <f>AK137+AN137+AQ137</f>
        <v>0</v>
      </c>
      <c r="AT137" s="478">
        <f t="shared" si="335"/>
        <v>0</v>
      </c>
      <c r="AU137" s="484">
        <f>I137+AI137</f>
        <v>502137</v>
      </c>
      <c r="AV137" s="475">
        <f>J137+X137</f>
        <v>368395</v>
      </c>
      <c r="AW137" s="475">
        <f t="shared" si="336"/>
        <v>0</v>
      </c>
      <c r="AX137" s="475">
        <f>L137+AD137</f>
        <v>124518</v>
      </c>
      <c r="AY137" s="475">
        <f>M137+AE137</f>
        <v>7368</v>
      </c>
      <c r="AZ137" s="475">
        <f>N137+AH137</f>
        <v>1856</v>
      </c>
      <c r="BA137" s="476">
        <f>O137+AT137</f>
        <v>1.1599999999999999</v>
      </c>
      <c r="BB137" s="476">
        <f>P137+AR137</f>
        <v>0</v>
      </c>
      <c r="BC137" s="478">
        <f>Q137+AS137</f>
        <v>1.1599999999999999</v>
      </c>
    </row>
    <row r="138" spans="1:55" ht="12.95" customHeight="1" x14ac:dyDescent="0.25">
      <c r="A138" s="226">
        <v>27</v>
      </c>
      <c r="B138" s="46">
        <v>2440</v>
      </c>
      <c r="C138" s="46">
        <v>600079392</v>
      </c>
      <c r="D138" s="46">
        <v>70981183</v>
      </c>
      <c r="E138" s="408" t="s">
        <v>533</v>
      </c>
      <c r="F138" s="46"/>
      <c r="G138" s="408"/>
      <c r="H138" s="190"/>
      <c r="I138" s="612">
        <v>3020961</v>
      </c>
      <c r="J138" s="609">
        <v>2175155</v>
      </c>
      <c r="K138" s="609">
        <v>38000</v>
      </c>
      <c r="L138" s="609">
        <v>748047</v>
      </c>
      <c r="M138" s="609">
        <v>43503</v>
      </c>
      <c r="N138" s="609">
        <v>16256</v>
      </c>
      <c r="O138" s="610">
        <v>5.3898000000000001</v>
      </c>
      <c r="P138" s="610">
        <v>3</v>
      </c>
      <c r="Q138" s="614">
        <v>2.3898000000000001</v>
      </c>
      <c r="R138" s="612">
        <f t="shared" ref="R138:BC138" si="337">SUM(R136:R137)</f>
        <v>0</v>
      </c>
      <c r="S138" s="609">
        <f t="shared" si="337"/>
        <v>0</v>
      </c>
      <c r="T138" s="609">
        <f t="shared" si="337"/>
        <v>0</v>
      </c>
      <c r="U138" s="609">
        <f t="shared" si="337"/>
        <v>0</v>
      </c>
      <c r="V138" s="609">
        <f t="shared" si="337"/>
        <v>0</v>
      </c>
      <c r="W138" s="609">
        <f t="shared" si="337"/>
        <v>0</v>
      </c>
      <c r="X138" s="609">
        <f t="shared" si="337"/>
        <v>0</v>
      </c>
      <c r="Y138" s="609">
        <f t="shared" si="337"/>
        <v>0</v>
      </c>
      <c r="Z138" s="609">
        <f t="shared" si="337"/>
        <v>0</v>
      </c>
      <c r="AA138" s="609">
        <f t="shared" si="337"/>
        <v>0</v>
      </c>
      <c r="AB138" s="609">
        <f t="shared" si="337"/>
        <v>0</v>
      </c>
      <c r="AC138" s="609">
        <f t="shared" si="337"/>
        <v>0</v>
      </c>
      <c r="AD138" s="609">
        <f t="shared" si="337"/>
        <v>0</v>
      </c>
      <c r="AE138" s="609">
        <f t="shared" si="337"/>
        <v>0</v>
      </c>
      <c r="AF138" s="609">
        <f t="shared" si="337"/>
        <v>0</v>
      </c>
      <c r="AG138" s="609">
        <f t="shared" si="337"/>
        <v>0</v>
      </c>
      <c r="AH138" s="609">
        <f t="shared" si="337"/>
        <v>0</v>
      </c>
      <c r="AI138" s="609">
        <f t="shared" si="337"/>
        <v>0</v>
      </c>
      <c r="AJ138" s="610">
        <f t="shared" si="337"/>
        <v>0</v>
      </c>
      <c r="AK138" s="610">
        <f t="shared" si="337"/>
        <v>0</v>
      </c>
      <c r="AL138" s="610">
        <f t="shared" si="337"/>
        <v>0</v>
      </c>
      <c r="AM138" s="610">
        <f t="shared" si="337"/>
        <v>0</v>
      </c>
      <c r="AN138" s="610">
        <f t="shared" si="337"/>
        <v>0</v>
      </c>
      <c r="AO138" s="610">
        <f t="shared" si="337"/>
        <v>0</v>
      </c>
      <c r="AP138" s="610">
        <f t="shared" si="337"/>
        <v>0</v>
      </c>
      <c r="AQ138" s="610">
        <f t="shared" si="337"/>
        <v>0</v>
      </c>
      <c r="AR138" s="610">
        <f t="shared" si="337"/>
        <v>0</v>
      </c>
      <c r="AS138" s="610">
        <f t="shared" si="337"/>
        <v>0</v>
      </c>
      <c r="AT138" s="413">
        <f t="shared" si="337"/>
        <v>0</v>
      </c>
      <c r="AU138" s="616">
        <f t="shared" si="337"/>
        <v>3020961</v>
      </c>
      <c r="AV138" s="609">
        <f t="shared" si="337"/>
        <v>2175155</v>
      </c>
      <c r="AW138" s="609">
        <f t="shared" si="337"/>
        <v>38000</v>
      </c>
      <c r="AX138" s="609">
        <f t="shared" si="337"/>
        <v>748047</v>
      </c>
      <c r="AY138" s="609">
        <f t="shared" si="337"/>
        <v>43503</v>
      </c>
      <c r="AZ138" s="609">
        <f t="shared" si="337"/>
        <v>16256</v>
      </c>
      <c r="BA138" s="610">
        <f t="shared" si="337"/>
        <v>5.3898000000000001</v>
      </c>
      <c r="BB138" s="610">
        <f t="shared" si="337"/>
        <v>3</v>
      </c>
      <c r="BC138" s="413">
        <f t="shared" si="337"/>
        <v>2.3898000000000001</v>
      </c>
    </row>
    <row r="139" spans="1:55" ht="12.95" customHeight="1" x14ac:dyDescent="0.25">
      <c r="A139" s="308">
        <v>28</v>
      </c>
      <c r="B139" s="404">
        <v>2303</v>
      </c>
      <c r="C139" s="404">
        <v>600080048</v>
      </c>
      <c r="D139" s="309">
        <v>72743689</v>
      </c>
      <c r="E139" s="405" t="s">
        <v>534</v>
      </c>
      <c r="F139" s="404">
        <v>3111</v>
      </c>
      <c r="G139" s="407" t="s">
        <v>325</v>
      </c>
      <c r="H139" s="313" t="s">
        <v>277</v>
      </c>
      <c r="I139" s="477">
        <v>3039635</v>
      </c>
      <c r="J139" s="472">
        <v>2175799</v>
      </c>
      <c r="K139" s="472">
        <v>50000</v>
      </c>
      <c r="L139" s="472">
        <v>752320</v>
      </c>
      <c r="M139" s="472">
        <v>43516</v>
      </c>
      <c r="N139" s="472">
        <v>18000</v>
      </c>
      <c r="O139" s="473">
        <v>4.8235999999999999</v>
      </c>
      <c r="P139" s="474">
        <v>3.9018000000000002</v>
      </c>
      <c r="Q139" s="483">
        <v>0.92179999999999995</v>
      </c>
      <c r="R139" s="485">
        <f t="shared" ref="R139:R144" si="338">Y139*-1</f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ref="X139:X144" si="339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40">SUM(Y139:AA139)</f>
        <v>0</v>
      </c>
      <c r="AC139" s="475">
        <f t="shared" ref="AC139:AC144" si="341">X139+AB139</f>
        <v>0</v>
      </c>
      <c r="AD139" s="70">
        <f t="shared" ref="AD139:AD144" si="342">ROUND((X139+Y139+Z139)*33.8%,0)</f>
        <v>0</v>
      </c>
      <c r="AE139" s="70">
        <f t="shared" ref="AE139:AE144" si="343">ROUND(X139*2%,0)</f>
        <v>0</v>
      </c>
      <c r="AF139" s="475">
        <v>0</v>
      </c>
      <c r="AG139" s="475">
        <v>0</v>
      </c>
      <c r="AH139" s="475">
        <f t="shared" ref="AH139:AH144" si="344">SUM(AF139:AG139)</f>
        <v>0</v>
      </c>
      <c r="AI139" s="475">
        <f t="shared" ref="AI139:AI144" si="345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476">
        <f t="shared" ref="AR139:AR144" si="346">AJ139+AL139+AM139+AO139+AP139</f>
        <v>0</v>
      </c>
      <c r="AS139" s="476">
        <f t="shared" ref="AS139:AS144" si="347">AK139+AN139+AQ139</f>
        <v>0</v>
      </c>
      <c r="AT139" s="478">
        <f t="shared" ref="AT139:AT144" si="348">SUM(AR139:AS139)</f>
        <v>0</v>
      </c>
      <c r="AU139" s="484">
        <f t="shared" ref="AU139:AU144" si="349">I139+AI139</f>
        <v>3039635</v>
      </c>
      <c r="AV139" s="475">
        <f t="shared" ref="AV139:AV144" si="350">J139+X139</f>
        <v>2175799</v>
      </c>
      <c r="AW139" s="475">
        <f t="shared" ref="AW139:AW144" si="351">K139+AB139</f>
        <v>50000</v>
      </c>
      <c r="AX139" s="475">
        <f t="shared" ref="AX139:AY144" si="352">L139+AD139</f>
        <v>752320</v>
      </c>
      <c r="AY139" s="475">
        <f t="shared" si="352"/>
        <v>43516</v>
      </c>
      <c r="AZ139" s="475">
        <f t="shared" ref="AZ139:AZ144" si="353">N139+AH139</f>
        <v>18000</v>
      </c>
      <c r="BA139" s="476">
        <f t="shared" ref="BA139:BA144" si="354">O139+AT139</f>
        <v>4.8235999999999999</v>
      </c>
      <c r="BB139" s="476">
        <f t="shared" ref="BB139:BC144" si="355">P139+AR139</f>
        <v>3.9018000000000002</v>
      </c>
      <c r="BC139" s="478">
        <f t="shared" si="355"/>
        <v>0.92179999999999995</v>
      </c>
    </row>
    <row r="140" spans="1:55" ht="12.95" customHeight="1" x14ac:dyDescent="0.25">
      <c r="A140" s="308">
        <v>28</v>
      </c>
      <c r="B140" s="410">
        <v>2303</v>
      </c>
      <c r="C140" s="410">
        <v>600080048</v>
      </c>
      <c r="D140" s="309">
        <v>72743689</v>
      </c>
      <c r="E140" s="224" t="s">
        <v>534</v>
      </c>
      <c r="F140" s="410">
        <v>3117</v>
      </c>
      <c r="G140" s="406" t="s">
        <v>329</v>
      </c>
      <c r="H140" s="313" t="s">
        <v>277</v>
      </c>
      <c r="I140" s="477">
        <v>4025696</v>
      </c>
      <c r="J140" s="472">
        <v>2907766</v>
      </c>
      <c r="K140" s="472">
        <v>0</v>
      </c>
      <c r="L140" s="472">
        <v>982825</v>
      </c>
      <c r="M140" s="472">
        <v>58155</v>
      </c>
      <c r="N140" s="472">
        <v>76950</v>
      </c>
      <c r="O140" s="473">
        <v>5.9578999999999995</v>
      </c>
      <c r="P140" s="474">
        <v>3.7273999999999998</v>
      </c>
      <c r="Q140" s="483">
        <v>2.2304999999999997</v>
      </c>
      <c r="R140" s="485">
        <f t="shared" si="338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39"/>
        <v>0</v>
      </c>
      <c r="Y140" s="475">
        <v>0</v>
      </c>
      <c r="Z140" s="475">
        <v>0</v>
      </c>
      <c r="AA140" s="475">
        <v>0</v>
      </c>
      <c r="AB140" s="475">
        <f t="shared" si="340"/>
        <v>0</v>
      </c>
      <c r="AC140" s="475">
        <f t="shared" si="341"/>
        <v>0</v>
      </c>
      <c r="AD140" s="70">
        <f t="shared" si="342"/>
        <v>0</v>
      </c>
      <c r="AE140" s="70">
        <f t="shared" si="343"/>
        <v>0</v>
      </c>
      <c r="AF140" s="475">
        <v>0</v>
      </c>
      <c r="AG140" s="475">
        <v>0</v>
      </c>
      <c r="AH140" s="475">
        <f t="shared" si="344"/>
        <v>0</v>
      </c>
      <c r="AI140" s="475">
        <f t="shared" si="345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si="346"/>
        <v>0</v>
      </c>
      <c r="AS140" s="476">
        <f t="shared" si="347"/>
        <v>0</v>
      </c>
      <c r="AT140" s="478">
        <f t="shared" si="348"/>
        <v>0</v>
      </c>
      <c r="AU140" s="484">
        <f t="shared" si="349"/>
        <v>4025696</v>
      </c>
      <c r="AV140" s="475">
        <f t="shared" si="350"/>
        <v>2907766</v>
      </c>
      <c r="AW140" s="475">
        <f t="shared" si="351"/>
        <v>0</v>
      </c>
      <c r="AX140" s="475">
        <f t="shared" si="352"/>
        <v>982825</v>
      </c>
      <c r="AY140" s="475">
        <f t="shared" si="352"/>
        <v>58155</v>
      </c>
      <c r="AZ140" s="475">
        <f t="shared" si="353"/>
        <v>76950</v>
      </c>
      <c r="BA140" s="476">
        <f t="shared" si="354"/>
        <v>5.9578999999999995</v>
      </c>
      <c r="BB140" s="476">
        <f t="shared" si="355"/>
        <v>3.7273999999999998</v>
      </c>
      <c r="BC140" s="478">
        <f t="shared" si="355"/>
        <v>2.2304999999999997</v>
      </c>
    </row>
    <row r="141" spans="1:55" ht="12.95" customHeight="1" x14ac:dyDescent="0.25">
      <c r="A141" s="308">
        <v>28</v>
      </c>
      <c r="B141" s="225">
        <v>2303</v>
      </c>
      <c r="C141" s="225">
        <v>600080048</v>
      </c>
      <c r="D141" s="309">
        <v>72743689</v>
      </c>
      <c r="E141" s="405" t="s">
        <v>534</v>
      </c>
      <c r="F141" s="410">
        <v>3117</v>
      </c>
      <c r="G141" s="351" t="s">
        <v>312</v>
      </c>
      <c r="H141" s="313" t="s">
        <v>278</v>
      </c>
      <c r="I141" s="477">
        <v>81935</v>
      </c>
      <c r="J141" s="472">
        <v>60335</v>
      </c>
      <c r="K141" s="472">
        <v>0</v>
      </c>
      <c r="L141" s="472">
        <v>20393</v>
      </c>
      <c r="M141" s="472">
        <v>1207</v>
      </c>
      <c r="N141" s="472">
        <v>0</v>
      </c>
      <c r="O141" s="473">
        <v>0.16</v>
      </c>
      <c r="P141" s="474">
        <v>0.16</v>
      </c>
      <c r="Q141" s="483">
        <v>0</v>
      </c>
      <c r="R141" s="485">
        <f t="shared" si="338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39"/>
        <v>0</v>
      </c>
      <c r="Y141" s="475">
        <v>0</v>
      </c>
      <c r="Z141" s="475">
        <v>0</v>
      </c>
      <c r="AA141" s="475">
        <v>0</v>
      </c>
      <c r="AB141" s="475">
        <f t="shared" si="340"/>
        <v>0</v>
      </c>
      <c r="AC141" s="475">
        <f t="shared" si="341"/>
        <v>0</v>
      </c>
      <c r="AD141" s="70">
        <f t="shared" si="342"/>
        <v>0</v>
      </c>
      <c r="AE141" s="70">
        <f t="shared" si="343"/>
        <v>0</v>
      </c>
      <c r="AF141" s="475">
        <v>0</v>
      </c>
      <c r="AG141" s="475">
        <v>0</v>
      </c>
      <c r="AH141" s="475">
        <f t="shared" si="344"/>
        <v>0</v>
      </c>
      <c r="AI141" s="475">
        <f t="shared" si="345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si="346"/>
        <v>0</v>
      </c>
      <c r="AS141" s="476">
        <f t="shared" si="347"/>
        <v>0</v>
      </c>
      <c r="AT141" s="478">
        <f t="shared" si="348"/>
        <v>0</v>
      </c>
      <c r="AU141" s="484">
        <f t="shared" si="349"/>
        <v>81935</v>
      </c>
      <c r="AV141" s="475">
        <f t="shared" si="350"/>
        <v>60335</v>
      </c>
      <c r="AW141" s="475">
        <f t="shared" si="351"/>
        <v>0</v>
      </c>
      <c r="AX141" s="475">
        <f t="shared" si="352"/>
        <v>20393</v>
      </c>
      <c r="AY141" s="475">
        <f t="shared" si="352"/>
        <v>1207</v>
      </c>
      <c r="AZ141" s="475">
        <f t="shared" si="353"/>
        <v>0</v>
      </c>
      <c r="BA141" s="476">
        <f t="shared" si="354"/>
        <v>0.16</v>
      </c>
      <c r="BB141" s="476">
        <f t="shared" si="355"/>
        <v>0.16</v>
      </c>
      <c r="BC141" s="478">
        <f t="shared" si="355"/>
        <v>0</v>
      </c>
    </row>
    <row r="142" spans="1:55" ht="12.95" customHeight="1" x14ac:dyDescent="0.25">
      <c r="A142" s="308">
        <v>28</v>
      </c>
      <c r="B142" s="225">
        <v>2303</v>
      </c>
      <c r="C142" s="225">
        <v>600080048</v>
      </c>
      <c r="D142" s="309">
        <v>72743689</v>
      </c>
      <c r="E142" s="406" t="s">
        <v>534</v>
      </c>
      <c r="F142" s="225">
        <v>3141</v>
      </c>
      <c r="G142" s="407" t="s">
        <v>315</v>
      </c>
      <c r="H142" s="313" t="s">
        <v>278</v>
      </c>
      <c r="I142" s="477">
        <v>1075535</v>
      </c>
      <c r="J142" s="472">
        <v>719400</v>
      </c>
      <c r="K142" s="472">
        <v>70000</v>
      </c>
      <c r="L142" s="472">
        <v>266817</v>
      </c>
      <c r="M142" s="472">
        <v>14388</v>
      </c>
      <c r="N142" s="472">
        <v>4930</v>
      </c>
      <c r="O142" s="473">
        <v>2.27</v>
      </c>
      <c r="P142" s="474">
        <v>0</v>
      </c>
      <c r="Q142" s="483">
        <v>2.27</v>
      </c>
      <c r="R142" s="485">
        <f t="shared" si="338"/>
        <v>0</v>
      </c>
      <c r="S142" s="475">
        <v>0</v>
      </c>
      <c r="T142" s="475">
        <v>6096</v>
      </c>
      <c r="U142" s="475">
        <v>0</v>
      </c>
      <c r="V142" s="475">
        <v>0</v>
      </c>
      <c r="W142" s="475">
        <v>0</v>
      </c>
      <c r="X142" s="475">
        <f t="shared" si="339"/>
        <v>6096</v>
      </c>
      <c r="Y142" s="475">
        <v>0</v>
      </c>
      <c r="Z142" s="475">
        <v>0</v>
      </c>
      <c r="AA142" s="475">
        <v>0</v>
      </c>
      <c r="AB142" s="475">
        <f t="shared" si="340"/>
        <v>0</v>
      </c>
      <c r="AC142" s="475">
        <f t="shared" si="341"/>
        <v>6096</v>
      </c>
      <c r="AD142" s="70">
        <f t="shared" si="342"/>
        <v>2060</v>
      </c>
      <c r="AE142" s="70">
        <f t="shared" si="343"/>
        <v>122</v>
      </c>
      <c r="AF142" s="475">
        <v>0</v>
      </c>
      <c r="AG142" s="475">
        <v>0</v>
      </c>
      <c r="AH142" s="475">
        <f t="shared" si="344"/>
        <v>0</v>
      </c>
      <c r="AI142" s="475">
        <f t="shared" si="345"/>
        <v>8278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0.02</v>
      </c>
      <c r="AO142" s="476">
        <v>0</v>
      </c>
      <c r="AP142" s="476">
        <v>0</v>
      </c>
      <c r="AQ142" s="476">
        <v>0</v>
      </c>
      <c r="AR142" s="476">
        <f t="shared" si="346"/>
        <v>0</v>
      </c>
      <c r="AS142" s="476">
        <f t="shared" si="347"/>
        <v>0.02</v>
      </c>
      <c r="AT142" s="478">
        <f t="shared" si="348"/>
        <v>0.02</v>
      </c>
      <c r="AU142" s="484">
        <f t="shared" si="349"/>
        <v>1083813</v>
      </c>
      <c r="AV142" s="475">
        <f t="shared" si="350"/>
        <v>725496</v>
      </c>
      <c r="AW142" s="475">
        <f t="shared" si="351"/>
        <v>70000</v>
      </c>
      <c r="AX142" s="475">
        <f t="shared" si="352"/>
        <v>268877</v>
      </c>
      <c r="AY142" s="475">
        <f t="shared" si="352"/>
        <v>14510</v>
      </c>
      <c r="AZ142" s="475">
        <f t="shared" si="353"/>
        <v>4930</v>
      </c>
      <c r="BA142" s="476">
        <f t="shared" si="354"/>
        <v>2.29</v>
      </c>
      <c r="BB142" s="476">
        <f t="shared" si="355"/>
        <v>0</v>
      </c>
      <c r="BC142" s="478">
        <f t="shared" si="355"/>
        <v>2.29</v>
      </c>
    </row>
    <row r="143" spans="1:55" ht="12.95" customHeight="1" x14ac:dyDescent="0.25">
      <c r="A143" s="308">
        <v>28</v>
      </c>
      <c r="B143" s="225">
        <v>2303</v>
      </c>
      <c r="C143" s="225">
        <v>600080048</v>
      </c>
      <c r="D143" s="309">
        <v>72743689</v>
      </c>
      <c r="E143" s="405" t="s">
        <v>534</v>
      </c>
      <c r="F143" s="416">
        <v>3143</v>
      </c>
      <c r="G143" s="351" t="s">
        <v>626</v>
      </c>
      <c r="H143" s="313" t="s">
        <v>277</v>
      </c>
      <c r="I143" s="477">
        <v>604150</v>
      </c>
      <c r="J143" s="472">
        <v>444882</v>
      </c>
      <c r="K143" s="472">
        <v>0</v>
      </c>
      <c r="L143" s="472">
        <v>150370</v>
      </c>
      <c r="M143" s="472">
        <v>8898</v>
      </c>
      <c r="N143" s="472">
        <v>0</v>
      </c>
      <c r="O143" s="473">
        <v>0.86</v>
      </c>
      <c r="P143" s="474">
        <v>0.86</v>
      </c>
      <c r="Q143" s="483">
        <v>0</v>
      </c>
      <c r="R143" s="485">
        <f t="shared" si="338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39"/>
        <v>0</v>
      </c>
      <c r="Y143" s="475">
        <v>0</v>
      </c>
      <c r="Z143" s="475">
        <v>0</v>
      </c>
      <c r="AA143" s="475">
        <v>0</v>
      </c>
      <c r="AB143" s="475">
        <f t="shared" si="340"/>
        <v>0</v>
      </c>
      <c r="AC143" s="475">
        <f t="shared" si="341"/>
        <v>0</v>
      </c>
      <c r="AD143" s="70">
        <f t="shared" si="342"/>
        <v>0</v>
      </c>
      <c r="AE143" s="70">
        <f t="shared" si="343"/>
        <v>0</v>
      </c>
      <c r="AF143" s="475">
        <v>0</v>
      </c>
      <c r="AG143" s="475">
        <v>0</v>
      </c>
      <c r="AH143" s="475">
        <f t="shared" si="344"/>
        <v>0</v>
      </c>
      <c r="AI143" s="475">
        <f t="shared" si="345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346"/>
        <v>0</v>
      </c>
      <c r="AS143" s="476">
        <f t="shared" si="347"/>
        <v>0</v>
      </c>
      <c r="AT143" s="478">
        <f t="shared" si="348"/>
        <v>0</v>
      </c>
      <c r="AU143" s="484">
        <f t="shared" si="349"/>
        <v>604150</v>
      </c>
      <c r="AV143" s="475">
        <f t="shared" si="350"/>
        <v>444882</v>
      </c>
      <c r="AW143" s="475">
        <f t="shared" si="351"/>
        <v>0</v>
      </c>
      <c r="AX143" s="475">
        <f t="shared" si="352"/>
        <v>150370</v>
      </c>
      <c r="AY143" s="475">
        <f t="shared" si="352"/>
        <v>8898</v>
      </c>
      <c r="AZ143" s="475">
        <f t="shared" si="353"/>
        <v>0</v>
      </c>
      <c r="BA143" s="476">
        <f t="shared" si="354"/>
        <v>0.86</v>
      </c>
      <c r="BB143" s="476">
        <f t="shared" si="355"/>
        <v>0.86</v>
      </c>
      <c r="BC143" s="478">
        <f t="shared" si="355"/>
        <v>0</v>
      </c>
    </row>
    <row r="144" spans="1:55" ht="12.95" customHeight="1" x14ac:dyDescent="0.25">
      <c r="A144" s="308">
        <v>28</v>
      </c>
      <c r="B144" s="225">
        <v>2303</v>
      </c>
      <c r="C144" s="225">
        <v>600080048</v>
      </c>
      <c r="D144" s="309">
        <v>72743689</v>
      </c>
      <c r="E144" s="405" t="s">
        <v>534</v>
      </c>
      <c r="F144" s="416">
        <v>3143</v>
      </c>
      <c r="G144" s="351" t="s">
        <v>627</v>
      </c>
      <c r="H144" s="313" t="s">
        <v>278</v>
      </c>
      <c r="I144" s="477">
        <v>18899</v>
      </c>
      <c r="J144" s="472">
        <v>13365</v>
      </c>
      <c r="K144" s="472">
        <v>0</v>
      </c>
      <c r="L144" s="472">
        <v>4517</v>
      </c>
      <c r="M144" s="472">
        <v>267</v>
      </c>
      <c r="N144" s="472">
        <v>750</v>
      </c>
      <c r="O144" s="473">
        <v>0.05</v>
      </c>
      <c r="P144" s="474">
        <v>0</v>
      </c>
      <c r="Q144" s="483">
        <v>0.05</v>
      </c>
      <c r="R144" s="485">
        <f t="shared" si="338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339"/>
        <v>0</v>
      </c>
      <c r="Y144" s="475">
        <v>0</v>
      </c>
      <c r="Z144" s="475">
        <v>0</v>
      </c>
      <c r="AA144" s="475">
        <v>0</v>
      </c>
      <c r="AB144" s="475">
        <f t="shared" si="340"/>
        <v>0</v>
      </c>
      <c r="AC144" s="475">
        <f t="shared" si="341"/>
        <v>0</v>
      </c>
      <c r="AD144" s="70">
        <f t="shared" si="342"/>
        <v>0</v>
      </c>
      <c r="AE144" s="70">
        <f t="shared" si="343"/>
        <v>0</v>
      </c>
      <c r="AF144" s="475">
        <v>0</v>
      </c>
      <c r="AG144" s="475">
        <v>0</v>
      </c>
      <c r="AH144" s="475">
        <f t="shared" si="344"/>
        <v>0</v>
      </c>
      <c r="AI144" s="475">
        <f t="shared" si="345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 t="shared" si="346"/>
        <v>0</v>
      </c>
      <c r="AS144" s="476">
        <f t="shared" si="347"/>
        <v>0</v>
      </c>
      <c r="AT144" s="478">
        <f t="shared" si="348"/>
        <v>0</v>
      </c>
      <c r="AU144" s="484">
        <f t="shared" si="349"/>
        <v>18899</v>
      </c>
      <c r="AV144" s="475">
        <f t="shared" si="350"/>
        <v>13365</v>
      </c>
      <c r="AW144" s="475">
        <f t="shared" si="351"/>
        <v>0</v>
      </c>
      <c r="AX144" s="475">
        <f t="shared" si="352"/>
        <v>4517</v>
      </c>
      <c r="AY144" s="475">
        <f t="shared" si="352"/>
        <v>267</v>
      </c>
      <c r="AZ144" s="475">
        <f t="shared" si="353"/>
        <v>750</v>
      </c>
      <c r="BA144" s="476">
        <f t="shared" si="354"/>
        <v>0.05</v>
      </c>
      <c r="BB144" s="476">
        <f t="shared" si="355"/>
        <v>0</v>
      </c>
      <c r="BC144" s="478">
        <f t="shared" si="355"/>
        <v>0.05</v>
      </c>
    </row>
    <row r="145" spans="1:55" ht="12.95" customHeight="1" x14ac:dyDescent="0.25">
      <c r="A145" s="226">
        <v>28</v>
      </c>
      <c r="B145" s="46">
        <v>2303</v>
      </c>
      <c r="C145" s="46">
        <v>600080048</v>
      </c>
      <c r="D145" s="46">
        <v>72743689</v>
      </c>
      <c r="E145" s="417" t="s">
        <v>535</v>
      </c>
      <c r="F145" s="418"/>
      <c r="G145" s="417"/>
      <c r="H145" s="419"/>
      <c r="I145" s="612">
        <v>8845850</v>
      </c>
      <c r="J145" s="609">
        <v>6321547</v>
      </c>
      <c r="K145" s="609">
        <v>120000</v>
      </c>
      <c r="L145" s="609">
        <v>2177242</v>
      </c>
      <c r="M145" s="609">
        <v>126431</v>
      </c>
      <c r="N145" s="609">
        <v>100630</v>
      </c>
      <c r="O145" s="610">
        <v>14.121499999999999</v>
      </c>
      <c r="P145" s="610">
        <v>8.6492000000000004</v>
      </c>
      <c r="Q145" s="614">
        <v>5.4722999999999997</v>
      </c>
      <c r="R145" s="612">
        <f t="shared" ref="R145:BC145" si="356">SUM(R139:R144)</f>
        <v>0</v>
      </c>
      <c r="S145" s="609">
        <f t="shared" si="356"/>
        <v>0</v>
      </c>
      <c r="T145" s="609">
        <f t="shared" si="356"/>
        <v>6096</v>
      </c>
      <c r="U145" s="609">
        <f t="shared" si="356"/>
        <v>0</v>
      </c>
      <c r="V145" s="609">
        <f t="shared" si="356"/>
        <v>0</v>
      </c>
      <c r="W145" s="609">
        <f t="shared" si="356"/>
        <v>0</v>
      </c>
      <c r="X145" s="609">
        <f t="shared" si="356"/>
        <v>6096</v>
      </c>
      <c r="Y145" s="609">
        <f t="shared" si="356"/>
        <v>0</v>
      </c>
      <c r="Z145" s="609">
        <f t="shared" si="356"/>
        <v>0</v>
      </c>
      <c r="AA145" s="609">
        <f t="shared" si="356"/>
        <v>0</v>
      </c>
      <c r="AB145" s="609">
        <f t="shared" si="356"/>
        <v>0</v>
      </c>
      <c r="AC145" s="609">
        <f t="shared" si="356"/>
        <v>6096</v>
      </c>
      <c r="AD145" s="609">
        <f t="shared" si="356"/>
        <v>2060</v>
      </c>
      <c r="AE145" s="609">
        <f t="shared" si="356"/>
        <v>122</v>
      </c>
      <c r="AF145" s="609">
        <f t="shared" si="356"/>
        <v>0</v>
      </c>
      <c r="AG145" s="609">
        <f t="shared" si="356"/>
        <v>0</v>
      </c>
      <c r="AH145" s="609">
        <f t="shared" si="356"/>
        <v>0</v>
      </c>
      <c r="AI145" s="609">
        <f t="shared" si="356"/>
        <v>8278</v>
      </c>
      <c r="AJ145" s="610">
        <f t="shared" si="356"/>
        <v>0</v>
      </c>
      <c r="AK145" s="610">
        <f t="shared" si="356"/>
        <v>0</v>
      </c>
      <c r="AL145" s="610">
        <f t="shared" si="356"/>
        <v>0</v>
      </c>
      <c r="AM145" s="610">
        <f t="shared" si="356"/>
        <v>0</v>
      </c>
      <c r="AN145" s="610">
        <f t="shared" si="356"/>
        <v>0.02</v>
      </c>
      <c r="AO145" s="610">
        <f t="shared" si="356"/>
        <v>0</v>
      </c>
      <c r="AP145" s="610">
        <f t="shared" si="356"/>
        <v>0</v>
      </c>
      <c r="AQ145" s="610">
        <f t="shared" si="356"/>
        <v>0</v>
      </c>
      <c r="AR145" s="610">
        <f t="shared" si="356"/>
        <v>0</v>
      </c>
      <c r="AS145" s="610">
        <f t="shared" si="356"/>
        <v>0.02</v>
      </c>
      <c r="AT145" s="413">
        <f t="shared" si="356"/>
        <v>0.02</v>
      </c>
      <c r="AU145" s="616">
        <f t="shared" si="356"/>
        <v>8854128</v>
      </c>
      <c r="AV145" s="609">
        <f t="shared" si="356"/>
        <v>6327643</v>
      </c>
      <c r="AW145" s="609">
        <f t="shared" si="356"/>
        <v>120000</v>
      </c>
      <c r="AX145" s="609">
        <f t="shared" si="356"/>
        <v>2179302</v>
      </c>
      <c r="AY145" s="609">
        <f t="shared" si="356"/>
        <v>126553</v>
      </c>
      <c r="AZ145" s="609">
        <f t="shared" si="356"/>
        <v>100630</v>
      </c>
      <c r="BA145" s="610">
        <f t="shared" si="356"/>
        <v>14.141500000000001</v>
      </c>
      <c r="BB145" s="610">
        <f t="shared" si="356"/>
        <v>8.6492000000000004</v>
      </c>
      <c r="BC145" s="413">
        <f t="shared" si="356"/>
        <v>5.4922999999999993</v>
      </c>
    </row>
    <row r="146" spans="1:55" ht="12.95" customHeight="1" x14ac:dyDescent="0.25">
      <c r="A146" s="308">
        <v>29</v>
      </c>
      <c r="B146" s="225">
        <v>5437</v>
      </c>
      <c r="C146" s="225">
        <v>600098931</v>
      </c>
      <c r="D146" s="309">
        <v>72742135</v>
      </c>
      <c r="E146" s="406" t="s">
        <v>536</v>
      </c>
      <c r="F146" s="225">
        <v>3111</v>
      </c>
      <c r="G146" s="407" t="s">
        <v>325</v>
      </c>
      <c r="H146" s="313" t="s">
        <v>277</v>
      </c>
      <c r="I146" s="477">
        <v>4985398</v>
      </c>
      <c r="J146" s="472">
        <v>3651250</v>
      </c>
      <c r="K146" s="472">
        <v>0</v>
      </c>
      <c r="L146" s="472">
        <v>1234123</v>
      </c>
      <c r="M146" s="472">
        <v>73025</v>
      </c>
      <c r="N146" s="472">
        <v>27000</v>
      </c>
      <c r="O146" s="473">
        <v>8.2241999999999997</v>
      </c>
      <c r="P146" s="474">
        <v>6.24</v>
      </c>
      <c r="Q146" s="483">
        <v>1.9842</v>
      </c>
      <c r="R146" s="485">
        <f t="shared" ref="R146:R147" si="357">Y146*-1</f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>SUM(R146:W146)</f>
        <v>0</v>
      </c>
      <c r="Y146" s="475">
        <v>0</v>
      </c>
      <c r="Z146" s="475">
        <v>0</v>
      </c>
      <c r="AA146" s="475">
        <v>0</v>
      </c>
      <c r="AB146" s="475">
        <f t="shared" ref="AB146:AB147" si="358">SUM(Y146:AA146)</f>
        <v>0</v>
      </c>
      <c r="AC146" s="475">
        <f t="shared" ref="AC146:AC147" si="359">X146+AB146</f>
        <v>0</v>
      </c>
      <c r="AD146" s="70">
        <f t="shared" ref="AD146:AD147" si="360">ROUND((X146+Y146+Z146)*33.8%,0)</f>
        <v>0</v>
      </c>
      <c r="AE146" s="70">
        <f t="shared" ref="AE146:AE147" si="361">ROUND(X146*2%,0)</f>
        <v>0</v>
      </c>
      <c r="AF146" s="475">
        <v>0</v>
      </c>
      <c r="AG146" s="475">
        <v>0</v>
      </c>
      <c r="AH146" s="475">
        <f t="shared" ref="AH146:AH147" si="362">SUM(AF146:AG146)</f>
        <v>0</v>
      </c>
      <c r="AI146" s="475">
        <f t="shared" ref="AI146:AI147" si="363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476">
        <f>AJ146+AL146+AM146+AO146+AP146</f>
        <v>0</v>
      </c>
      <c r="AS146" s="476">
        <f>AK146+AN146+AQ146</f>
        <v>0</v>
      </c>
      <c r="AT146" s="478">
        <f t="shared" ref="AT146:AT147" si="364">SUM(AR146:AS146)</f>
        <v>0</v>
      </c>
      <c r="AU146" s="484">
        <f>I146+AI146</f>
        <v>4985398</v>
      </c>
      <c r="AV146" s="475">
        <f>J146+X146</f>
        <v>3651250</v>
      </c>
      <c r="AW146" s="475">
        <f t="shared" ref="AW146:AW147" si="365">K146+AB146</f>
        <v>0</v>
      </c>
      <c r="AX146" s="475">
        <f>L146+AD146</f>
        <v>1234123</v>
      </c>
      <c r="AY146" s="475">
        <f>M146+AE146</f>
        <v>73025</v>
      </c>
      <c r="AZ146" s="475">
        <f>N146+AH146</f>
        <v>27000</v>
      </c>
      <c r="BA146" s="476">
        <f>O146+AT146</f>
        <v>8.2241999999999997</v>
      </c>
      <c r="BB146" s="476">
        <f>P146+AR146</f>
        <v>6.24</v>
      </c>
      <c r="BC146" s="478">
        <f>Q146+AS146</f>
        <v>1.9842</v>
      </c>
    </row>
    <row r="147" spans="1:55" ht="12.95" customHeight="1" x14ac:dyDescent="0.25">
      <c r="A147" s="308">
        <v>29</v>
      </c>
      <c r="B147" s="225">
        <v>5437</v>
      </c>
      <c r="C147" s="225">
        <v>600098931</v>
      </c>
      <c r="D147" s="309">
        <v>72742135</v>
      </c>
      <c r="E147" s="406" t="s">
        <v>536</v>
      </c>
      <c r="F147" s="225">
        <v>3141</v>
      </c>
      <c r="G147" s="407" t="s">
        <v>315</v>
      </c>
      <c r="H147" s="313" t="s">
        <v>278</v>
      </c>
      <c r="I147" s="477">
        <v>1319719</v>
      </c>
      <c r="J147" s="472">
        <v>967027</v>
      </c>
      <c r="K147" s="472">
        <v>0</v>
      </c>
      <c r="L147" s="472">
        <v>326855</v>
      </c>
      <c r="M147" s="472">
        <v>19341</v>
      </c>
      <c r="N147" s="472">
        <v>6496</v>
      </c>
      <c r="O147" s="473">
        <v>3.05</v>
      </c>
      <c r="P147" s="474">
        <v>0</v>
      </c>
      <c r="Q147" s="483">
        <v>3.05</v>
      </c>
      <c r="R147" s="485">
        <f t="shared" si="357"/>
        <v>0</v>
      </c>
      <c r="S147" s="475">
        <v>0</v>
      </c>
      <c r="T147" s="475">
        <v>1844</v>
      </c>
      <c r="U147" s="475">
        <v>0</v>
      </c>
      <c r="V147" s="475">
        <v>0</v>
      </c>
      <c r="W147" s="475">
        <v>0</v>
      </c>
      <c r="X147" s="475">
        <f>SUM(R147:W147)</f>
        <v>1844</v>
      </c>
      <c r="Y147" s="475">
        <v>0</v>
      </c>
      <c r="Z147" s="475">
        <v>0</v>
      </c>
      <c r="AA147" s="475">
        <v>0</v>
      </c>
      <c r="AB147" s="475">
        <f t="shared" si="358"/>
        <v>0</v>
      </c>
      <c r="AC147" s="475">
        <f t="shared" si="359"/>
        <v>1844</v>
      </c>
      <c r="AD147" s="70">
        <f t="shared" si="360"/>
        <v>623</v>
      </c>
      <c r="AE147" s="70">
        <f t="shared" si="361"/>
        <v>37</v>
      </c>
      <c r="AF147" s="475">
        <v>0</v>
      </c>
      <c r="AG147" s="475">
        <v>0</v>
      </c>
      <c r="AH147" s="475">
        <f t="shared" si="362"/>
        <v>0</v>
      </c>
      <c r="AI147" s="475">
        <f t="shared" si="363"/>
        <v>2504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>AJ147+AL147+AM147+AO147+AP147</f>
        <v>0</v>
      </c>
      <c r="AS147" s="476">
        <f>AK147+AN147+AQ147</f>
        <v>0</v>
      </c>
      <c r="AT147" s="478">
        <f t="shared" si="364"/>
        <v>0</v>
      </c>
      <c r="AU147" s="484">
        <f>I147+AI147</f>
        <v>1322223</v>
      </c>
      <c r="AV147" s="475">
        <f>J147+X147</f>
        <v>968871</v>
      </c>
      <c r="AW147" s="475">
        <f t="shared" si="365"/>
        <v>0</v>
      </c>
      <c r="AX147" s="475">
        <f>L147+AD147</f>
        <v>327478</v>
      </c>
      <c r="AY147" s="475">
        <f>M147+AE147</f>
        <v>19378</v>
      </c>
      <c r="AZ147" s="475">
        <f>N147+AH147</f>
        <v>6496</v>
      </c>
      <c r="BA147" s="476">
        <f>O147+AT147</f>
        <v>3.05</v>
      </c>
      <c r="BB147" s="476">
        <f>P147+AR147</f>
        <v>0</v>
      </c>
      <c r="BC147" s="478">
        <f>Q147+AS147</f>
        <v>3.05</v>
      </c>
    </row>
    <row r="148" spans="1:55" ht="12.95" customHeight="1" x14ac:dyDescent="0.25">
      <c r="A148" s="226">
        <v>29</v>
      </c>
      <c r="B148" s="46">
        <v>5437</v>
      </c>
      <c r="C148" s="46">
        <v>600098931</v>
      </c>
      <c r="D148" s="46">
        <v>72742135</v>
      </c>
      <c r="E148" s="408" t="s">
        <v>537</v>
      </c>
      <c r="F148" s="46"/>
      <c r="G148" s="408"/>
      <c r="H148" s="190"/>
      <c r="I148" s="612">
        <v>6305117</v>
      </c>
      <c r="J148" s="609">
        <v>4618277</v>
      </c>
      <c r="K148" s="609">
        <v>0</v>
      </c>
      <c r="L148" s="609">
        <v>1560978</v>
      </c>
      <c r="M148" s="609">
        <v>92366</v>
      </c>
      <c r="N148" s="609">
        <v>33496</v>
      </c>
      <c r="O148" s="610">
        <v>11.2742</v>
      </c>
      <c r="P148" s="610">
        <v>6.24</v>
      </c>
      <c r="Q148" s="614">
        <v>5.0342000000000002</v>
      </c>
      <c r="R148" s="612">
        <f t="shared" ref="R148:BC148" si="366">SUM(R146:R147)</f>
        <v>0</v>
      </c>
      <c r="S148" s="609">
        <f t="shared" si="366"/>
        <v>0</v>
      </c>
      <c r="T148" s="609">
        <f t="shared" si="366"/>
        <v>1844</v>
      </c>
      <c r="U148" s="609">
        <f t="shared" si="366"/>
        <v>0</v>
      </c>
      <c r="V148" s="609">
        <f t="shared" si="366"/>
        <v>0</v>
      </c>
      <c r="W148" s="609">
        <f t="shared" si="366"/>
        <v>0</v>
      </c>
      <c r="X148" s="609">
        <f t="shared" si="366"/>
        <v>1844</v>
      </c>
      <c r="Y148" s="609">
        <f t="shared" si="366"/>
        <v>0</v>
      </c>
      <c r="Z148" s="609">
        <f t="shared" si="366"/>
        <v>0</v>
      </c>
      <c r="AA148" s="609">
        <f t="shared" si="366"/>
        <v>0</v>
      </c>
      <c r="AB148" s="609">
        <f t="shared" si="366"/>
        <v>0</v>
      </c>
      <c r="AC148" s="609">
        <f t="shared" si="366"/>
        <v>1844</v>
      </c>
      <c r="AD148" s="609">
        <f t="shared" si="366"/>
        <v>623</v>
      </c>
      <c r="AE148" s="609">
        <f t="shared" si="366"/>
        <v>37</v>
      </c>
      <c r="AF148" s="609">
        <f t="shared" si="366"/>
        <v>0</v>
      </c>
      <c r="AG148" s="609">
        <f t="shared" si="366"/>
        <v>0</v>
      </c>
      <c r="AH148" s="609">
        <f t="shared" si="366"/>
        <v>0</v>
      </c>
      <c r="AI148" s="609">
        <f t="shared" si="366"/>
        <v>2504</v>
      </c>
      <c r="AJ148" s="610">
        <f t="shared" si="366"/>
        <v>0</v>
      </c>
      <c r="AK148" s="610">
        <f t="shared" si="366"/>
        <v>0</v>
      </c>
      <c r="AL148" s="610">
        <f t="shared" si="366"/>
        <v>0</v>
      </c>
      <c r="AM148" s="610">
        <f t="shared" si="366"/>
        <v>0</v>
      </c>
      <c r="AN148" s="610">
        <f t="shared" si="366"/>
        <v>0</v>
      </c>
      <c r="AO148" s="610">
        <f t="shared" si="366"/>
        <v>0</v>
      </c>
      <c r="AP148" s="610">
        <f t="shared" si="366"/>
        <v>0</v>
      </c>
      <c r="AQ148" s="610">
        <f t="shared" si="366"/>
        <v>0</v>
      </c>
      <c r="AR148" s="610">
        <f t="shared" si="366"/>
        <v>0</v>
      </c>
      <c r="AS148" s="610">
        <f t="shared" si="366"/>
        <v>0</v>
      </c>
      <c r="AT148" s="413">
        <f t="shared" si="366"/>
        <v>0</v>
      </c>
      <c r="AU148" s="616">
        <f t="shared" si="366"/>
        <v>6307621</v>
      </c>
      <c r="AV148" s="609">
        <f t="shared" si="366"/>
        <v>4620121</v>
      </c>
      <c r="AW148" s="609">
        <f t="shared" si="366"/>
        <v>0</v>
      </c>
      <c r="AX148" s="609">
        <f t="shared" si="366"/>
        <v>1561601</v>
      </c>
      <c r="AY148" s="609">
        <f t="shared" si="366"/>
        <v>92403</v>
      </c>
      <c r="AZ148" s="609">
        <f t="shared" si="366"/>
        <v>33496</v>
      </c>
      <c r="BA148" s="610">
        <f t="shared" si="366"/>
        <v>11.2742</v>
      </c>
      <c r="BB148" s="610">
        <f t="shared" si="366"/>
        <v>6.24</v>
      </c>
      <c r="BC148" s="413">
        <f t="shared" si="366"/>
        <v>5.0342000000000002</v>
      </c>
    </row>
    <row r="149" spans="1:55" ht="12.95" customHeight="1" x14ac:dyDescent="0.25">
      <c r="A149" s="308">
        <v>30</v>
      </c>
      <c r="B149" s="410">
        <v>5438</v>
      </c>
      <c r="C149" s="410">
        <v>600099032</v>
      </c>
      <c r="D149" s="309">
        <v>72742054</v>
      </c>
      <c r="E149" s="224" t="s">
        <v>538</v>
      </c>
      <c r="F149" s="225">
        <v>3117</v>
      </c>
      <c r="G149" s="406" t="s">
        <v>329</v>
      </c>
      <c r="H149" s="313" t="s">
        <v>277</v>
      </c>
      <c r="I149" s="477">
        <v>4167178</v>
      </c>
      <c r="J149" s="472">
        <v>3000617</v>
      </c>
      <c r="K149" s="472">
        <v>0</v>
      </c>
      <c r="L149" s="472">
        <v>1014208</v>
      </c>
      <c r="M149" s="472">
        <v>60013</v>
      </c>
      <c r="N149" s="472">
        <v>92340</v>
      </c>
      <c r="O149" s="473">
        <v>5.4561000000000002</v>
      </c>
      <c r="P149" s="474">
        <v>3.7608000000000001</v>
      </c>
      <c r="Q149" s="483">
        <v>1.6953</v>
      </c>
      <c r="R149" s="485">
        <f t="shared" ref="R149:R152" si="367">Y149*-1</f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>SUM(R149:W149)</f>
        <v>0</v>
      </c>
      <c r="Y149" s="475">
        <v>0</v>
      </c>
      <c r="Z149" s="475">
        <v>0</v>
      </c>
      <c r="AA149" s="475">
        <v>0</v>
      </c>
      <c r="AB149" s="475">
        <f t="shared" ref="AB149:AB152" si="368">SUM(Y149:AA149)</f>
        <v>0</v>
      </c>
      <c r="AC149" s="475">
        <f t="shared" ref="AC149:AC152" si="369">X149+AB149</f>
        <v>0</v>
      </c>
      <c r="AD149" s="70">
        <f t="shared" ref="AD149:AD152" si="370">ROUND((X149+Y149+Z149)*33.8%,0)</f>
        <v>0</v>
      </c>
      <c r="AE149" s="70">
        <f t="shared" ref="AE149:AE152" si="371">ROUND(X149*2%,0)</f>
        <v>0</v>
      </c>
      <c r="AF149" s="475">
        <v>0</v>
      </c>
      <c r="AG149" s="475">
        <v>0</v>
      </c>
      <c r="AH149" s="475">
        <f t="shared" ref="AH149:AH152" si="372">SUM(AF149:AG149)</f>
        <v>0</v>
      </c>
      <c r="AI149" s="475">
        <f t="shared" ref="AI149:AI152" si="373">AC149+AD149+AE149+AH149</f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>AJ149+AL149+AM149+AO149+AP149</f>
        <v>0</v>
      </c>
      <c r="AS149" s="476">
        <f>AK149+AN149+AQ149</f>
        <v>0</v>
      </c>
      <c r="AT149" s="478">
        <f t="shared" ref="AT149:AT152" si="374">SUM(AR149:AS149)</f>
        <v>0</v>
      </c>
      <c r="AU149" s="484">
        <f>I149+AI149</f>
        <v>4167178</v>
      </c>
      <c r="AV149" s="475">
        <f>J149+X149</f>
        <v>3000617</v>
      </c>
      <c r="AW149" s="475">
        <f t="shared" ref="AW149:AW152" si="375">K149+AB149</f>
        <v>0</v>
      </c>
      <c r="AX149" s="475">
        <f t="shared" ref="AX149:AY152" si="376">L149+AD149</f>
        <v>1014208</v>
      </c>
      <c r="AY149" s="475">
        <f t="shared" si="376"/>
        <v>60013</v>
      </c>
      <c r="AZ149" s="475">
        <f>N149+AH149</f>
        <v>92340</v>
      </c>
      <c r="BA149" s="476">
        <f>O149+AT149</f>
        <v>5.4561000000000002</v>
      </c>
      <c r="BB149" s="476">
        <f t="shared" ref="BB149:BC152" si="377">P149+AR149</f>
        <v>3.7608000000000001</v>
      </c>
      <c r="BC149" s="478">
        <f t="shared" si="377"/>
        <v>1.6953</v>
      </c>
    </row>
    <row r="150" spans="1:55" ht="12.95" customHeight="1" x14ac:dyDescent="0.25">
      <c r="A150" s="308">
        <v>30</v>
      </c>
      <c r="B150" s="225">
        <v>5438</v>
      </c>
      <c r="C150" s="225">
        <v>600099032</v>
      </c>
      <c r="D150" s="309">
        <v>72742054</v>
      </c>
      <c r="E150" s="405" t="s">
        <v>538</v>
      </c>
      <c r="F150" s="225">
        <v>3117</v>
      </c>
      <c r="G150" s="351" t="s">
        <v>312</v>
      </c>
      <c r="H150" s="313" t="s">
        <v>278</v>
      </c>
      <c r="I150" s="477">
        <v>0</v>
      </c>
      <c r="J150" s="472">
        <v>0</v>
      </c>
      <c r="K150" s="472">
        <v>0</v>
      </c>
      <c r="L150" s="472">
        <v>0</v>
      </c>
      <c r="M150" s="472">
        <v>0</v>
      </c>
      <c r="N150" s="472">
        <v>0</v>
      </c>
      <c r="O150" s="473">
        <v>0</v>
      </c>
      <c r="P150" s="474">
        <v>0</v>
      </c>
      <c r="Q150" s="483">
        <v>0</v>
      </c>
      <c r="R150" s="485">
        <f t="shared" si="367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>SUM(R150:W150)</f>
        <v>0</v>
      </c>
      <c r="Y150" s="475">
        <v>0</v>
      </c>
      <c r="Z150" s="475">
        <v>0</v>
      </c>
      <c r="AA150" s="475">
        <v>0</v>
      </c>
      <c r="AB150" s="475">
        <f t="shared" si="368"/>
        <v>0</v>
      </c>
      <c r="AC150" s="475">
        <f t="shared" si="369"/>
        <v>0</v>
      </c>
      <c r="AD150" s="70">
        <f t="shared" si="370"/>
        <v>0</v>
      </c>
      <c r="AE150" s="70">
        <f t="shared" si="371"/>
        <v>0</v>
      </c>
      <c r="AF150" s="475">
        <v>0</v>
      </c>
      <c r="AG150" s="475">
        <v>0</v>
      </c>
      <c r="AH150" s="475">
        <f t="shared" si="372"/>
        <v>0</v>
      </c>
      <c r="AI150" s="475">
        <f t="shared" si="373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>AJ150+AL150+AM150+AO150+AP150</f>
        <v>0</v>
      </c>
      <c r="AS150" s="476">
        <f>AK150+AN150+AQ150</f>
        <v>0</v>
      </c>
      <c r="AT150" s="478">
        <f t="shared" si="374"/>
        <v>0</v>
      </c>
      <c r="AU150" s="484">
        <f>I150+AI150</f>
        <v>0</v>
      </c>
      <c r="AV150" s="475">
        <f>J150+X150</f>
        <v>0</v>
      </c>
      <c r="AW150" s="475">
        <f t="shared" si="375"/>
        <v>0</v>
      </c>
      <c r="AX150" s="475">
        <f t="shared" si="376"/>
        <v>0</v>
      </c>
      <c r="AY150" s="475">
        <f t="shared" si="376"/>
        <v>0</v>
      </c>
      <c r="AZ150" s="475">
        <f>N150+AH150</f>
        <v>0</v>
      </c>
      <c r="BA150" s="476">
        <f>O150+AT150</f>
        <v>0</v>
      </c>
      <c r="BB150" s="476">
        <f t="shared" si="377"/>
        <v>0</v>
      </c>
      <c r="BC150" s="478">
        <f t="shared" si="377"/>
        <v>0</v>
      </c>
    </row>
    <row r="151" spans="1:55" ht="12.95" customHeight="1" x14ac:dyDescent="0.25">
      <c r="A151" s="308">
        <v>30</v>
      </c>
      <c r="B151" s="225">
        <v>5438</v>
      </c>
      <c r="C151" s="225">
        <v>600099032</v>
      </c>
      <c r="D151" s="309">
        <v>72742054</v>
      </c>
      <c r="E151" s="405" t="s">
        <v>538</v>
      </c>
      <c r="F151" s="416">
        <v>3143</v>
      </c>
      <c r="G151" s="351" t="s">
        <v>626</v>
      </c>
      <c r="H151" s="313" t="s">
        <v>277</v>
      </c>
      <c r="I151" s="477">
        <v>735038</v>
      </c>
      <c r="J151" s="472">
        <v>541265</v>
      </c>
      <c r="K151" s="472">
        <v>0</v>
      </c>
      <c r="L151" s="472">
        <v>182948</v>
      </c>
      <c r="M151" s="472">
        <v>10825</v>
      </c>
      <c r="N151" s="472">
        <v>0</v>
      </c>
      <c r="O151" s="473">
        <v>1.1072</v>
      </c>
      <c r="P151" s="474">
        <v>1.1072</v>
      </c>
      <c r="Q151" s="483">
        <v>0</v>
      </c>
      <c r="R151" s="485">
        <f t="shared" si="367"/>
        <v>0</v>
      </c>
      <c r="S151" s="475">
        <v>0</v>
      </c>
      <c r="T151" s="475">
        <v>0</v>
      </c>
      <c r="U151" s="475">
        <v>0</v>
      </c>
      <c r="V151" s="475">
        <v>0</v>
      </c>
      <c r="W151" s="475">
        <v>0</v>
      </c>
      <c r="X151" s="475">
        <f>SUM(R151:W151)</f>
        <v>0</v>
      </c>
      <c r="Y151" s="475">
        <v>0</v>
      </c>
      <c r="Z151" s="475">
        <v>0</v>
      </c>
      <c r="AA151" s="475">
        <v>0</v>
      </c>
      <c r="AB151" s="475">
        <f t="shared" si="368"/>
        <v>0</v>
      </c>
      <c r="AC151" s="475">
        <f t="shared" si="369"/>
        <v>0</v>
      </c>
      <c r="AD151" s="70">
        <f t="shared" si="370"/>
        <v>0</v>
      </c>
      <c r="AE151" s="70">
        <f t="shared" si="371"/>
        <v>0</v>
      </c>
      <c r="AF151" s="475">
        <v>0</v>
      </c>
      <c r="AG151" s="475">
        <v>0</v>
      </c>
      <c r="AH151" s="475">
        <f t="shared" si="372"/>
        <v>0</v>
      </c>
      <c r="AI151" s="475">
        <f t="shared" si="373"/>
        <v>0</v>
      </c>
      <c r="AJ151" s="476">
        <v>0</v>
      </c>
      <c r="AK151" s="476">
        <v>0</v>
      </c>
      <c r="AL151" s="476">
        <v>0</v>
      </c>
      <c r="AM151" s="476">
        <v>0</v>
      </c>
      <c r="AN151" s="476">
        <v>0</v>
      </c>
      <c r="AO151" s="476">
        <v>0</v>
      </c>
      <c r="AP151" s="476">
        <v>0</v>
      </c>
      <c r="AQ151" s="476">
        <v>0</v>
      </c>
      <c r="AR151" s="476">
        <f>AJ151+AL151+AM151+AO151+AP151</f>
        <v>0</v>
      </c>
      <c r="AS151" s="476">
        <f>AK151+AN151+AQ151</f>
        <v>0</v>
      </c>
      <c r="AT151" s="478">
        <f t="shared" si="374"/>
        <v>0</v>
      </c>
      <c r="AU151" s="484">
        <f>I151+AI151</f>
        <v>735038</v>
      </c>
      <c r="AV151" s="475">
        <f>J151+X151</f>
        <v>541265</v>
      </c>
      <c r="AW151" s="475">
        <f t="shared" si="375"/>
        <v>0</v>
      </c>
      <c r="AX151" s="475">
        <f t="shared" si="376"/>
        <v>182948</v>
      </c>
      <c r="AY151" s="475">
        <f t="shared" si="376"/>
        <v>10825</v>
      </c>
      <c r="AZ151" s="475">
        <f>N151+AH151</f>
        <v>0</v>
      </c>
      <c r="BA151" s="476">
        <f>O151+AT151</f>
        <v>1.1072</v>
      </c>
      <c r="BB151" s="476">
        <f t="shared" si="377"/>
        <v>1.1072</v>
      </c>
      <c r="BC151" s="478">
        <f t="shared" si="377"/>
        <v>0</v>
      </c>
    </row>
    <row r="152" spans="1:55" ht="12.95" customHeight="1" x14ac:dyDescent="0.25">
      <c r="A152" s="308">
        <v>30</v>
      </c>
      <c r="B152" s="225">
        <v>5438</v>
      </c>
      <c r="C152" s="225">
        <v>600099032</v>
      </c>
      <c r="D152" s="309">
        <v>72742054</v>
      </c>
      <c r="E152" s="405" t="s">
        <v>538</v>
      </c>
      <c r="F152" s="416">
        <v>3143</v>
      </c>
      <c r="G152" s="351" t="s">
        <v>627</v>
      </c>
      <c r="H152" s="313" t="s">
        <v>278</v>
      </c>
      <c r="I152" s="477">
        <v>21168</v>
      </c>
      <c r="J152" s="472">
        <v>14969</v>
      </c>
      <c r="K152" s="472">
        <v>0</v>
      </c>
      <c r="L152" s="472">
        <v>5060</v>
      </c>
      <c r="M152" s="472">
        <v>299</v>
      </c>
      <c r="N152" s="472">
        <v>840</v>
      </c>
      <c r="O152" s="473">
        <v>0.06</v>
      </c>
      <c r="P152" s="474">
        <v>0</v>
      </c>
      <c r="Q152" s="483">
        <v>0.06</v>
      </c>
      <c r="R152" s="485">
        <f t="shared" si="367"/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>SUM(R152:W152)</f>
        <v>0</v>
      </c>
      <c r="Y152" s="475">
        <v>0</v>
      </c>
      <c r="Z152" s="475">
        <v>0</v>
      </c>
      <c r="AA152" s="475">
        <v>0</v>
      </c>
      <c r="AB152" s="475">
        <f t="shared" si="368"/>
        <v>0</v>
      </c>
      <c r="AC152" s="475">
        <f t="shared" si="369"/>
        <v>0</v>
      </c>
      <c r="AD152" s="70">
        <f t="shared" si="370"/>
        <v>0</v>
      </c>
      <c r="AE152" s="70">
        <f t="shared" si="371"/>
        <v>0</v>
      </c>
      <c r="AF152" s="475">
        <v>0</v>
      </c>
      <c r="AG152" s="475">
        <v>0</v>
      </c>
      <c r="AH152" s="475">
        <f t="shared" si="372"/>
        <v>0</v>
      </c>
      <c r="AI152" s="475">
        <f t="shared" si="373"/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si="374"/>
        <v>0</v>
      </c>
      <c r="AU152" s="484">
        <f>I152+AI152</f>
        <v>21168</v>
      </c>
      <c r="AV152" s="475">
        <f>J152+X152</f>
        <v>14969</v>
      </c>
      <c r="AW152" s="475">
        <f t="shared" si="375"/>
        <v>0</v>
      </c>
      <c r="AX152" s="475">
        <f t="shared" si="376"/>
        <v>5060</v>
      </c>
      <c r="AY152" s="475">
        <f t="shared" si="376"/>
        <v>299</v>
      </c>
      <c r="AZ152" s="475">
        <f>N152+AH152</f>
        <v>840</v>
      </c>
      <c r="BA152" s="476">
        <f>O152+AT152</f>
        <v>0.06</v>
      </c>
      <c r="BB152" s="476">
        <f t="shared" si="377"/>
        <v>0</v>
      </c>
      <c r="BC152" s="478">
        <f t="shared" si="377"/>
        <v>0.06</v>
      </c>
    </row>
    <row r="153" spans="1:55" ht="12.95" customHeight="1" x14ac:dyDescent="0.25">
      <c r="A153" s="226">
        <v>30</v>
      </c>
      <c r="B153" s="46">
        <v>5438</v>
      </c>
      <c r="C153" s="46">
        <v>600099032</v>
      </c>
      <c r="D153" s="46">
        <v>72742054</v>
      </c>
      <c r="E153" s="417" t="s">
        <v>539</v>
      </c>
      <c r="F153" s="418"/>
      <c r="G153" s="417"/>
      <c r="H153" s="419"/>
      <c r="I153" s="612">
        <v>4923384</v>
      </c>
      <c r="J153" s="609">
        <v>3556851</v>
      </c>
      <c r="K153" s="609">
        <v>0</v>
      </c>
      <c r="L153" s="609">
        <v>1202216</v>
      </c>
      <c r="M153" s="609">
        <v>71137</v>
      </c>
      <c r="N153" s="609">
        <v>93180</v>
      </c>
      <c r="O153" s="610">
        <v>6.6232999999999995</v>
      </c>
      <c r="P153" s="610">
        <v>4.8680000000000003</v>
      </c>
      <c r="Q153" s="614">
        <v>1.7553000000000001</v>
      </c>
      <c r="R153" s="612">
        <f t="shared" ref="R153:BC153" si="378">SUM(R149:R152)</f>
        <v>0</v>
      </c>
      <c r="S153" s="609">
        <f t="shared" si="378"/>
        <v>0</v>
      </c>
      <c r="T153" s="609">
        <f t="shared" si="378"/>
        <v>0</v>
      </c>
      <c r="U153" s="609">
        <f t="shared" si="378"/>
        <v>0</v>
      </c>
      <c r="V153" s="609">
        <f t="shared" si="378"/>
        <v>0</v>
      </c>
      <c r="W153" s="609">
        <f t="shared" si="378"/>
        <v>0</v>
      </c>
      <c r="X153" s="609">
        <f t="shared" si="378"/>
        <v>0</v>
      </c>
      <c r="Y153" s="609">
        <f t="shared" si="378"/>
        <v>0</v>
      </c>
      <c r="Z153" s="609">
        <f t="shared" si="378"/>
        <v>0</v>
      </c>
      <c r="AA153" s="609">
        <f t="shared" si="378"/>
        <v>0</v>
      </c>
      <c r="AB153" s="609">
        <f t="shared" si="378"/>
        <v>0</v>
      </c>
      <c r="AC153" s="609">
        <f t="shared" si="378"/>
        <v>0</v>
      </c>
      <c r="AD153" s="609">
        <f t="shared" si="378"/>
        <v>0</v>
      </c>
      <c r="AE153" s="609">
        <f t="shared" si="378"/>
        <v>0</v>
      </c>
      <c r="AF153" s="609">
        <f t="shared" si="378"/>
        <v>0</v>
      </c>
      <c r="AG153" s="609">
        <f t="shared" si="378"/>
        <v>0</v>
      </c>
      <c r="AH153" s="609">
        <f t="shared" si="378"/>
        <v>0</v>
      </c>
      <c r="AI153" s="609">
        <f t="shared" si="378"/>
        <v>0</v>
      </c>
      <c r="AJ153" s="610">
        <f t="shared" si="378"/>
        <v>0</v>
      </c>
      <c r="AK153" s="610">
        <f t="shared" si="378"/>
        <v>0</v>
      </c>
      <c r="AL153" s="610">
        <f t="shared" si="378"/>
        <v>0</v>
      </c>
      <c r="AM153" s="610">
        <f t="shared" si="378"/>
        <v>0</v>
      </c>
      <c r="AN153" s="610">
        <f t="shared" si="378"/>
        <v>0</v>
      </c>
      <c r="AO153" s="610">
        <f t="shared" si="378"/>
        <v>0</v>
      </c>
      <c r="AP153" s="610">
        <f t="shared" si="378"/>
        <v>0</v>
      </c>
      <c r="AQ153" s="610">
        <f t="shared" si="378"/>
        <v>0</v>
      </c>
      <c r="AR153" s="610">
        <f t="shared" si="378"/>
        <v>0</v>
      </c>
      <c r="AS153" s="610">
        <f t="shared" si="378"/>
        <v>0</v>
      </c>
      <c r="AT153" s="413">
        <f t="shared" si="378"/>
        <v>0</v>
      </c>
      <c r="AU153" s="616">
        <f t="shared" si="378"/>
        <v>4923384</v>
      </c>
      <c r="AV153" s="609">
        <f t="shared" si="378"/>
        <v>3556851</v>
      </c>
      <c r="AW153" s="609">
        <f t="shared" si="378"/>
        <v>0</v>
      </c>
      <c r="AX153" s="609">
        <f t="shared" si="378"/>
        <v>1202216</v>
      </c>
      <c r="AY153" s="609">
        <f t="shared" si="378"/>
        <v>71137</v>
      </c>
      <c r="AZ153" s="609">
        <f t="shared" si="378"/>
        <v>93180</v>
      </c>
      <c r="BA153" s="610">
        <f t="shared" si="378"/>
        <v>6.6232999999999995</v>
      </c>
      <c r="BB153" s="610">
        <f t="shared" si="378"/>
        <v>4.8680000000000003</v>
      </c>
      <c r="BC153" s="413">
        <f t="shared" si="378"/>
        <v>1.7553000000000001</v>
      </c>
    </row>
    <row r="154" spans="1:55" ht="12.95" customHeight="1" x14ac:dyDescent="0.25">
      <c r="A154" s="308">
        <v>31</v>
      </c>
      <c r="B154" s="225">
        <v>2441</v>
      </c>
      <c r="C154" s="225">
        <v>600079406</v>
      </c>
      <c r="D154" s="309">
        <v>70695920</v>
      </c>
      <c r="E154" s="406" t="s">
        <v>540</v>
      </c>
      <c r="F154" s="225">
        <v>3111</v>
      </c>
      <c r="G154" s="407" t="s">
        <v>325</v>
      </c>
      <c r="H154" s="313" t="s">
        <v>277</v>
      </c>
      <c r="I154" s="477">
        <v>3499788</v>
      </c>
      <c r="J154" s="472">
        <v>2562252</v>
      </c>
      <c r="K154" s="472">
        <v>0</v>
      </c>
      <c r="L154" s="472">
        <v>866041</v>
      </c>
      <c r="M154" s="472">
        <v>51245</v>
      </c>
      <c r="N154" s="472">
        <v>20250</v>
      </c>
      <c r="O154" s="473">
        <v>5.4897999999999998</v>
      </c>
      <c r="P154" s="474">
        <v>4</v>
      </c>
      <c r="Q154" s="483">
        <v>1.4898</v>
      </c>
      <c r="R154" s="485">
        <f t="shared" ref="R154:R155" si="379">Y154*-1</f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>SUM(R154:W154)</f>
        <v>0</v>
      </c>
      <c r="Y154" s="475">
        <v>0</v>
      </c>
      <c r="Z154" s="475">
        <v>0</v>
      </c>
      <c r="AA154" s="475">
        <v>0</v>
      </c>
      <c r="AB154" s="475">
        <f t="shared" ref="AB154:AB155" si="380">SUM(Y154:AA154)</f>
        <v>0</v>
      </c>
      <c r="AC154" s="475">
        <f t="shared" ref="AC154:AC155" si="381">X154+AB154</f>
        <v>0</v>
      </c>
      <c r="AD154" s="70">
        <f t="shared" ref="AD154:AD155" si="382">ROUND((X154+Y154+Z154)*33.8%,0)</f>
        <v>0</v>
      </c>
      <c r="AE154" s="70">
        <f t="shared" ref="AE154:AE155" si="383">ROUND(X154*2%,0)</f>
        <v>0</v>
      </c>
      <c r="AF154" s="475">
        <v>0</v>
      </c>
      <c r="AG154" s="475">
        <v>0</v>
      </c>
      <c r="AH154" s="475">
        <f t="shared" ref="AH154:AH155" si="384">SUM(AF154:AG154)</f>
        <v>0</v>
      </c>
      <c r="AI154" s="475">
        <f t="shared" ref="AI154:AI155" si="385">AC154+AD154+AE154+AH154</f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476">
        <f>AJ154+AL154+AM154+AO154+AP154</f>
        <v>0</v>
      </c>
      <c r="AS154" s="476">
        <f>AK154+AN154+AQ154</f>
        <v>0</v>
      </c>
      <c r="AT154" s="478">
        <f t="shared" ref="AT154:AT155" si="386">SUM(AR154:AS154)</f>
        <v>0</v>
      </c>
      <c r="AU154" s="484">
        <f>I154+AI154</f>
        <v>3499788</v>
      </c>
      <c r="AV154" s="475">
        <f>J154+X154</f>
        <v>2562252</v>
      </c>
      <c r="AW154" s="475">
        <f t="shared" ref="AW154:AW155" si="387">K154+AB154</f>
        <v>0</v>
      </c>
      <c r="AX154" s="475">
        <f>L154+AD154</f>
        <v>866041</v>
      </c>
      <c r="AY154" s="475">
        <f>M154+AE154</f>
        <v>51245</v>
      </c>
      <c r="AZ154" s="475">
        <f>N154+AH154</f>
        <v>20250</v>
      </c>
      <c r="BA154" s="476">
        <f>O154+AT154</f>
        <v>5.4897999999999998</v>
      </c>
      <c r="BB154" s="476">
        <f>P154+AR154</f>
        <v>4</v>
      </c>
      <c r="BC154" s="478">
        <f>Q154+AS154</f>
        <v>1.4898</v>
      </c>
    </row>
    <row r="155" spans="1:55" ht="12.95" customHeight="1" x14ac:dyDescent="0.25">
      <c r="A155" s="308">
        <v>31</v>
      </c>
      <c r="B155" s="410">
        <v>2441</v>
      </c>
      <c r="C155" s="410">
        <v>600079406</v>
      </c>
      <c r="D155" s="309">
        <v>70695920</v>
      </c>
      <c r="E155" s="224" t="s">
        <v>540</v>
      </c>
      <c r="F155" s="225">
        <v>3141</v>
      </c>
      <c r="G155" s="407" t="s">
        <v>315</v>
      </c>
      <c r="H155" s="313" t="s">
        <v>278</v>
      </c>
      <c r="I155" s="477">
        <v>639668</v>
      </c>
      <c r="J155" s="472">
        <v>469115</v>
      </c>
      <c r="K155" s="472">
        <v>0</v>
      </c>
      <c r="L155" s="472">
        <v>158561</v>
      </c>
      <c r="M155" s="472">
        <v>9382</v>
      </c>
      <c r="N155" s="472">
        <v>2610</v>
      </c>
      <c r="O155" s="473">
        <v>1.48</v>
      </c>
      <c r="P155" s="474">
        <v>0</v>
      </c>
      <c r="Q155" s="483">
        <v>1.48</v>
      </c>
      <c r="R155" s="485">
        <f t="shared" si="379"/>
        <v>0</v>
      </c>
      <c r="S155" s="475">
        <v>0</v>
      </c>
      <c r="T155" s="475">
        <v>4753</v>
      </c>
      <c r="U155" s="475">
        <v>0</v>
      </c>
      <c r="V155" s="475">
        <v>0</v>
      </c>
      <c r="W155" s="475">
        <v>0</v>
      </c>
      <c r="X155" s="475">
        <f>SUM(R155:W155)</f>
        <v>4753</v>
      </c>
      <c r="Y155" s="475">
        <v>0</v>
      </c>
      <c r="Z155" s="475">
        <v>0</v>
      </c>
      <c r="AA155" s="475">
        <v>0</v>
      </c>
      <c r="AB155" s="475">
        <f t="shared" si="380"/>
        <v>0</v>
      </c>
      <c r="AC155" s="475">
        <f t="shared" si="381"/>
        <v>4753</v>
      </c>
      <c r="AD155" s="70">
        <f t="shared" si="382"/>
        <v>1607</v>
      </c>
      <c r="AE155" s="70">
        <f t="shared" si="383"/>
        <v>95</v>
      </c>
      <c r="AF155" s="475">
        <v>0</v>
      </c>
      <c r="AG155" s="475">
        <v>0</v>
      </c>
      <c r="AH155" s="475">
        <f t="shared" si="384"/>
        <v>0</v>
      </c>
      <c r="AI155" s="475">
        <f t="shared" si="385"/>
        <v>6455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0.02</v>
      </c>
      <c r="AO155" s="476">
        <v>0</v>
      </c>
      <c r="AP155" s="476">
        <v>0</v>
      </c>
      <c r="AQ155" s="476">
        <v>0</v>
      </c>
      <c r="AR155" s="476">
        <f>AJ155+AL155+AM155+AO155+AP155</f>
        <v>0</v>
      </c>
      <c r="AS155" s="476">
        <f>AK155+AN155+AQ155</f>
        <v>0.02</v>
      </c>
      <c r="AT155" s="478">
        <f t="shared" si="386"/>
        <v>0.02</v>
      </c>
      <c r="AU155" s="484">
        <f>I155+AI155</f>
        <v>646123</v>
      </c>
      <c r="AV155" s="475">
        <f>J155+X155</f>
        <v>473868</v>
      </c>
      <c r="AW155" s="475">
        <f t="shared" si="387"/>
        <v>0</v>
      </c>
      <c r="AX155" s="475">
        <f>L155+AD155</f>
        <v>160168</v>
      </c>
      <c r="AY155" s="475">
        <f>M155+AE155</f>
        <v>9477</v>
      </c>
      <c r="AZ155" s="475">
        <f>N155+AH155</f>
        <v>2610</v>
      </c>
      <c r="BA155" s="476">
        <f>O155+AT155</f>
        <v>1.5</v>
      </c>
      <c r="BB155" s="476">
        <f>P155+AR155</f>
        <v>0</v>
      </c>
      <c r="BC155" s="478">
        <f>Q155+AS155</f>
        <v>1.5</v>
      </c>
    </row>
    <row r="156" spans="1:55" ht="12.95" customHeight="1" x14ac:dyDescent="0.25">
      <c r="A156" s="226">
        <v>31</v>
      </c>
      <c r="B156" s="47">
        <v>2441</v>
      </c>
      <c r="C156" s="47">
        <v>600079406</v>
      </c>
      <c r="D156" s="47">
        <v>70695920</v>
      </c>
      <c r="E156" s="408" t="s">
        <v>541</v>
      </c>
      <c r="F156" s="49"/>
      <c r="G156" s="421"/>
      <c r="H156" s="193"/>
      <c r="I156" s="612">
        <v>4139456</v>
      </c>
      <c r="J156" s="609">
        <v>3031367</v>
      </c>
      <c r="K156" s="609">
        <v>0</v>
      </c>
      <c r="L156" s="609">
        <v>1024602</v>
      </c>
      <c r="M156" s="609">
        <v>60627</v>
      </c>
      <c r="N156" s="609">
        <v>22860</v>
      </c>
      <c r="O156" s="610">
        <v>6.9697999999999993</v>
      </c>
      <c r="P156" s="610">
        <v>4</v>
      </c>
      <c r="Q156" s="614">
        <v>2.9698000000000002</v>
      </c>
      <c r="R156" s="612">
        <f t="shared" ref="R156:BC156" si="388">SUM(R154:R155)</f>
        <v>0</v>
      </c>
      <c r="S156" s="609">
        <f t="shared" si="388"/>
        <v>0</v>
      </c>
      <c r="T156" s="609">
        <f t="shared" si="388"/>
        <v>4753</v>
      </c>
      <c r="U156" s="609">
        <f t="shared" si="388"/>
        <v>0</v>
      </c>
      <c r="V156" s="609">
        <f t="shared" si="388"/>
        <v>0</v>
      </c>
      <c r="W156" s="609">
        <f t="shared" si="388"/>
        <v>0</v>
      </c>
      <c r="X156" s="609">
        <f t="shared" si="388"/>
        <v>4753</v>
      </c>
      <c r="Y156" s="609">
        <f t="shared" si="388"/>
        <v>0</v>
      </c>
      <c r="Z156" s="609">
        <f t="shared" si="388"/>
        <v>0</v>
      </c>
      <c r="AA156" s="609">
        <f t="shared" si="388"/>
        <v>0</v>
      </c>
      <c r="AB156" s="609">
        <f t="shared" si="388"/>
        <v>0</v>
      </c>
      <c r="AC156" s="609">
        <f t="shared" si="388"/>
        <v>4753</v>
      </c>
      <c r="AD156" s="609">
        <f t="shared" si="388"/>
        <v>1607</v>
      </c>
      <c r="AE156" s="609">
        <f t="shared" si="388"/>
        <v>95</v>
      </c>
      <c r="AF156" s="609">
        <f t="shared" si="388"/>
        <v>0</v>
      </c>
      <c r="AG156" s="609">
        <f t="shared" si="388"/>
        <v>0</v>
      </c>
      <c r="AH156" s="609">
        <f t="shared" si="388"/>
        <v>0</v>
      </c>
      <c r="AI156" s="609">
        <f t="shared" si="388"/>
        <v>6455</v>
      </c>
      <c r="AJ156" s="610">
        <f t="shared" si="388"/>
        <v>0</v>
      </c>
      <c r="AK156" s="610">
        <f t="shared" si="388"/>
        <v>0</v>
      </c>
      <c r="AL156" s="610">
        <f t="shared" si="388"/>
        <v>0</v>
      </c>
      <c r="AM156" s="610">
        <f t="shared" si="388"/>
        <v>0</v>
      </c>
      <c r="AN156" s="610">
        <f t="shared" si="388"/>
        <v>0.02</v>
      </c>
      <c r="AO156" s="610">
        <f t="shared" si="388"/>
        <v>0</v>
      </c>
      <c r="AP156" s="610">
        <f t="shared" si="388"/>
        <v>0</v>
      </c>
      <c r="AQ156" s="610">
        <f t="shared" si="388"/>
        <v>0</v>
      </c>
      <c r="AR156" s="610">
        <f t="shared" si="388"/>
        <v>0</v>
      </c>
      <c r="AS156" s="610">
        <f t="shared" si="388"/>
        <v>0.02</v>
      </c>
      <c r="AT156" s="413">
        <f t="shared" si="388"/>
        <v>0.02</v>
      </c>
      <c r="AU156" s="616">
        <f t="shared" si="388"/>
        <v>4145911</v>
      </c>
      <c r="AV156" s="609">
        <f t="shared" si="388"/>
        <v>3036120</v>
      </c>
      <c r="AW156" s="609">
        <f t="shared" si="388"/>
        <v>0</v>
      </c>
      <c r="AX156" s="609">
        <f t="shared" si="388"/>
        <v>1026209</v>
      </c>
      <c r="AY156" s="609">
        <f t="shared" si="388"/>
        <v>60722</v>
      </c>
      <c r="AZ156" s="609">
        <f t="shared" si="388"/>
        <v>22860</v>
      </c>
      <c r="BA156" s="610">
        <f t="shared" si="388"/>
        <v>6.9897999999999998</v>
      </c>
      <c r="BB156" s="610">
        <f t="shared" si="388"/>
        <v>4</v>
      </c>
      <c r="BC156" s="413">
        <f t="shared" si="388"/>
        <v>2.9897999999999998</v>
      </c>
    </row>
    <row r="157" spans="1:55" ht="12.95" customHeight="1" x14ac:dyDescent="0.25">
      <c r="A157" s="308">
        <v>32</v>
      </c>
      <c r="B157" s="225">
        <v>2496</v>
      </c>
      <c r="C157" s="225">
        <v>600080251</v>
      </c>
      <c r="D157" s="309">
        <v>70695938</v>
      </c>
      <c r="E157" s="406" t="s">
        <v>542</v>
      </c>
      <c r="F157" s="225">
        <v>3117</v>
      </c>
      <c r="G157" s="406" t="s">
        <v>329</v>
      </c>
      <c r="H157" s="313" t="s">
        <v>277</v>
      </c>
      <c r="I157" s="477">
        <v>5647354</v>
      </c>
      <c r="J157" s="472">
        <v>4071807</v>
      </c>
      <c r="K157" s="472">
        <v>5000</v>
      </c>
      <c r="L157" s="472">
        <v>1377961</v>
      </c>
      <c r="M157" s="472">
        <v>81436</v>
      </c>
      <c r="N157" s="472">
        <v>111150</v>
      </c>
      <c r="O157" s="473">
        <v>7.92</v>
      </c>
      <c r="P157" s="474">
        <v>5.91</v>
      </c>
      <c r="Q157" s="483">
        <v>2.0100000000000002</v>
      </c>
      <c r="R157" s="485">
        <f t="shared" ref="R157:R161" si="389">Y157*-1</f>
        <v>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>SUM(R157:W157)</f>
        <v>0</v>
      </c>
      <c r="Y157" s="475">
        <v>0</v>
      </c>
      <c r="Z157" s="475">
        <v>0</v>
      </c>
      <c r="AA157" s="475">
        <v>0</v>
      </c>
      <c r="AB157" s="475">
        <f t="shared" ref="AB157:AB161" si="390">SUM(Y157:AA157)</f>
        <v>0</v>
      </c>
      <c r="AC157" s="475">
        <f t="shared" ref="AC157:AC161" si="391">X157+AB157</f>
        <v>0</v>
      </c>
      <c r="AD157" s="70">
        <f t="shared" ref="AD157:AD161" si="392">ROUND((X157+Y157+Z157)*33.8%,0)</f>
        <v>0</v>
      </c>
      <c r="AE157" s="70">
        <f t="shared" ref="AE157:AE161" si="393">ROUND(X157*2%,0)</f>
        <v>0</v>
      </c>
      <c r="AF157" s="475">
        <v>0</v>
      </c>
      <c r="AG157" s="475">
        <v>0</v>
      </c>
      <c r="AH157" s="475">
        <f t="shared" ref="AH157:AH161" si="394">SUM(AF157:AG157)</f>
        <v>0</v>
      </c>
      <c r="AI157" s="475">
        <f t="shared" ref="AI157:AI161" si="395">AC157+AD157+AE157+AH157</f>
        <v>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0</v>
      </c>
      <c r="AT157" s="478">
        <f t="shared" ref="AT157:AT161" si="396">SUM(AR157:AS157)</f>
        <v>0</v>
      </c>
      <c r="AU157" s="484">
        <f>I157+AI157</f>
        <v>5647354</v>
      </c>
      <c r="AV157" s="475">
        <f>J157+X157</f>
        <v>4071807</v>
      </c>
      <c r="AW157" s="475">
        <f t="shared" ref="AW157:AW161" si="397">K157+AB157</f>
        <v>5000</v>
      </c>
      <c r="AX157" s="475">
        <f t="shared" ref="AX157:AY161" si="398">L157+AD157</f>
        <v>1377961</v>
      </c>
      <c r="AY157" s="475">
        <f t="shared" si="398"/>
        <v>81436</v>
      </c>
      <c r="AZ157" s="475">
        <f>N157+AH157</f>
        <v>111150</v>
      </c>
      <c r="BA157" s="476">
        <f>O157+AT157</f>
        <v>7.92</v>
      </c>
      <c r="BB157" s="476">
        <f t="shared" ref="BB157:BC161" si="399">P157+AR157</f>
        <v>5.91</v>
      </c>
      <c r="BC157" s="478">
        <f t="shared" si="399"/>
        <v>2.0100000000000002</v>
      </c>
    </row>
    <row r="158" spans="1:55" ht="12.95" customHeight="1" x14ac:dyDescent="0.25">
      <c r="A158" s="308">
        <v>32</v>
      </c>
      <c r="B158" s="225">
        <v>2496</v>
      </c>
      <c r="C158" s="225">
        <v>600080251</v>
      </c>
      <c r="D158" s="309">
        <v>70695938</v>
      </c>
      <c r="E158" s="406" t="s">
        <v>542</v>
      </c>
      <c r="F158" s="225">
        <v>3117</v>
      </c>
      <c r="G158" s="351" t="s">
        <v>312</v>
      </c>
      <c r="H158" s="313" t="s">
        <v>278</v>
      </c>
      <c r="I158" s="477">
        <v>243090</v>
      </c>
      <c r="J158" s="472">
        <v>179006</v>
      </c>
      <c r="K158" s="472">
        <v>0</v>
      </c>
      <c r="L158" s="472">
        <v>60504</v>
      </c>
      <c r="M158" s="472">
        <v>3580</v>
      </c>
      <c r="N158" s="472">
        <v>0</v>
      </c>
      <c r="O158" s="473">
        <v>0.51</v>
      </c>
      <c r="P158" s="474">
        <v>0.51</v>
      </c>
      <c r="Q158" s="483">
        <v>0</v>
      </c>
      <c r="R158" s="485">
        <f t="shared" si="389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>SUM(R158:W158)</f>
        <v>0</v>
      </c>
      <c r="Y158" s="475">
        <v>0</v>
      </c>
      <c r="Z158" s="475">
        <v>0</v>
      </c>
      <c r="AA158" s="475">
        <v>0</v>
      </c>
      <c r="AB158" s="475">
        <f t="shared" si="390"/>
        <v>0</v>
      </c>
      <c r="AC158" s="475">
        <f t="shared" si="391"/>
        <v>0</v>
      </c>
      <c r="AD158" s="70">
        <f t="shared" si="392"/>
        <v>0</v>
      </c>
      <c r="AE158" s="70">
        <f t="shared" si="393"/>
        <v>0</v>
      </c>
      <c r="AF158" s="475">
        <v>0</v>
      </c>
      <c r="AG158" s="475">
        <v>0</v>
      </c>
      <c r="AH158" s="475">
        <f t="shared" si="394"/>
        <v>0</v>
      </c>
      <c r="AI158" s="475">
        <f t="shared" si="395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6"/>
        <v>0</v>
      </c>
      <c r="AU158" s="484">
        <f>I158+AI158</f>
        <v>243090</v>
      </c>
      <c r="AV158" s="475">
        <f>J158+X158</f>
        <v>179006</v>
      </c>
      <c r="AW158" s="475">
        <f t="shared" si="397"/>
        <v>0</v>
      </c>
      <c r="AX158" s="475">
        <f t="shared" si="398"/>
        <v>60504</v>
      </c>
      <c r="AY158" s="475">
        <f t="shared" si="398"/>
        <v>3580</v>
      </c>
      <c r="AZ158" s="475">
        <f>N158+AH158</f>
        <v>0</v>
      </c>
      <c r="BA158" s="476">
        <f>O158+AT158</f>
        <v>0.51</v>
      </c>
      <c r="BB158" s="476">
        <f t="shared" si="399"/>
        <v>0.51</v>
      </c>
      <c r="BC158" s="478">
        <f t="shared" si="399"/>
        <v>0</v>
      </c>
    </row>
    <row r="159" spans="1:55" ht="12.95" customHeight="1" x14ac:dyDescent="0.25">
      <c r="A159" s="308">
        <v>32</v>
      </c>
      <c r="B159" s="410">
        <v>2496</v>
      </c>
      <c r="C159" s="410">
        <v>600080251</v>
      </c>
      <c r="D159" s="309">
        <v>70695938</v>
      </c>
      <c r="E159" s="224" t="s">
        <v>542</v>
      </c>
      <c r="F159" s="225">
        <v>3141</v>
      </c>
      <c r="G159" s="407" t="s">
        <v>315</v>
      </c>
      <c r="H159" s="313" t="s">
        <v>278</v>
      </c>
      <c r="I159" s="477">
        <v>630750</v>
      </c>
      <c r="J159" s="472">
        <v>461736</v>
      </c>
      <c r="K159" s="472">
        <v>0</v>
      </c>
      <c r="L159" s="472">
        <v>156067</v>
      </c>
      <c r="M159" s="472">
        <v>9235</v>
      </c>
      <c r="N159" s="472">
        <v>3712</v>
      </c>
      <c r="O159" s="473">
        <v>1.45</v>
      </c>
      <c r="P159" s="474">
        <v>0</v>
      </c>
      <c r="Q159" s="483">
        <v>1.45</v>
      </c>
      <c r="R159" s="485">
        <f t="shared" si="389"/>
        <v>0</v>
      </c>
      <c r="S159" s="475">
        <v>0</v>
      </c>
      <c r="T159" s="475">
        <v>15825</v>
      </c>
      <c r="U159" s="475">
        <v>0</v>
      </c>
      <c r="V159" s="475">
        <v>0</v>
      </c>
      <c r="W159" s="475">
        <v>0</v>
      </c>
      <c r="X159" s="475">
        <f>SUM(R159:W159)</f>
        <v>15825</v>
      </c>
      <c r="Y159" s="475">
        <v>0</v>
      </c>
      <c r="Z159" s="475">
        <v>0</v>
      </c>
      <c r="AA159" s="475">
        <v>0</v>
      </c>
      <c r="AB159" s="475">
        <f t="shared" si="390"/>
        <v>0</v>
      </c>
      <c r="AC159" s="475">
        <f t="shared" si="391"/>
        <v>15825</v>
      </c>
      <c r="AD159" s="70">
        <f t="shared" si="392"/>
        <v>5349</v>
      </c>
      <c r="AE159" s="70">
        <f t="shared" si="393"/>
        <v>317</v>
      </c>
      <c r="AF159" s="475">
        <v>0</v>
      </c>
      <c r="AG159" s="475">
        <v>0</v>
      </c>
      <c r="AH159" s="475">
        <f t="shared" si="394"/>
        <v>0</v>
      </c>
      <c r="AI159" s="475">
        <f t="shared" si="395"/>
        <v>21491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0.05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0.05</v>
      </c>
      <c r="AT159" s="478">
        <f t="shared" si="396"/>
        <v>0.05</v>
      </c>
      <c r="AU159" s="484">
        <f>I159+AI159</f>
        <v>652241</v>
      </c>
      <c r="AV159" s="475">
        <f>J159+X159</f>
        <v>477561</v>
      </c>
      <c r="AW159" s="475">
        <f t="shared" si="397"/>
        <v>0</v>
      </c>
      <c r="AX159" s="475">
        <f t="shared" si="398"/>
        <v>161416</v>
      </c>
      <c r="AY159" s="475">
        <f t="shared" si="398"/>
        <v>9552</v>
      </c>
      <c r="AZ159" s="475">
        <f>N159+AH159</f>
        <v>3712</v>
      </c>
      <c r="BA159" s="476">
        <f>O159+AT159</f>
        <v>1.5</v>
      </c>
      <c r="BB159" s="476">
        <f t="shared" si="399"/>
        <v>0</v>
      </c>
      <c r="BC159" s="478">
        <f t="shared" si="399"/>
        <v>1.5</v>
      </c>
    </row>
    <row r="160" spans="1:55" ht="12.95" customHeight="1" x14ac:dyDescent="0.25">
      <c r="A160" s="308">
        <v>32</v>
      </c>
      <c r="B160" s="225">
        <v>2496</v>
      </c>
      <c r="C160" s="225">
        <v>600080251</v>
      </c>
      <c r="D160" s="309">
        <v>70695938</v>
      </c>
      <c r="E160" s="406" t="s">
        <v>542</v>
      </c>
      <c r="F160" s="225">
        <v>3143</v>
      </c>
      <c r="G160" s="351" t="s">
        <v>626</v>
      </c>
      <c r="H160" s="313" t="s">
        <v>277</v>
      </c>
      <c r="I160" s="477">
        <v>1077718</v>
      </c>
      <c r="J160" s="472">
        <v>793607</v>
      </c>
      <c r="K160" s="472">
        <v>0</v>
      </c>
      <c r="L160" s="472">
        <v>268239</v>
      </c>
      <c r="M160" s="472">
        <v>15872</v>
      </c>
      <c r="N160" s="472">
        <v>0</v>
      </c>
      <c r="O160" s="473">
        <v>1.6</v>
      </c>
      <c r="P160" s="474">
        <v>1.6</v>
      </c>
      <c r="Q160" s="483">
        <v>0</v>
      </c>
      <c r="R160" s="485">
        <f t="shared" si="389"/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>SUM(R160:W160)</f>
        <v>0</v>
      </c>
      <c r="Y160" s="475">
        <v>0</v>
      </c>
      <c r="Z160" s="475">
        <v>0</v>
      </c>
      <c r="AA160" s="475">
        <v>0</v>
      </c>
      <c r="AB160" s="475">
        <f t="shared" si="390"/>
        <v>0</v>
      </c>
      <c r="AC160" s="475">
        <f t="shared" si="391"/>
        <v>0</v>
      </c>
      <c r="AD160" s="70">
        <f t="shared" si="392"/>
        <v>0</v>
      </c>
      <c r="AE160" s="70">
        <f t="shared" si="393"/>
        <v>0</v>
      </c>
      <c r="AF160" s="475">
        <v>0</v>
      </c>
      <c r="AG160" s="475">
        <v>0</v>
      </c>
      <c r="AH160" s="475">
        <f t="shared" si="394"/>
        <v>0</v>
      </c>
      <c r="AI160" s="475">
        <f t="shared" si="395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476">
        <f>AJ160+AL160+AM160+AO160+AP160</f>
        <v>0</v>
      </c>
      <c r="AS160" s="476">
        <f>AK160+AN160+AQ160</f>
        <v>0</v>
      </c>
      <c r="AT160" s="478">
        <f t="shared" si="396"/>
        <v>0</v>
      </c>
      <c r="AU160" s="484">
        <f>I160+AI160</f>
        <v>1077718</v>
      </c>
      <c r="AV160" s="475">
        <f>J160+X160</f>
        <v>793607</v>
      </c>
      <c r="AW160" s="475">
        <f t="shared" si="397"/>
        <v>0</v>
      </c>
      <c r="AX160" s="475">
        <f t="shared" si="398"/>
        <v>268239</v>
      </c>
      <c r="AY160" s="475">
        <f t="shared" si="398"/>
        <v>15872</v>
      </c>
      <c r="AZ160" s="475">
        <f>N160+AH160</f>
        <v>0</v>
      </c>
      <c r="BA160" s="476">
        <f>O160+AT160</f>
        <v>1.6</v>
      </c>
      <c r="BB160" s="476">
        <f t="shared" si="399"/>
        <v>1.6</v>
      </c>
      <c r="BC160" s="478">
        <f t="shared" si="399"/>
        <v>0</v>
      </c>
    </row>
    <row r="161" spans="1:55" ht="12.95" customHeight="1" x14ac:dyDescent="0.25">
      <c r="A161" s="308">
        <v>32</v>
      </c>
      <c r="B161" s="225">
        <v>2496</v>
      </c>
      <c r="C161" s="225">
        <v>600080251</v>
      </c>
      <c r="D161" s="309">
        <v>70695938</v>
      </c>
      <c r="E161" s="406" t="s">
        <v>542</v>
      </c>
      <c r="F161" s="225">
        <v>3143</v>
      </c>
      <c r="G161" s="351" t="s">
        <v>627</v>
      </c>
      <c r="H161" s="313" t="s">
        <v>278</v>
      </c>
      <c r="I161" s="477">
        <v>37800</v>
      </c>
      <c r="J161" s="472">
        <v>26730</v>
      </c>
      <c r="K161" s="472">
        <v>0</v>
      </c>
      <c r="L161" s="472">
        <v>9035</v>
      </c>
      <c r="M161" s="472">
        <v>535</v>
      </c>
      <c r="N161" s="472">
        <v>1500</v>
      </c>
      <c r="O161" s="473">
        <v>0.1</v>
      </c>
      <c r="P161" s="474">
        <v>0</v>
      </c>
      <c r="Q161" s="483">
        <v>0.1</v>
      </c>
      <c r="R161" s="485">
        <f t="shared" si="389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>SUM(R161:W161)</f>
        <v>0</v>
      </c>
      <c r="Y161" s="475">
        <v>0</v>
      </c>
      <c r="Z161" s="475">
        <v>0</v>
      </c>
      <c r="AA161" s="475">
        <v>0</v>
      </c>
      <c r="AB161" s="475">
        <f t="shared" si="390"/>
        <v>0</v>
      </c>
      <c r="AC161" s="475">
        <f t="shared" si="391"/>
        <v>0</v>
      </c>
      <c r="AD161" s="70">
        <f t="shared" si="392"/>
        <v>0</v>
      </c>
      <c r="AE161" s="70">
        <f t="shared" si="393"/>
        <v>0</v>
      </c>
      <c r="AF161" s="475">
        <v>0</v>
      </c>
      <c r="AG161" s="475">
        <v>0</v>
      </c>
      <c r="AH161" s="475">
        <f t="shared" si="394"/>
        <v>0</v>
      </c>
      <c r="AI161" s="475">
        <f t="shared" si="395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si="396"/>
        <v>0</v>
      </c>
      <c r="AU161" s="484">
        <f>I161+AI161</f>
        <v>37800</v>
      </c>
      <c r="AV161" s="475">
        <f>J161+X161</f>
        <v>26730</v>
      </c>
      <c r="AW161" s="475">
        <f t="shared" si="397"/>
        <v>0</v>
      </c>
      <c r="AX161" s="475">
        <f t="shared" si="398"/>
        <v>9035</v>
      </c>
      <c r="AY161" s="475">
        <f t="shared" si="398"/>
        <v>535</v>
      </c>
      <c r="AZ161" s="475">
        <f>N161+AH161</f>
        <v>1500</v>
      </c>
      <c r="BA161" s="476">
        <f>O161+AT161</f>
        <v>0.1</v>
      </c>
      <c r="BB161" s="476">
        <f t="shared" si="399"/>
        <v>0</v>
      </c>
      <c r="BC161" s="478">
        <f t="shared" si="399"/>
        <v>0.1</v>
      </c>
    </row>
    <row r="162" spans="1:55" ht="12.95" customHeight="1" x14ac:dyDescent="0.25">
      <c r="A162" s="226">
        <v>32</v>
      </c>
      <c r="B162" s="46">
        <v>2496</v>
      </c>
      <c r="C162" s="46">
        <v>600080251</v>
      </c>
      <c r="D162" s="46">
        <v>70695938</v>
      </c>
      <c r="E162" s="408" t="s">
        <v>543</v>
      </c>
      <c r="F162" s="46"/>
      <c r="G162" s="408"/>
      <c r="H162" s="190"/>
      <c r="I162" s="612">
        <v>7636712</v>
      </c>
      <c r="J162" s="609">
        <v>5532886</v>
      </c>
      <c r="K162" s="609">
        <v>5000</v>
      </c>
      <c r="L162" s="609">
        <v>1871806</v>
      </c>
      <c r="M162" s="609">
        <v>110658</v>
      </c>
      <c r="N162" s="609">
        <v>116362</v>
      </c>
      <c r="O162" s="610">
        <v>11.579999999999998</v>
      </c>
      <c r="P162" s="610">
        <v>8.02</v>
      </c>
      <c r="Q162" s="614">
        <v>3.56</v>
      </c>
      <c r="R162" s="612">
        <f t="shared" ref="R162:BC162" si="400">SUM(R157:R161)</f>
        <v>0</v>
      </c>
      <c r="S162" s="609">
        <f t="shared" si="400"/>
        <v>0</v>
      </c>
      <c r="T162" s="609">
        <f t="shared" si="400"/>
        <v>15825</v>
      </c>
      <c r="U162" s="609">
        <f t="shared" si="400"/>
        <v>0</v>
      </c>
      <c r="V162" s="609">
        <f t="shared" si="400"/>
        <v>0</v>
      </c>
      <c r="W162" s="609">
        <f t="shared" si="400"/>
        <v>0</v>
      </c>
      <c r="X162" s="609">
        <f t="shared" si="400"/>
        <v>15825</v>
      </c>
      <c r="Y162" s="609">
        <f t="shared" si="400"/>
        <v>0</v>
      </c>
      <c r="Z162" s="609">
        <f t="shared" si="400"/>
        <v>0</v>
      </c>
      <c r="AA162" s="609">
        <f t="shared" si="400"/>
        <v>0</v>
      </c>
      <c r="AB162" s="609">
        <f t="shared" si="400"/>
        <v>0</v>
      </c>
      <c r="AC162" s="609">
        <f t="shared" si="400"/>
        <v>15825</v>
      </c>
      <c r="AD162" s="609">
        <f t="shared" si="400"/>
        <v>5349</v>
      </c>
      <c r="AE162" s="609">
        <f t="shared" si="400"/>
        <v>317</v>
      </c>
      <c r="AF162" s="609">
        <f t="shared" si="400"/>
        <v>0</v>
      </c>
      <c r="AG162" s="609">
        <f t="shared" si="400"/>
        <v>0</v>
      </c>
      <c r="AH162" s="609">
        <f t="shared" si="400"/>
        <v>0</v>
      </c>
      <c r="AI162" s="609">
        <f t="shared" si="400"/>
        <v>21491</v>
      </c>
      <c r="AJ162" s="610">
        <f t="shared" si="400"/>
        <v>0</v>
      </c>
      <c r="AK162" s="610">
        <f t="shared" si="400"/>
        <v>0</v>
      </c>
      <c r="AL162" s="610">
        <f t="shared" si="400"/>
        <v>0</v>
      </c>
      <c r="AM162" s="610">
        <f t="shared" si="400"/>
        <v>0</v>
      </c>
      <c r="AN162" s="610">
        <f t="shared" si="400"/>
        <v>0.05</v>
      </c>
      <c r="AO162" s="610">
        <f t="shared" si="400"/>
        <v>0</v>
      </c>
      <c r="AP162" s="610">
        <f t="shared" si="400"/>
        <v>0</v>
      </c>
      <c r="AQ162" s="610">
        <f t="shared" si="400"/>
        <v>0</v>
      </c>
      <c r="AR162" s="610">
        <f t="shared" si="400"/>
        <v>0</v>
      </c>
      <c r="AS162" s="610">
        <f t="shared" si="400"/>
        <v>0.05</v>
      </c>
      <c r="AT162" s="413">
        <f t="shared" si="400"/>
        <v>0.05</v>
      </c>
      <c r="AU162" s="616">
        <f t="shared" si="400"/>
        <v>7658203</v>
      </c>
      <c r="AV162" s="609">
        <f t="shared" si="400"/>
        <v>5548711</v>
      </c>
      <c r="AW162" s="609">
        <f t="shared" si="400"/>
        <v>5000</v>
      </c>
      <c r="AX162" s="609">
        <f t="shared" si="400"/>
        <v>1877155</v>
      </c>
      <c r="AY162" s="609">
        <f t="shared" si="400"/>
        <v>110975</v>
      </c>
      <c r="AZ162" s="609">
        <f t="shared" si="400"/>
        <v>116362</v>
      </c>
      <c r="BA162" s="610">
        <f t="shared" si="400"/>
        <v>11.629999999999999</v>
      </c>
      <c r="BB162" s="610">
        <f t="shared" si="400"/>
        <v>8.02</v>
      </c>
      <c r="BC162" s="413">
        <f t="shared" si="400"/>
        <v>3.6100000000000003</v>
      </c>
    </row>
    <row r="163" spans="1:55" ht="12.95" customHeight="1" x14ac:dyDescent="0.25">
      <c r="A163" s="308">
        <v>33</v>
      </c>
      <c r="B163" s="225">
        <v>5440</v>
      </c>
      <c r="C163" s="225">
        <v>600098559</v>
      </c>
      <c r="D163" s="309">
        <v>70998108</v>
      </c>
      <c r="E163" s="406" t="s">
        <v>544</v>
      </c>
      <c r="F163" s="225">
        <v>3111</v>
      </c>
      <c r="G163" s="407" t="s">
        <v>325</v>
      </c>
      <c r="H163" s="313" t="s">
        <v>277</v>
      </c>
      <c r="I163" s="477">
        <v>3438941</v>
      </c>
      <c r="J163" s="472">
        <v>2504628</v>
      </c>
      <c r="K163" s="472">
        <v>12000</v>
      </c>
      <c r="L163" s="472">
        <v>850620</v>
      </c>
      <c r="M163" s="472">
        <v>50093</v>
      </c>
      <c r="N163" s="472">
        <v>21600</v>
      </c>
      <c r="O163" s="473">
        <v>5.4398</v>
      </c>
      <c r="P163" s="474">
        <v>4</v>
      </c>
      <c r="Q163" s="483">
        <v>1.4398</v>
      </c>
      <c r="R163" s="485">
        <f t="shared" ref="R163:R165" si="401">Y163*-1</f>
        <v>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>SUM(R163:W163)</f>
        <v>0</v>
      </c>
      <c r="Y163" s="475">
        <v>0</v>
      </c>
      <c r="Z163" s="475">
        <v>0</v>
      </c>
      <c r="AA163" s="475">
        <v>0</v>
      </c>
      <c r="AB163" s="475">
        <f t="shared" ref="AB163:AB165" si="402">SUM(Y163:AA163)</f>
        <v>0</v>
      </c>
      <c r="AC163" s="475">
        <f t="shared" ref="AC163:AC165" si="403">X163+AB163</f>
        <v>0</v>
      </c>
      <c r="AD163" s="70">
        <f t="shared" ref="AD163:AD165" si="404">ROUND((X163+Y163+Z163)*33.8%,0)</f>
        <v>0</v>
      </c>
      <c r="AE163" s="70">
        <f t="shared" ref="AE163:AE165" si="405">ROUND(X163*2%,0)</f>
        <v>0</v>
      </c>
      <c r="AF163" s="475">
        <v>0</v>
      </c>
      <c r="AG163" s="475">
        <v>0</v>
      </c>
      <c r="AH163" s="475">
        <f t="shared" ref="AH163:AH165" si="406">SUM(AF163:AG163)</f>
        <v>0</v>
      </c>
      <c r="AI163" s="475">
        <f t="shared" ref="AI163:AI165" si="407">AC163+AD163+AE163+AH163</f>
        <v>0</v>
      </c>
      <c r="AJ163" s="476">
        <v>0</v>
      </c>
      <c r="AK163" s="476">
        <v>0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0</v>
      </c>
      <c r="AT163" s="478">
        <f t="shared" ref="AT163:AT165" si="408">SUM(AR163:AS163)</f>
        <v>0</v>
      </c>
      <c r="AU163" s="484">
        <f>I163+AI163</f>
        <v>3438941</v>
      </c>
      <c r="AV163" s="475">
        <f>J163+X163</f>
        <v>2504628</v>
      </c>
      <c r="AW163" s="475">
        <f t="shared" ref="AW163:AW165" si="409">K163+AB163</f>
        <v>12000</v>
      </c>
      <c r="AX163" s="475">
        <f t="shared" ref="AX163:AY165" si="410">L163+AD163</f>
        <v>850620</v>
      </c>
      <c r="AY163" s="475">
        <f t="shared" si="410"/>
        <v>50093</v>
      </c>
      <c r="AZ163" s="475">
        <f>N163+AH163</f>
        <v>21600</v>
      </c>
      <c r="BA163" s="476">
        <f>O163+AT163</f>
        <v>5.4398</v>
      </c>
      <c r="BB163" s="476">
        <f t="shared" ref="BB163:BC165" si="411">P163+AR163</f>
        <v>4</v>
      </c>
      <c r="BC163" s="478">
        <f t="shared" si="411"/>
        <v>1.4398</v>
      </c>
    </row>
    <row r="164" spans="1:55" ht="12.95" customHeight="1" x14ac:dyDescent="0.25">
      <c r="A164" s="308">
        <v>33</v>
      </c>
      <c r="B164" s="225">
        <v>5440</v>
      </c>
      <c r="C164" s="225">
        <v>600098559</v>
      </c>
      <c r="D164" s="309">
        <v>70998108</v>
      </c>
      <c r="E164" s="406" t="s">
        <v>544</v>
      </c>
      <c r="F164" s="225">
        <v>3111</v>
      </c>
      <c r="G164" s="407" t="s">
        <v>312</v>
      </c>
      <c r="H164" s="313" t="s">
        <v>278</v>
      </c>
      <c r="I164" s="477">
        <v>313646</v>
      </c>
      <c r="J164" s="472">
        <v>230962</v>
      </c>
      <c r="K164" s="472">
        <v>0</v>
      </c>
      <c r="L164" s="472">
        <v>78065</v>
      </c>
      <c r="M164" s="472">
        <v>4619</v>
      </c>
      <c r="N164" s="472">
        <v>0</v>
      </c>
      <c r="O164" s="473">
        <v>0.66999999999999993</v>
      </c>
      <c r="P164" s="474">
        <v>0.66999999999999993</v>
      </c>
      <c r="Q164" s="483">
        <v>0</v>
      </c>
      <c r="R164" s="485">
        <f t="shared" si="401"/>
        <v>0</v>
      </c>
      <c r="S164" s="475">
        <v>-41954</v>
      </c>
      <c r="T164" s="475">
        <v>0</v>
      </c>
      <c r="U164" s="475">
        <v>0</v>
      </c>
      <c r="V164" s="475">
        <v>0</v>
      </c>
      <c r="W164" s="475">
        <v>0</v>
      </c>
      <c r="X164" s="475">
        <f>SUM(R164:W164)</f>
        <v>-41954</v>
      </c>
      <c r="Y164" s="475">
        <v>0</v>
      </c>
      <c r="Z164" s="475">
        <v>0</v>
      </c>
      <c r="AA164" s="475">
        <v>0</v>
      </c>
      <c r="AB164" s="475">
        <f t="shared" si="402"/>
        <v>0</v>
      </c>
      <c r="AC164" s="475">
        <f t="shared" si="403"/>
        <v>-41954</v>
      </c>
      <c r="AD164" s="70">
        <f t="shared" si="404"/>
        <v>-14180</v>
      </c>
      <c r="AE164" s="70">
        <f t="shared" si="405"/>
        <v>-839</v>
      </c>
      <c r="AF164" s="475">
        <v>0</v>
      </c>
      <c r="AG164" s="475">
        <v>0</v>
      </c>
      <c r="AH164" s="475">
        <f t="shared" si="406"/>
        <v>0</v>
      </c>
      <c r="AI164" s="475">
        <f t="shared" si="407"/>
        <v>-56973</v>
      </c>
      <c r="AJ164" s="476">
        <v>0</v>
      </c>
      <c r="AK164" s="476">
        <v>0</v>
      </c>
      <c r="AL164" s="476">
        <v>-0.08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476">
        <f>AJ164+AL164+AM164+AO164+AP164</f>
        <v>-0.08</v>
      </c>
      <c r="AS164" s="476">
        <f>AK164+AN164+AQ164</f>
        <v>0</v>
      </c>
      <c r="AT164" s="478">
        <f t="shared" si="408"/>
        <v>-0.08</v>
      </c>
      <c r="AU164" s="484">
        <f>I164+AI164</f>
        <v>256673</v>
      </c>
      <c r="AV164" s="475">
        <f>J164+X164</f>
        <v>189008</v>
      </c>
      <c r="AW164" s="475">
        <f t="shared" si="409"/>
        <v>0</v>
      </c>
      <c r="AX164" s="475">
        <f t="shared" si="410"/>
        <v>63885</v>
      </c>
      <c r="AY164" s="475">
        <f t="shared" si="410"/>
        <v>3780</v>
      </c>
      <c r="AZ164" s="475">
        <f>N164+AH164</f>
        <v>0</v>
      </c>
      <c r="BA164" s="476">
        <f>O164+AT164</f>
        <v>0.59</v>
      </c>
      <c r="BB164" s="476">
        <f t="shared" si="411"/>
        <v>0.59</v>
      </c>
      <c r="BC164" s="478">
        <f t="shared" si="411"/>
        <v>0</v>
      </c>
    </row>
    <row r="165" spans="1:55" ht="12.95" customHeight="1" x14ac:dyDescent="0.25">
      <c r="A165" s="308">
        <v>33</v>
      </c>
      <c r="B165" s="410">
        <v>5440</v>
      </c>
      <c r="C165" s="410">
        <v>600098559</v>
      </c>
      <c r="D165" s="309">
        <v>70998108</v>
      </c>
      <c r="E165" s="406" t="s">
        <v>544</v>
      </c>
      <c r="F165" s="225">
        <v>3141</v>
      </c>
      <c r="G165" s="407" t="s">
        <v>315</v>
      </c>
      <c r="H165" s="313" t="s">
        <v>278</v>
      </c>
      <c r="I165" s="477">
        <v>268213</v>
      </c>
      <c r="J165" s="472">
        <v>196163</v>
      </c>
      <c r="K165" s="472">
        <v>0</v>
      </c>
      <c r="L165" s="472">
        <v>66303</v>
      </c>
      <c r="M165" s="472">
        <v>3923</v>
      </c>
      <c r="N165" s="472">
        <v>1824</v>
      </c>
      <c r="O165" s="473">
        <v>0.62</v>
      </c>
      <c r="P165" s="474">
        <v>0</v>
      </c>
      <c r="Q165" s="483">
        <v>0.62</v>
      </c>
      <c r="R165" s="485">
        <f t="shared" si="401"/>
        <v>0</v>
      </c>
      <c r="S165" s="475">
        <v>0</v>
      </c>
      <c r="T165" s="475">
        <v>929</v>
      </c>
      <c r="U165" s="475">
        <v>0</v>
      </c>
      <c r="V165" s="475">
        <v>0</v>
      </c>
      <c r="W165" s="475">
        <v>0</v>
      </c>
      <c r="X165" s="475">
        <f>SUM(R165:W165)</f>
        <v>929</v>
      </c>
      <c r="Y165" s="475">
        <v>0</v>
      </c>
      <c r="Z165" s="475">
        <v>0</v>
      </c>
      <c r="AA165" s="475">
        <v>0</v>
      </c>
      <c r="AB165" s="475">
        <f t="shared" si="402"/>
        <v>0</v>
      </c>
      <c r="AC165" s="475">
        <f t="shared" si="403"/>
        <v>929</v>
      </c>
      <c r="AD165" s="70">
        <f t="shared" si="404"/>
        <v>314</v>
      </c>
      <c r="AE165" s="70">
        <f t="shared" si="405"/>
        <v>19</v>
      </c>
      <c r="AF165" s="475">
        <v>0</v>
      </c>
      <c r="AG165" s="475">
        <v>0</v>
      </c>
      <c r="AH165" s="475">
        <f t="shared" si="406"/>
        <v>0</v>
      </c>
      <c r="AI165" s="475">
        <f t="shared" si="407"/>
        <v>1262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476">
        <f>AJ165+AL165+AM165+AO165+AP165</f>
        <v>0</v>
      </c>
      <c r="AS165" s="476">
        <f>AK165+AN165+AQ165</f>
        <v>0</v>
      </c>
      <c r="AT165" s="478">
        <f t="shared" si="408"/>
        <v>0</v>
      </c>
      <c r="AU165" s="484">
        <f>I165+AI165</f>
        <v>269475</v>
      </c>
      <c r="AV165" s="475">
        <f>J165+X165</f>
        <v>197092</v>
      </c>
      <c r="AW165" s="475">
        <f t="shared" si="409"/>
        <v>0</v>
      </c>
      <c r="AX165" s="475">
        <f t="shared" si="410"/>
        <v>66617</v>
      </c>
      <c r="AY165" s="475">
        <f t="shared" si="410"/>
        <v>3942</v>
      </c>
      <c r="AZ165" s="475">
        <f>N165+AH165</f>
        <v>1824</v>
      </c>
      <c r="BA165" s="476">
        <f>O165+AT165</f>
        <v>0.62</v>
      </c>
      <c r="BB165" s="476">
        <f t="shared" si="411"/>
        <v>0</v>
      </c>
      <c r="BC165" s="478">
        <f t="shared" si="411"/>
        <v>0.62</v>
      </c>
    </row>
    <row r="166" spans="1:55" ht="12.95" customHeight="1" x14ac:dyDescent="0.25">
      <c r="A166" s="226">
        <v>33</v>
      </c>
      <c r="B166" s="47">
        <v>5440</v>
      </c>
      <c r="C166" s="47">
        <v>600098559</v>
      </c>
      <c r="D166" s="47">
        <v>70998108</v>
      </c>
      <c r="E166" s="408" t="s">
        <v>545</v>
      </c>
      <c r="F166" s="46"/>
      <c r="G166" s="408"/>
      <c r="H166" s="190"/>
      <c r="I166" s="611">
        <v>4020800</v>
      </c>
      <c r="J166" s="607">
        <v>2931753</v>
      </c>
      <c r="K166" s="607">
        <v>12000</v>
      </c>
      <c r="L166" s="607">
        <v>994988</v>
      </c>
      <c r="M166" s="607">
        <v>58635</v>
      </c>
      <c r="N166" s="607">
        <v>23424</v>
      </c>
      <c r="O166" s="608">
        <v>6.7298</v>
      </c>
      <c r="P166" s="608">
        <v>4.67</v>
      </c>
      <c r="Q166" s="613">
        <v>2.0598000000000001</v>
      </c>
      <c r="R166" s="611">
        <f t="shared" ref="R166:BC166" si="412">SUM(R163:R165)</f>
        <v>0</v>
      </c>
      <c r="S166" s="607">
        <f t="shared" si="412"/>
        <v>-41954</v>
      </c>
      <c r="T166" s="607">
        <f t="shared" si="412"/>
        <v>929</v>
      </c>
      <c r="U166" s="607">
        <f t="shared" si="412"/>
        <v>0</v>
      </c>
      <c r="V166" s="607">
        <f t="shared" si="412"/>
        <v>0</v>
      </c>
      <c r="W166" s="607">
        <f t="shared" si="412"/>
        <v>0</v>
      </c>
      <c r="X166" s="607">
        <f t="shared" si="412"/>
        <v>-41025</v>
      </c>
      <c r="Y166" s="607">
        <f t="shared" si="412"/>
        <v>0</v>
      </c>
      <c r="Z166" s="607">
        <f t="shared" si="412"/>
        <v>0</v>
      </c>
      <c r="AA166" s="607">
        <f t="shared" si="412"/>
        <v>0</v>
      </c>
      <c r="AB166" s="607">
        <f t="shared" si="412"/>
        <v>0</v>
      </c>
      <c r="AC166" s="607">
        <f t="shared" si="412"/>
        <v>-41025</v>
      </c>
      <c r="AD166" s="607">
        <f t="shared" si="412"/>
        <v>-13866</v>
      </c>
      <c r="AE166" s="607">
        <f t="shared" si="412"/>
        <v>-820</v>
      </c>
      <c r="AF166" s="607">
        <f t="shared" si="412"/>
        <v>0</v>
      </c>
      <c r="AG166" s="607">
        <f t="shared" si="412"/>
        <v>0</v>
      </c>
      <c r="AH166" s="607">
        <f t="shared" si="412"/>
        <v>0</v>
      </c>
      <c r="AI166" s="607">
        <f t="shared" si="412"/>
        <v>-55711</v>
      </c>
      <c r="AJ166" s="608">
        <f t="shared" si="412"/>
        <v>0</v>
      </c>
      <c r="AK166" s="608">
        <f t="shared" si="412"/>
        <v>0</v>
      </c>
      <c r="AL166" s="608">
        <f t="shared" si="412"/>
        <v>-0.08</v>
      </c>
      <c r="AM166" s="608">
        <f t="shared" si="412"/>
        <v>0</v>
      </c>
      <c r="AN166" s="608">
        <f t="shared" si="412"/>
        <v>0</v>
      </c>
      <c r="AO166" s="608">
        <f t="shared" si="412"/>
        <v>0</v>
      </c>
      <c r="AP166" s="608">
        <f t="shared" si="412"/>
        <v>0</v>
      </c>
      <c r="AQ166" s="608">
        <f t="shared" si="412"/>
        <v>0</v>
      </c>
      <c r="AR166" s="608">
        <f t="shared" si="412"/>
        <v>-0.08</v>
      </c>
      <c r="AS166" s="608">
        <f t="shared" si="412"/>
        <v>0</v>
      </c>
      <c r="AT166" s="409">
        <f t="shared" si="412"/>
        <v>-0.08</v>
      </c>
      <c r="AU166" s="615">
        <f t="shared" si="412"/>
        <v>3965089</v>
      </c>
      <c r="AV166" s="607">
        <f t="shared" si="412"/>
        <v>2890728</v>
      </c>
      <c r="AW166" s="607">
        <f t="shared" si="412"/>
        <v>12000</v>
      </c>
      <c r="AX166" s="607">
        <f t="shared" si="412"/>
        <v>981122</v>
      </c>
      <c r="AY166" s="607">
        <f t="shared" si="412"/>
        <v>57815</v>
      </c>
      <c r="AZ166" s="607">
        <f t="shared" si="412"/>
        <v>23424</v>
      </c>
      <c r="BA166" s="608">
        <f t="shared" si="412"/>
        <v>6.6497999999999999</v>
      </c>
      <c r="BB166" s="608">
        <f t="shared" si="412"/>
        <v>4.59</v>
      </c>
      <c r="BC166" s="409">
        <f t="shared" si="412"/>
        <v>2.0598000000000001</v>
      </c>
    </row>
    <row r="167" spans="1:55" ht="12.95" customHeight="1" x14ac:dyDescent="0.25">
      <c r="A167" s="308">
        <v>34</v>
      </c>
      <c r="B167" s="225">
        <v>5441</v>
      </c>
      <c r="C167" s="225">
        <v>600099270</v>
      </c>
      <c r="D167" s="309">
        <v>856118</v>
      </c>
      <c r="E167" s="406" t="s">
        <v>546</v>
      </c>
      <c r="F167" s="225">
        <v>3113</v>
      </c>
      <c r="G167" s="406" t="s">
        <v>329</v>
      </c>
      <c r="H167" s="313" t="s">
        <v>277</v>
      </c>
      <c r="I167" s="477">
        <v>14619346</v>
      </c>
      <c r="J167" s="472">
        <v>10441630</v>
      </c>
      <c r="K167" s="472">
        <v>103000</v>
      </c>
      <c r="L167" s="472">
        <v>3564085</v>
      </c>
      <c r="M167" s="472">
        <v>208831</v>
      </c>
      <c r="N167" s="472">
        <v>301800</v>
      </c>
      <c r="O167" s="473">
        <v>18.636999999999997</v>
      </c>
      <c r="P167" s="474">
        <v>13.682500000000001</v>
      </c>
      <c r="Q167" s="483">
        <v>4.9544999999999995</v>
      </c>
      <c r="R167" s="485">
        <f t="shared" ref="R167:R171" si="413">Y167*-1</f>
        <v>0</v>
      </c>
      <c r="S167" s="475">
        <v>0</v>
      </c>
      <c r="T167" s="475">
        <v>87431</v>
      </c>
      <c r="U167" s="475">
        <v>0</v>
      </c>
      <c r="V167" s="475">
        <v>0</v>
      </c>
      <c r="W167" s="475">
        <v>0</v>
      </c>
      <c r="X167" s="475">
        <f>SUM(R167:W167)</f>
        <v>87431</v>
      </c>
      <c r="Y167" s="475">
        <v>0</v>
      </c>
      <c r="Z167" s="475">
        <v>0</v>
      </c>
      <c r="AA167" s="475">
        <v>0</v>
      </c>
      <c r="AB167" s="475">
        <f t="shared" ref="AB167:AB171" si="414">SUM(Y167:AA167)</f>
        <v>0</v>
      </c>
      <c r="AC167" s="475">
        <f t="shared" ref="AC167:AC171" si="415">X167+AB167</f>
        <v>87431</v>
      </c>
      <c r="AD167" s="70">
        <f t="shared" ref="AD167:AD171" si="416">ROUND((X167+Y167+Z167)*33.8%,0)</f>
        <v>29552</v>
      </c>
      <c r="AE167" s="70">
        <f t="shared" ref="AE167:AE171" si="417">ROUND(X167*2%,0)</f>
        <v>1749</v>
      </c>
      <c r="AF167" s="475">
        <v>0</v>
      </c>
      <c r="AG167" s="475">
        <v>0</v>
      </c>
      <c r="AH167" s="475">
        <f t="shared" ref="AH167:AH171" si="418">SUM(AF167:AG167)</f>
        <v>0</v>
      </c>
      <c r="AI167" s="475">
        <f t="shared" ref="AI167:AI171" si="419">AC167+AD167+AE167+AH167</f>
        <v>118732</v>
      </c>
      <c r="AJ167" s="476">
        <v>0</v>
      </c>
      <c r="AK167" s="476">
        <v>0</v>
      </c>
      <c r="AL167" s="476">
        <v>0</v>
      </c>
      <c r="AM167" s="476">
        <v>0.14000000000000001</v>
      </c>
      <c r="AN167" s="476">
        <v>0</v>
      </c>
      <c r="AO167" s="476">
        <v>0</v>
      </c>
      <c r="AP167" s="476">
        <v>0</v>
      </c>
      <c r="AQ167" s="476">
        <v>0</v>
      </c>
      <c r="AR167" s="476">
        <f>AJ167+AL167+AM167+AO167+AP167</f>
        <v>0.14000000000000001</v>
      </c>
      <c r="AS167" s="476">
        <f>AK167+AN167+AQ167</f>
        <v>0</v>
      </c>
      <c r="AT167" s="478">
        <f t="shared" ref="AT167:AT171" si="420">SUM(AR167:AS167)</f>
        <v>0.14000000000000001</v>
      </c>
      <c r="AU167" s="484">
        <f>I167+AI167</f>
        <v>14738078</v>
      </c>
      <c r="AV167" s="475">
        <f>J167+X167</f>
        <v>10529061</v>
      </c>
      <c r="AW167" s="475">
        <f t="shared" ref="AW167:AW171" si="421">K167+AB167</f>
        <v>103000</v>
      </c>
      <c r="AX167" s="475">
        <f t="shared" ref="AX167:AY171" si="422">L167+AD167</f>
        <v>3593637</v>
      </c>
      <c r="AY167" s="475">
        <f t="shared" si="422"/>
        <v>210580</v>
      </c>
      <c r="AZ167" s="475">
        <f>N167+AH167</f>
        <v>301800</v>
      </c>
      <c r="BA167" s="476">
        <f>O167+AT167</f>
        <v>18.776999999999997</v>
      </c>
      <c r="BB167" s="476">
        <f t="shared" ref="BB167:BC171" si="423">P167+AR167</f>
        <v>13.822500000000002</v>
      </c>
      <c r="BC167" s="478">
        <f t="shared" si="423"/>
        <v>4.9544999999999995</v>
      </c>
    </row>
    <row r="168" spans="1:55" ht="12.95" customHeight="1" x14ac:dyDescent="0.25">
      <c r="A168" s="308">
        <v>34</v>
      </c>
      <c r="B168" s="225">
        <v>5441</v>
      </c>
      <c r="C168" s="225">
        <v>600099270</v>
      </c>
      <c r="D168" s="309">
        <v>856118</v>
      </c>
      <c r="E168" s="406" t="s">
        <v>546</v>
      </c>
      <c r="F168" s="225">
        <v>3113</v>
      </c>
      <c r="G168" s="351" t="s">
        <v>312</v>
      </c>
      <c r="H168" s="313" t="s">
        <v>278</v>
      </c>
      <c r="I168" s="477">
        <v>819286</v>
      </c>
      <c r="J168" s="472">
        <v>602788</v>
      </c>
      <c r="K168" s="472">
        <v>0</v>
      </c>
      <c r="L168" s="472">
        <v>203742</v>
      </c>
      <c r="M168" s="472">
        <v>12056</v>
      </c>
      <c r="N168" s="472">
        <v>700</v>
      </c>
      <c r="O168" s="473">
        <v>1.59</v>
      </c>
      <c r="P168" s="474">
        <v>1.59</v>
      </c>
      <c r="Q168" s="483">
        <v>0</v>
      </c>
      <c r="R168" s="485">
        <f t="shared" si="413"/>
        <v>0</v>
      </c>
      <c r="S168" s="475">
        <v>0</v>
      </c>
      <c r="T168" s="475">
        <v>0</v>
      </c>
      <c r="U168" s="475">
        <v>0</v>
      </c>
      <c r="V168" s="475">
        <v>0</v>
      </c>
      <c r="W168" s="475">
        <v>0</v>
      </c>
      <c r="X168" s="475">
        <f>SUM(R168:W168)</f>
        <v>0</v>
      </c>
      <c r="Y168" s="475">
        <v>0</v>
      </c>
      <c r="Z168" s="475">
        <v>0</v>
      </c>
      <c r="AA168" s="475">
        <v>0</v>
      </c>
      <c r="AB168" s="475">
        <f t="shared" si="414"/>
        <v>0</v>
      </c>
      <c r="AC168" s="475">
        <f t="shared" si="415"/>
        <v>0</v>
      </c>
      <c r="AD168" s="70">
        <f t="shared" si="416"/>
        <v>0</v>
      </c>
      <c r="AE168" s="70">
        <f t="shared" si="417"/>
        <v>0</v>
      </c>
      <c r="AF168" s="475">
        <v>0</v>
      </c>
      <c r="AG168" s="475">
        <v>0</v>
      </c>
      <c r="AH168" s="475">
        <f t="shared" si="418"/>
        <v>0</v>
      </c>
      <c r="AI168" s="475">
        <f t="shared" si="419"/>
        <v>0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</v>
      </c>
      <c r="AO168" s="476">
        <v>0</v>
      </c>
      <c r="AP168" s="476">
        <v>0</v>
      </c>
      <c r="AQ168" s="476">
        <v>0</v>
      </c>
      <c r="AR168" s="476">
        <f>AJ168+AL168+AM168+AO168+AP168</f>
        <v>0</v>
      </c>
      <c r="AS168" s="476">
        <f>AK168+AN168+AQ168</f>
        <v>0</v>
      </c>
      <c r="AT168" s="478">
        <f t="shared" si="420"/>
        <v>0</v>
      </c>
      <c r="AU168" s="484">
        <f>I168+AI168</f>
        <v>819286</v>
      </c>
      <c r="AV168" s="475">
        <f>J168+X168</f>
        <v>602788</v>
      </c>
      <c r="AW168" s="475">
        <f t="shared" si="421"/>
        <v>0</v>
      </c>
      <c r="AX168" s="475">
        <f t="shared" si="422"/>
        <v>203742</v>
      </c>
      <c r="AY168" s="475">
        <f t="shared" si="422"/>
        <v>12056</v>
      </c>
      <c r="AZ168" s="475">
        <f>N168+AH168</f>
        <v>700</v>
      </c>
      <c r="BA168" s="476">
        <f>O168+AT168</f>
        <v>1.59</v>
      </c>
      <c r="BB168" s="476">
        <f t="shared" si="423"/>
        <v>1.59</v>
      </c>
      <c r="BC168" s="478">
        <f t="shared" si="423"/>
        <v>0</v>
      </c>
    </row>
    <row r="169" spans="1:55" ht="12.95" customHeight="1" x14ac:dyDescent="0.25">
      <c r="A169" s="308">
        <v>34</v>
      </c>
      <c r="B169" s="410">
        <v>5441</v>
      </c>
      <c r="C169" s="410">
        <v>600099270</v>
      </c>
      <c r="D169" s="309">
        <v>856118</v>
      </c>
      <c r="E169" s="224" t="s">
        <v>546</v>
      </c>
      <c r="F169" s="225">
        <v>3141</v>
      </c>
      <c r="G169" s="407" t="s">
        <v>315</v>
      </c>
      <c r="H169" s="313" t="s">
        <v>278</v>
      </c>
      <c r="I169" s="477">
        <v>1902833</v>
      </c>
      <c r="J169" s="472">
        <v>1324404</v>
      </c>
      <c r="K169" s="472">
        <v>68000</v>
      </c>
      <c r="L169" s="472">
        <v>470633</v>
      </c>
      <c r="M169" s="472">
        <v>26488</v>
      </c>
      <c r="N169" s="472">
        <v>13308</v>
      </c>
      <c r="O169" s="473">
        <v>4.3899999999999997</v>
      </c>
      <c r="P169" s="474">
        <v>0</v>
      </c>
      <c r="Q169" s="483">
        <v>4.3899999999999997</v>
      </c>
      <c r="R169" s="485">
        <f t="shared" si="413"/>
        <v>0</v>
      </c>
      <c r="S169" s="475">
        <v>0</v>
      </c>
      <c r="T169" s="475">
        <v>-42945</v>
      </c>
      <c r="U169" s="475">
        <v>0</v>
      </c>
      <c r="V169" s="475">
        <v>0</v>
      </c>
      <c r="W169" s="475">
        <v>0</v>
      </c>
      <c r="X169" s="475">
        <f>SUM(R169:W169)</f>
        <v>-42945</v>
      </c>
      <c r="Y169" s="475">
        <v>0</v>
      </c>
      <c r="Z169" s="475">
        <v>0</v>
      </c>
      <c r="AA169" s="475">
        <v>0</v>
      </c>
      <c r="AB169" s="475">
        <f t="shared" si="414"/>
        <v>0</v>
      </c>
      <c r="AC169" s="475">
        <f t="shared" si="415"/>
        <v>-42945</v>
      </c>
      <c r="AD169" s="70">
        <f t="shared" si="416"/>
        <v>-14515</v>
      </c>
      <c r="AE169" s="70">
        <f t="shared" si="417"/>
        <v>-859</v>
      </c>
      <c r="AF169" s="475">
        <v>0</v>
      </c>
      <c r="AG169" s="475">
        <v>0</v>
      </c>
      <c r="AH169" s="475">
        <f t="shared" si="418"/>
        <v>0</v>
      </c>
      <c r="AI169" s="475">
        <f t="shared" si="419"/>
        <v>-58319</v>
      </c>
      <c r="AJ169" s="476">
        <v>0</v>
      </c>
      <c r="AK169" s="476">
        <v>0</v>
      </c>
      <c r="AL169" s="476">
        <v>0</v>
      </c>
      <c r="AM169" s="476">
        <v>0</v>
      </c>
      <c r="AN169" s="476">
        <v>-0.13</v>
      </c>
      <c r="AO169" s="476">
        <v>0</v>
      </c>
      <c r="AP169" s="476">
        <v>0</v>
      </c>
      <c r="AQ169" s="476">
        <v>0</v>
      </c>
      <c r="AR169" s="476">
        <f>AJ169+AL169+AM169+AO169+AP169</f>
        <v>0</v>
      </c>
      <c r="AS169" s="476">
        <f>AK169+AN169+AQ169</f>
        <v>-0.13</v>
      </c>
      <c r="AT169" s="478">
        <f t="shared" si="420"/>
        <v>-0.13</v>
      </c>
      <c r="AU169" s="484">
        <f>I169+AI169</f>
        <v>1844514</v>
      </c>
      <c r="AV169" s="475">
        <f>J169+X169</f>
        <v>1281459</v>
      </c>
      <c r="AW169" s="475">
        <f t="shared" si="421"/>
        <v>68000</v>
      </c>
      <c r="AX169" s="475">
        <f t="shared" si="422"/>
        <v>456118</v>
      </c>
      <c r="AY169" s="475">
        <f t="shared" si="422"/>
        <v>25629</v>
      </c>
      <c r="AZ169" s="475">
        <f>N169+AH169</f>
        <v>13308</v>
      </c>
      <c r="BA169" s="476">
        <f>O169+AT169</f>
        <v>4.26</v>
      </c>
      <c r="BB169" s="476">
        <f t="shared" si="423"/>
        <v>0</v>
      </c>
      <c r="BC169" s="478">
        <f t="shared" si="423"/>
        <v>4.26</v>
      </c>
    </row>
    <row r="170" spans="1:55" ht="12.95" customHeight="1" x14ac:dyDescent="0.25">
      <c r="A170" s="308">
        <v>34</v>
      </c>
      <c r="B170" s="225">
        <v>5441</v>
      </c>
      <c r="C170" s="225">
        <v>600099270</v>
      </c>
      <c r="D170" s="309">
        <v>856118</v>
      </c>
      <c r="E170" s="406" t="s">
        <v>546</v>
      </c>
      <c r="F170" s="225">
        <v>3143</v>
      </c>
      <c r="G170" s="351" t="s">
        <v>626</v>
      </c>
      <c r="H170" s="313" t="s">
        <v>277</v>
      </c>
      <c r="I170" s="477">
        <v>1097501</v>
      </c>
      <c r="J170" s="472">
        <v>804716</v>
      </c>
      <c r="K170" s="472">
        <v>3510</v>
      </c>
      <c r="L170" s="472">
        <v>273180</v>
      </c>
      <c r="M170" s="472">
        <v>16095</v>
      </c>
      <c r="N170" s="472">
        <v>0</v>
      </c>
      <c r="O170" s="473">
        <v>1.6</v>
      </c>
      <c r="P170" s="474">
        <v>1.6</v>
      </c>
      <c r="Q170" s="483">
        <v>0</v>
      </c>
      <c r="R170" s="485">
        <f t="shared" si="413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>SUM(R170:W170)</f>
        <v>0</v>
      </c>
      <c r="Y170" s="475">
        <v>0</v>
      </c>
      <c r="Z170" s="475">
        <v>0</v>
      </c>
      <c r="AA170" s="475">
        <v>0</v>
      </c>
      <c r="AB170" s="475">
        <f t="shared" si="414"/>
        <v>0</v>
      </c>
      <c r="AC170" s="475">
        <f t="shared" si="415"/>
        <v>0</v>
      </c>
      <c r="AD170" s="70">
        <f t="shared" si="416"/>
        <v>0</v>
      </c>
      <c r="AE170" s="70">
        <f t="shared" si="417"/>
        <v>0</v>
      </c>
      <c r="AF170" s="475">
        <v>0</v>
      </c>
      <c r="AG170" s="475">
        <v>0</v>
      </c>
      <c r="AH170" s="475">
        <f t="shared" si="418"/>
        <v>0</v>
      </c>
      <c r="AI170" s="475">
        <f t="shared" si="419"/>
        <v>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>AJ170+AL170+AM170+AO170+AP170</f>
        <v>0</v>
      </c>
      <c r="AS170" s="476">
        <f>AK170+AN170+AQ170</f>
        <v>0</v>
      </c>
      <c r="AT170" s="478">
        <f t="shared" si="420"/>
        <v>0</v>
      </c>
      <c r="AU170" s="484">
        <f>I170+AI170</f>
        <v>1097501</v>
      </c>
      <c r="AV170" s="475">
        <f>J170+X170</f>
        <v>804716</v>
      </c>
      <c r="AW170" s="475">
        <f t="shared" si="421"/>
        <v>3510</v>
      </c>
      <c r="AX170" s="475">
        <f t="shared" si="422"/>
        <v>273180</v>
      </c>
      <c r="AY170" s="475">
        <f t="shared" si="422"/>
        <v>16095</v>
      </c>
      <c r="AZ170" s="475">
        <f>N170+AH170</f>
        <v>0</v>
      </c>
      <c r="BA170" s="476">
        <f>O170+AT170</f>
        <v>1.6</v>
      </c>
      <c r="BB170" s="476">
        <f t="shared" si="423"/>
        <v>1.6</v>
      </c>
      <c r="BC170" s="478">
        <f t="shared" si="423"/>
        <v>0</v>
      </c>
    </row>
    <row r="171" spans="1:55" ht="12.95" customHeight="1" x14ac:dyDescent="0.25">
      <c r="A171" s="308">
        <v>34</v>
      </c>
      <c r="B171" s="225">
        <v>5441</v>
      </c>
      <c r="C171" s="225">
        <v>600099270</v>
      </c>
      <c r="D171" s="309">
        <v>856118</v>
      </c>
      <c r="E171" s="406" t="s">
        <v>546</v>
      </c>
      <c r="F171" s="225">
        <v>3143</v>
      </c>
      <c r="G171" s="351" t="s">
        <v>627</v>
      </c>
      <c r="H171" s="313" t="s">
        <v>278</v>
      </c>
      <c r="I171" s="477">
        <v>37762</v>
      </c>
      <c r="J171" s="472">
        <v>24840</v>
      </c>
      <c r="K171" s="472">
        <v>1890</v>
      </c>
      <c r="L171" s="472">
        <v>9035</v>
      </c>
      <c r="M171" s="472">
        <v>497</v>
      </c>
      <c r="N171" s="472">
        <v>1500</v>
      </c>
      <c r="O171" s="473">
        <v>0.1</v>
      </c>
      <c r="P171" s="474">
        <v>0</v>
      </c>
      <c r="Q171" s="483">
        <v>0.1</v>
      </c>
      <c r="R171" s="485">
        <f t="shared" si="413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>SUM(R171:W171)</f>
        <v>0</v>
      </c>
      <c r="Y171" s="475">
        <v>0</v>
      </c>
      <c r="Z171" s="475">
        <v>0</v>
      </c>
      <c r="AA171" s="475">
        <v>0</v>
      </c>
      <c r="AB171" s="475">
        <f t="shared" si="414"/>
        <v>0</v>
      </c>
      <c r="AC171" s="475">
        <f t="shared" si="415"/>
        <v>0</v>
      </c>
      <c r="AD171" s="70">
        <f t="shared" si="416"/>
        <v>0</v>
      </c>
      <c r="AE171" s="70">
        <f t="shared" si="417"/>
        <v>0</v>
      </c>
      <c r="AF171" s="475">
        <v>0</v>
      </c>
      <c r="AG171" s="475">
        <v>0</v>
      </c>
      <c r="AH171" s="475">
        <f t="shared" si="418"/>
        <v>0</v>
      </c>
      <c r="AI171" s="475">
        <f t="shared" si="419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476">
        <f>AJ171+AL171+AM171+AO171+AP171</f>
        <v>0</v>
      </c>
      <c r="AS171" s="476">
        <f>AK171+AN171+AQ171</f>
        <v>0</v>
      </c>
      <c r="AT171" s="478">
        <f t="shared" si="420"/>
        <v>0</v>
      </c>
      <c r="AU171" s="484">
        <f>I171+AI171</f>
        <v>37762</v>
      </c>
      <c r="AV171" s="475">
        <f>J171+X171</f>
        <v>24840</v>
      </c>
      <c r="AW171" s="475">
        <f t="shared" si="421"/>
        <v>1890</v>
      </c>
      <c r="AX171" s="475">
        <f t="shared" si="422"/>
        <v>9035</v>
      </c>
      <c r="AY171" s="475">
        <f t="shared" si="422"/>
        <v>497</v>
      </c>
      <c r="AZ171" s="475">
        <f>N171+AH171</f>
        <v>1500</v>
      </c>
      <c r="BA171" s="476">
        <f>O171+AT171</f>
        <v>0.1</v>
      </c>
      <c r="BB171" s="476">
        <f t="shared" si="423"/>
        <v>0</v>
      </c>
      <c r="BC171" s="478">
        <f t="shared" si="423"/>
        <v>0.1</v>
      </c>
    </row>
    <row r="172" spans="1:55" ht="12.95" customHeight="1" x14ac:dyDescent="0.25">
      <c r="A172" s="226">
        <v>34</v>
      </c>
      <c r="B172" s="46">
        <v>5441</v>
      </c>
      <c r="C172" s="46">
        <v>600099270</v>
      </c>
      <c r="D172" s="46">
        <v>856118</v>
      </c>
      <c r="E172" s="408" t="s">
        <v>547</v>
      </c>
      <c r="F172" s="46"/>
      <c r="G172" s="408"/>
      <c r="H172" s="190"/>
      <c r="I172" s="612">
        <v>18476728</v>
      </c>
      <c r="J172" s="609">
        <v>13198378</v>
      </c>
      <c r="K172" s="609">
        <v>176400</v>
      </c>
      <c r="L172" s="609">
        <v>4520675</v>
      </c>
      <c r="M172" s="609">
        <v>263967</v>
      </c>
      <c r="N172" s="609">
        <v>317308</v>
      </c>
      <c r="O172" s="610">
        <v>26.317</v>
      </c>
      <c r="P172" s="610">
        <v>16.872500000000002</v>
      </c>
      <c r="Q172" s="614">
        <v>9.4444999999999997</v>
      </c>
      <c r="R172" s="612">
        <f t="shared" ref="R172:BC172" si="424">SUM(R167:R171)</f>
        <v>0</v>
      </c>
      <c r="S172" s="609">
        <f t="shared" si="424"/>
        <v>0</v>
      </c>
      <c r="T172" s="609">
        <f t="shared" si="424"/>
        <v>44486</v>
      </c>
      <c r="U172" s="609">
        <f t="shared" si="424"/>
        <v>0</v>
      </c>
      <c r="V172" s="609">
        <f t="shared" si="424"/>
        <v>0</v>
      </c>
      <c r="W172" s="609">
        <f t="shared" si="424"/>
        <v>0</v>
      </c>
      <c r="X172" s="609">
        <f t="shared" si="424"/>
        <v>44486</v>
      </c>
      <c r="Y172" s="609">
        <f t="shared" si="424"/>
        <v>0</v>
      </c>
      <c r="Z172" s="609">
        <f t="shared" si="424"/>
        <v>0</v>
      </c>
      <c r="AA172" s="609">
        <f t="shared" si="424"/>
        <v>0</v>
      </c>
      <c r="AB172" s="609">
        <f t="shared" si="424"/>
        <v>0</v>
      </c>
      <c r="AC172" s="609">
        <f t="shared" si="424"/>
        <v>44486</v>
      </c>
      <c r="AD172" s="609">
        <f t="shared" si="424"/>
        <v>15037</v>
      </c>
      <c r="AE172" s="609">
        <f t="shared" si="424"/>
        <v>890</v>
      </c>
      <c r="AF172" s="609">
        <f t="shared" si="424"/>
        <v>0</v>
      </c>
      <c r="AG172" s="609">
        <f t="shared" si="424"/>
        <v>0</v>
      </c>
      <c r="AH172" s="609">
        <f t="shared" si="424"/>
        <v>0</v>
      </c>
      <c r="AI172" s="609">
        <f t="shared" si="424"/>
        <v>60413</v>
      </c>
      <c r="AJ172" s="610">
        <f t="shared" si="424"/>
        <v>0</v>
      </c>
      <c r="AK172" s="610">
        <f t="shared" si="424"/>
        <v>0</v>
      </c>
      <c r="AL172" s="610">
        <f t="shared" si="424"/>
        <v>0</v>
      </c>
      <c r="AM172" s="610">
        <f t="shared" si="424"/>
        <v>0.14000000000000001</v>
      </c>
      <c r="AN172" s="610">
        <f t="shared" si="424"/>
        <v>-0.13</v>
      </c>
      <c r="AO172" s="610">
        <f t="shared" si="424"/>
        <v>0</v>
      </c>
      <c r="AP172" s="610">
        <f t="shared" si="424"/>
        <v>0</v>
      </c>
      <c r="AQ172" s="610">
        <f t="shared" si="424"/>
        <v>0</v>
      </c>
      <c r="AR172" s="610">
        <f t="shared" si="424"/>
        <v>0.14000000000000001</v>
      </c>
      <c r="AS172" s="610">
        <f t="shared" si="424"/>
        <v>-0.13</v>
      </c>
      <c r="AT172" s="413">
        <f t="shared" si="424"/>
        <v>1.0000000000000009E-2</v>
      </c>
      <c r="AU172" s="616">
        <f t="shared" si="424"/>
        <v>18537141</v>
      </c>
      <c r="AV172" s="609">
        <f t="shared" si="424"/>
        <v>13242864</v>
      </c>
      <c r="AW172" s="609">
        <f t="shared" si="424"/>
        <v>176400</v>
      </c>
      <c r="AX172" s="609">
        <f t="shared" si="424"/>
        <v>4535712</v>
      </c>
      <c r="AY172" s="609">
        <f t="shared" si="424"/>
        <v>264857</v>
      </c>
      <c r="AZ172" s="609">
        <f t="shared" si="424"/>
        <v>317308</v>
      </c>
      <c r="BA172" s="610">
        <f t="shared" si="424"/>
        <v>26.326999999999998</v>
      </c>
      <c r="BB172" s="610">
        <f t="shared" si="424"/>
        <v>17.012500000000003</v>
      </c>
      <c r="BC172" s="413">
        <f t="shared" si="424"/>
        <v>9.3144999999999989</v>
      </c>
    </row>
    <row r="173" spans="1:55" ht="12.95" customHeight="1" x14ac:dyDescent="0.25">
      <c r="A173" s="308">
        <v>35</v>
      </c>
      <c r="B173" s="410">
        <v>2306</v>
      </c>
      <c r="C173" s="410">
        <v>650025873</v>
      </c>
      <c r="D173" s="309">
        <v>70695946</v>
      </c>
      <c r="E173" s="406" t="s">
        <v>548</v>
      </c>
      <c r="F173" s="225">
        <v>3111</v>
      </c>
      <c r="G173" s="407" t="s">
        <v>325</v>
      </c>
      <c r="H173" s="313" t="s">
        <v>277</v>
      </c>
      <c r="I173" s="477">
        <v>2826193</v>
      </c>
      <c r="J173" s="472">
        <v>2068221</v>
      </c>
      <c r="K173" s="472">
        <v>0</v>
      </c>
      <c r="L173" s="472">
        <v>699058</v>
      </c>
      <c r="M173" s="472">
        <v>41364</v>
      </c>
      <c r="N173" s="472">
        <v>17550</v>
      </c>
      <c r="O173" s="473">
        <v>4.6475999999999997</v>
      </c>
      <c r="P173" s="474">
        <v>3.7258</v>
      </c>
      <c r="Q173" s="483">
        <v>0.92179999999999995</v>
      </c>
      <c r="R173" s="485">
        <f t="shared" ref="R173:R178" si="425">Y173*-1</f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ref="X173:X178" si="426">SUM(R173:W173)</f>
        <v>0</v>
      </c>
      <c r="Y173" s="475">
        <v>0</v>
      </c>
      <c r="Z173" s="475">
        <v>0</v>
      </c>
      <c r="AA173" s="475">
        <v>0</v>
      </c>
      <c r="AB173" s="475">
        <f t="shared" ref="AB173:AB178" si="427">SUM(Y173:AA173)</f>
        <v>0</v>
      </c>
      <c r="AC173" s="475">
        <f t="shared" ref="AC173:AC178" si="428">X173+AB173</f>
        <v>0</v>
      </c>
      <c r="AD173" s="70">
        <f t="shared" ref="AD173:AD178" si="429">ROUND((X173+Y173+Z173)*33.8%,0)</f>
        <v>0</v>
      </c>
      <c r="AE173" s="70">
        <f t="shared" ref="AE173:AE178" si="430">ROUND(X173*2%,0)</f>
        <v>0</v>
      </c>
      <c r="AF173" s="475">
        <v>0</v>
      </c>
      <c r="AG173" s="475">
        <v>0</v>
      </c>
      <c r="AH173" s="475">
        <f t="shared" ref="AH173:AH178" si="431">SUM(AF173:AG173)</f>
        <v>0</v>
      </c>
      <c r="AI173" s="475">
        <f t="shared" ref="AI173:AI178" si="432">AC173+AD173+AE173+AH173</f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 t="shared" ref="AR173:AR178" si="433">AJ173+AL173+AM173+AO173+AP173</f>
        <v>0</v>
      </c>
      <c r="AS173" s="476">
        <f t="shared" ref="AS173:AS178" si="434">AK173+AN173+AQ173</f>
        <v>0</v>
      </c>
      <c r="AT173" s="478">
        <f t="shared" ref="AT173:AT178" si="435">SUM(AR173:AS173)</f>
        <v>0</v>
      </c>
      <c r="AU173" s="484">
        <f t="shared" ref="AU173:AU178" si="436">I173+AI173</f>
        <v>2826193</v>
      </c>
      <c r="AV173" s="475">
        <f t="shared" ref="AV173:AV178" si="437">J173+X173</f>
        <v>2068221</v>
      </c>
      <c r="AW173" s="475">
        <f t="shared" ref="AW173:AW178" si="438">K173+AB173</f>
        <v>0</v>
      </c>
      <c r="AX173" s="475">
        <f t="shared" ref="AX173:AY178" si="439">L173+AD173</f>
        <v>699058</v>
      </c>
      <c r="AY173" s="475">
        <f t="shared" si="439"/>
        <v>41364</v>
      </c>
      <c r="AZ173" s="475">
        <f t="shared" ref="AZ173:AZ178" si="440">N173+AH173</f>
        <v>17550</v>
      </c>
      <c r="BA173" s="476">
        <f t="shared" ref="BA173:BA178" si="441">O173+AT173</f>
        <v>4.6475999999999997</v>
      </c>
      <c r="BB173" s="476">
        <f t="shared" ref="BB173:BC178" si="442">P173+AR173</f>
        <v>3.7258</v>
      </c>
      <c r="BC173" s="478">
        <f t="shared" si="442"/>
        <v>0.92179999999999995</v>
      </c>
    </row>
    <row r="174" spans="1:55" ht="12.95" customHeight="1" x14ac:dyDescent="0.25">
      <c r="A174" s="308">
        <v>35</v>
      </c>
      <c r="B174" s="410">
        <v>2306</v>
      </c>
      <c r="C174" s="410">
        <v>650025873</v>
      </c>
      <c r="D174" s="309">
        <v>70695946</v>
      </c>
      <c r="E174" s="224" t="s">
        <v>548</v>
      </c>
      <c r="F174" s="410">
        <v>3117</v>
      </c>
      <c r="G174" s="406" t="s">
        <v>329</v>
      </c>
      <c r="H174" s="313" t="s">
        <v>277</v>
      </c>
      <c r="I174" s="477">
        <v>3227684</v>
      </c>
      <c r="J174" s="472">
        <v>2340275</v>
      </c>
      <c r="K174" s="472">
        <v>0</v>
      </c>
      <c r="L174" s="472">
        <v>791013</v>
      </c>
      <c r="M174" s="472">
        <v>46806</v>
      </c>
      <c r="N174" s="472">
        <v>49590</v>
      </c>
      <c r="O174" s="473">
        <v>4.6419999999999995</v>
      </c>
      <c r="P174" s="474">
        <v>2.8184999999999998</v>
      </c>
      <c r="Q174" s="483">
        <v>1.8234999999999999</v>
      </c>
      <c r="R174" s="485">
        <f t="shared" si="425"/>
        <v>0</v>
      </c>
      <c r="S174" s="475">
        <v>0</v>
      </c>
      <c r="T174" s="475">
        <v>0</v>
      </c>
      <c r="U174" s="475">
        <v>0</v>
      </c>
      <c r="V174" s="475">
        <v>0</v>
      </c>
      <c r="W174" s="475">
        <v>0</v>
      </c>
      <c r="X174" s="475">
        <f t="shared" si="426"/>
        <v>0</v>
      </c>
      <c r="Y174" s="475">
        <v>0</v>
      </c>
      <c r="Z174" s="475">
        <v>0</v>
      </c>
      <c r="AA174" s="475">
        <v>0</v>
      </c>
      <c r="AB174" s="475">
        <f t="shared" si="427"/>
        <v>0</v>
      </c>
      <c r="AC174" s="475">
        <f t="shared" si="428"/>
        <v>0</v>
      </c>
      <c r="AD174" s="70">
        <f t="shared" si="429"/>
        <v>0</v>
      </c>
      <c r="AE174" s="70">
        <f t="shared" si="430"/>
        <v>0</v>
      </c>
      <c r="AF174" s="475">
        <v>0</v>
      </c>
      <c r="AG174" s="475">
        <v>0</v>
      </c>
      <c r="AH174" s="475">
        <f t="shared" si="431"/>
        <v>0</v>
      </c>
      <c r="AI174" s="475">
        <f t="shared" si="432"/>
        <v>0</v>
      </c>
      <c r="AJ174" s="476">
        <v>0</v>
      </c>
      <c r="AK174" s="476">
        <v>0</v>
      </c>
      <c r="AL174" s="476">
        <v>0</v>
      </c>
      <c r="AM174" s="476">
        <v>0</v>
      </c>
      <c r="AN174" s="476">
        <v>0</v>
      </c>
      <c r="AO174" s="476">
        <v>0</v>
      </c>
      <c r="AP174" s="476">
        <v>0</v>
      </c>
      <c r="AQ174" s="476">
        <v>0</v>
      </c>
      <c r="AR174" s="476">
        <f t="shared" si="433"/>
        <v>0</v>
      </c>
      <c r="AS174" s="476">
        <f t="shared" si="434"/>
        <v>0</v>
      </c>
      <c r="AT174" s="478">
        <f t="shared" si="435"/>
        <v>0</v>
      </c>
      <c r="AU174" s="484">
        <f t="shared" si="436"/>
        <v>3227684</v>
      </c>
      <c r="AV174" s="475">
        <f t="shared" si="437"/>
        <v>2340275</v>
      </c>
      <c r="AW174" s="475">
        <f t="shared" si="438"/>
        <v>0</v>
      </c>
      <c r="AX174" s="475">
        <f t="shared" si="439"/>
        <v>791013</v>
      </c>
      <c r="AY174" s="475">
        <f t="shared" si="439"/>
        <v>46806</v>
      </c>
      <c r="AZ174" s="475">
        <f t="shared" si="440"/>
        <v>49590</v>
      </c>
      <c r="BA174" s="476">
        <f t="shared" si="441"/>
        <v>4.6419999999999995</v>
      </c>
      <c r="BB174" s="476">
        <f t="shared" si="442"/>
        <v>2.8184999999999998</v>
      </c>
      <c r="BC174" s="478">
        <f t="shared" si="442"/>
        <v>1.8234999999999999</v>
      </c>
    </row>
    <row r="175" spans="1:55" ht="12.95" customHeight="1" x14ac:dyDescent="0.25">
      <c r="A175" s="308">
        <v>35</v>
      </c>
      <c r="B175" s="225">
        <v>2306</v>
      </c>
      <c r="C175" s="225">
        <v>650025873</v>
      </c>
      <c r="D175" s="309">
        <v>70695946</v>
      </c>
      <c r="E175" s="224" t="s">
        <v>548</v>
      </c>
      <c r="F175" s="410">
        <v>3117</v>
      </c>
      <c r="G175" s="351" t="s">
        <v>312</v>
      </c>
      <c r="H175" s="313" t="s">
        <v>278</v>
      </c>
      <c r="I175" s="477">
        <v>0</v>
      </c>
      <c r="J175" s="472">
        <v>0</v>
      </c>
      <c r="K175" s="472">
        <v>0</v>
      </c>
      <c r="L175" s="472">
        <v>0</v>
      </c>
      <c r="M175" s="472">
        <v>0</v>
      </c>
      <c r="N175" s="472">
        <v>0</v>
      </c>
      <c r="O175" s="473">
        <v>0</v>
      </c>
      <c r="P175" s="474">
        <v>0</v>
      </c>
      <c r="Q175" s="483">
        <v>0</v>
      </c>
      <c r="R175" s="485">
        <f t="shared" si="425"/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 t="shared" si="426"/>
        <v>0</v>
      </c>
      <c r="Y175" s="475">
        <v>0</v>
      </c>
      <c r="Z175" s="475">
        <v>0</v>
      </c>
      <c r="AA175" s="475">
        <v>0</v>
      </c>
      <c r="AB175" s="475">
        <f t="shared" si="427"/>
        <v>0</v>
      </c>
      <c r="AC175" s="475">
        <f t="shared" si="428"/>
        <v>0</v>
      </c>
      <c r="AD175" s="70">
        <f t="shared" si="429"/>
        <v>0</v>
      </c>
      <c r="AE175" s="70">
        <f t="shared" si="430"/>
        <v>0</v>
      </c>
      <c r="AF175" s="475">
        <v>0</v>
      </c>
      <c r="AG175" s="475">
        <v>0</v>
      </c>
      <c r="AH175" s="475">
        <f t="shared" si="431"/>
        <v>0</v>
      </c>
      <c r="AI175" s="475">
        <f t="shared" si="432"/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476">
        <f t="shared" si="433"/>
        <v>0</v>
      </c>
      <c r="AS175" s="476">
        <f t="shared" si="434"/>
        <v>0</v>
      </c>
      <c r="AT175" s="478">
        <f t="shared" si="435"/>
        <v>0</v>
      </c>
      <c r="AU175" s="484">
        <f t="shared" si="436"/>
        <v>0</v>
      </c>
      <c r="AV175" s="475">
        <f t="shared" si="437"/>
        <v>0</v>
      </c>
      <c r="AW175" s="475">
        <f t="shared" si="438"/>
        <v>0</v>
      </c>
      <c r="AX175" s="475">
        <f t="shared" si="439"/>
        <v>0</v>
      </c>
      <c r="AY175" s="475">
        <f t="shared" si="439"/>
        <v>0</v>
      </c>
      <c r="AZ175" s="475">
        <f t="shared" si="440"/>
        <v>0</v>
      </c>
      <c r="BA175" s="476">
        <f t="shared" si="441"/>
        <v>0</v>
      </c>
      <c r="BB175" s="476">
        <f t="shared" si="442"/>
        <v>0</v>
      </c>
      <c r="BC175" s="478">
        <f t="shared" si="442"/>
        <v>0</v>
      </c>
    </row>
    <row r="176" spans="1:55" ht="12.95" customHeight="1" x14ac:dyDescent="0.25">
      <c r="A176" s="308">
        <v>35</v>
      </c>
      <c r="B176" s="225">
        <v>2306</v>
      </c>
      <c r="C176" s="225">
        <v>650025873</v>
      </c>
      <c r="D176" s="309">
        <v>70695946</v>
      </c>
      <c r="E176" s="405" t="s">
        <v>548</v>
      </c>
      <c r="F176" s="416">
        <v>3141</v>
      </c>
      <c r="G176" s="407" t="s">
        <v>315</v>
      </c>
      <c r="H176" s="313" t="s">
        <v>278</v>
      </c>
      <c r="I176" s="477">
        <v>940340</v>
      </c>
      <c r="J176" s="472">
        <v>689498</v>
      </c>
      <c r="K176" s="472">
        <v>0</v>
      </c>
      <c r="L176" s="472">
        <v>233050</v>
      </c>
      <c r="M176" s="472">
        <v>13790</v>
      </c>
      <c r="N176" s="472">
        <v>4002</v>
      </c>
      <c r="O176" s="473">
        <v>2.17</v>
      </c>
      <c r="P176" s="474">
        <v>0</v>
      </c>
      <c r="Q176" s="483">
        <v>2.17</v>
      </c>
      <c r="R176" s="485">
        <f t="shared" si="425"/>
        <v>0</v>
      </c>
      <c r="S176" s="475">
        <v>0</v>
      </c>
      <c r="T176" s="475">
        <v>-2958</v>
      </c>
      <c r="U176" s="475">
        <v>0</v>
      </c>
      <c r="V176" s="475">
        <v>0</v>
      </c>
      <c r="W176" s="475">
        <v>0</v>
      </c>
      <c r="X176" s="475">
        <f t="shared" si="426"/>
        <v>-2958</v>
      </c>
      <c r="Y176" s="475">
        <v>0</v>
      </c>
      <c r="Z176" s="475">
        <v>0</v>
      </c>
      <c r="AA176" s="475">
        <v>0</v>
      </c>
      <c r="AB176" s="475">
        <f t="shared" si="427"/>
        <v>0</v>
      </c>
      <c r="AC176" s="475">
        <f t="shared" si="428"/>
        <v>-2958</v>
      </c>
      <c r="AD176" s="70">
        <f t="shared" si="429"/>
        <v>-1000</v>
      </c>
      <c r="AE176" s="70">
        <f t="shared" si="430"/>
        <v>-59</v>
      </c>
      <c r="AF176" s="475">
        <v>0</v>
      </c>
      <c r="AG176" s="475">
        <v>0</v>
      </c>
      <c r="AH176" s="475">
        <f t="shared" si="431"/>
        <v>0</v>
      </c>
      <c r="AI176" s="475">
        <f t="shared" si="432"/>
        <v>-4017</v>
      </c>
      <c r="AJ176" s="476">
        <v>0</v>
      </c>
      <c r="AK176" s="476">
        <v>0</v>
      </c>
      <c r="AL176" s="476">
        <v>0</v>
      </c>
      <c r="AM176" s="476">
        <v>0</v>
      </c>
      <c r="AN176" s="476">
        <v>-0.01</v>
      </c>
      <c r="AO176" s="476">
        <v>0</v>
      </c>
      <c r="AP176" s="476">
        <v>0</v>
      </c>
      <c r="AQ176" s="476">
        <v>0</v>
      </c>
      <c r="AR176" s="476">
        <f t="shared" si="433"/>
        <v>0</v>
      </c>
      <c r="AS176" s="476">
        <f t="shared" si="434"/>
        <v>-0.01</v>
      </c>
      <c r="AT176" s="478">
        <f t="shared" si="435"/>
        <v>-0.01</v>
      </c>
      <c r="AU176" s="484">
        <f t="shared" si="436"/>
        <v>936323</v>
      </c>
      <c r="AV176" s="475">
        <f t="shared" si="437"/>
        <v>686540</v>
      </c>
      <c r="AW176" s="475">
        <f t="shared" si="438"/>
        <v>0</v>
      </c>
      <c r="AX176" s="475">
        <f t="shared" si="439"/>
        <v>232050</v>
      </c>
      <c r="AY176" s="475">
        <f t="shared" si="439"/>
        <v>13731</v>
      </c>
      <c r="AZ176" s="475">
        <f t="shared" si="440"/>
        <v>4002</v>
      </c>
      <c r="BA176" s="476">
        <f t="shared" si="441"/>
        <v>2.16</v>
      </c>
      <c r="BB176" s="476">
        <f t="shared" si="442"/>
        <v>0</v>
      </c>
      <c r="BC176" s="478">
        <f t="shared" si="442"/>
        <v>2.16</v>
      </c>
    </row>
    <row r="177" spans="1:55" ht="12.95" customHeight="1" x14ac:dyDescent="0.25">
      <c r="A177" s="308">
        <v>35</v>
      </c>
      <c r="B177" s="225">
        <v>2306</v>
      </c>
      <c r="C177" s="225">
        <v>650025873</v>
      </c>
      <c r="D177" s="309">
        <v>70695946</v>
      </c>
      <c r="E177" s="224" t="s">
        <v>548</v>
      </c>
      <c r="F177" s="225">
        <v>3143</v>
      </c>
      <c r="G177" s="351" t="s">
        <v>626</v>
      </c>
      <c r="H177" s="313" t="s">
        <v>277</v>
      </c>
      <c r="I177" s="477">
        <v>509486</v>
      </c>
      <c r="J177" s="472">
        <v>375174</v>
      </c>
      <c r="K177" s="472">
        <v>0</v>
      </c>
      <c r="L177" s="472">
        <v>126809</v>
      </c>
      <c r="M177" s="472">
        <v>7503</v>
      </c>
      <c r="N177" s="472">
        <v>0</v>
      </c>
      <c r="O177" s="473">
        <v>0.8337</v>
      </c>
      <c r="P177" s="474">
        <v>0.8337</v>
      </c>
      <c r="Q177" s="483">
        <v>0</v>
      </c>
      <c r="R177" s="485">
        <f t="shared" si="425"/>
        <v>0</v>
      </c>
      <c r="S177" s="475">
        <v>0</v>
      </c>
      <c r="T177" s="475">
        <v>0</v>
      </c>
      <c r="U177" s="475">
        <v>0</v>
      </c>
      <c r="V177" s="475">
        <v>0</v>
      </c>
      <c r="W177" s="475">
        <v>0</v>
      </c>
      <c r="X177" s="475">
        <f t="shared" si="426"/>
        <v>0</v>
      </c>
      <c r="Y177" s="475">
        <v>0</v>
      </c>
      <c r="Z177" s="475">
        <v>0</v>
      </c>
      <c r="AA177" s="475">
        <v>0</v>
      </c>
      <c r="AB177" s="475">
        <f t="shared" si="427"/>
        <v>0</v>
      </c>
      <c r="AC177" s="475">
        <f t="shared" si="428"/>
        <v>0</v>
      </c>
      <c r="AD177" s="70">
        <f t="shared" si="429"/>
        <v>0</v>
      </c>
      <c r="AE177" s="70">
        <f t="shared" si="430"/>
        <v>0</v>
      </c>
      <c r="AF177" s="475">
        <v>0</v>
      </c>
      <c r="AG177" s="475">
        <v>0</v>
      </c>
      <c r="AH177" s="475">
        <f t="shared" si="431"/>
        <v>0</v>
      </c>
      <c r="AI177" s="475">
        <f t="shared" si="432"/>
        <v>0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</v>
      </c>
      <c r="AO177" s="476">
        <v>0</v>
      </c>
      <c r="AP177" s="476">
        <v>0</v>
      </c>
      <c r="AQ177" s="476">
        <v>0</v>
      </c>
      <c r="AR177" s="476">
        <f t="shared" si="433"/>
        <v>0</v>
      </c>
      <c r="AS177" s="476">
        <f t="shared" si="434"/>
        <v>0</v>
      </c>
      <c r="AT177" s="478">
        <f t="shared" si="435"/>
        <v>0</v>
      </c>
      <c r="AU177" s="484">
        <f t="shared" si="436"/>
        <v>509486</v>
      </c>
      <c r="AV177" s="475">
        <f t="shared" si="437"/>
        <v>375174</v>
      </c>
      <c r="AW177" s="475">
        <f t="shared" si="438"/>
        <v>0</v>
      </c>
      <c r="AX177" s="475">
        <f t="shared" si="439"/>
        <v>126809</v>
      </c>
      <c r="AY177" s="475">
        <f t="shared" si="439"/>
        <v>7503</v>
      </c>
      <c r="AZ177" s="475">
        <f t="shared" si="440"/>
        <v>0</v>
      </c>
      <c r="BA177" s="476">
        <f t="shared" si="441"/>
        <v>0.8337</v>
      </c>
      <c r="BB177" s="476">
        <f t="shared" si="442"/>
        <v>0.8337</v>
      </c>
      <c r="BC177" s="478">
        <f t="shared" si="442"/>
        <v>0</v>
      </c>
    </row>
    <row r="178" spans="1:55" ht="12.95" customHeight="1" x14ac:dyDescent="0.25">
      <c r="A178" s="308">
        <v>35</v>
      </c>
      <c r="B178" s="225">
        <v>2306</v>
      </c>
      <c r="C178" s="225">
        <v>650025873</v>
      </c>
      <c r="D178" s="309">
        <v>70695946</v>
      </c>
      <c r="E178" s="224" t="s">
        <v>548</v>
      </c>
      <c r="F178" s="225">
        <v>3143</v>
      </c>
      <c r="G178" s="351" t="s">
        <v>627</v>
      </c>
      <c r="H178" s="313" t="s">
        <v>278</v>
      </c>
      <c r="I178" s="477">
        <v>11339</v>
      </c>
      <c r="J178" s="472">
        <v>8019</v>
      </c>
      <c r="K178" s="472">
        <v>0</v>
      </c>
      <c r="L178" s="472">
        <v>2710</v>
      </c>
      <c r="M178" s="472">
        <v>160</v>
      </c>
      <c r="N178" s="472">
        <v>450</v>
      </c>
      <c r="O178" s="473">
        <v>0.03</v>
      </c>
      <c r="P178" s="474">
        <v>0</v>
      </c>
      <c r="Q178" s="483">
        <v>0.03</v>
      </c>
      <c r="R178" s="485">
        <f t="shared" si="425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426"/>
        <v>0</v>
      </c>
      <c r="Y178" s="475">
        <v>0</v>
      </c>
      <c r="Z178" s="475">
        <v>0</v>
      </c>
      <c r="AA178" s="475">
        <v>0</v>
      </c>
      <c r="AB178" s="475">
        <f t="shared" si="427"/>
        <v>0</v>
      </c>
      <c r="AC178" s="475">
        <f t="shared" si="428"/>
        <v>0</v>
      </c>
      <c r="AD178" s="70">
        <f t="shared" si="429"/>
        <v>0</v>
      </c>
      <c r="AE178" s="70">
        <f t="shared" si="430"/>
        <v>0</v>
      </c>
      <c r="AF178" s="475">
        <v>0</v>
      </c>
      <c r="AG178" s="475">
        <v>0</v>
      </c>
      <c r="AH178" s="475">
        <f t="shared" si="431"/>
        <v>0</v>
      </c>
      <c r="AI178" s="475">
        <f t="shared" si="432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 t="shared" si="433"/>
        <v>0</v>
      </c>
      <c r="AS178" s="476">
        <f t="shared" si="434"/>
        <v>0</v>
      </c>
      <c r="AT178" s="478">
        <f t="shared" si="435"/>
        <v>0</v>
      </c>
      <c r="AU178" s="484">
        <f t="shared" si="436"/>
        <v>11339</v>
      </c>
      <c r="AV178" s="475">
        <f t="shared" si="437"/>
        <v>8019</v>
      </c>
      <c r="AW178" s="475">
        <f t="shared" si="438"/>
        <v>0</v>
      </c>
      <c r="AX178" s="475">
        <f t="shared" si="439"/>
        <v>2710</v>
      </c>
      <c r="AY178" s="475">
        <f t="shared" si="439"/>
        <v>160</v>
      </c>
      <c r="AZ178" s="475">
        <f t="shared" si="440"/>
        <v>450</v>
      </c>
      <c r="BA178" s="476">
        <f t="shared" si="441"/>
        <v>0.03</v>
      </c>
      <c r="BB178" s="476">
        <f t="shared" si="442"/>
        <v>0</v>
      </c>
      <c r="BC178" s="478">
        <f t="shared" si="442"/>
        <v>0.03</v>
      </c>
    </row>
    <row r="179" spans="1:55" ht="12.95" customHeight="1" x14ac:dyDescent="0.25">
      <c r="A179" s="227">
        <v>35</v>
      </c>
      <c r="B179" s="46">
        <v>2306</v>
      </c>
      <c r="C179" s="46">
        <v>650025873</v>
      </c>
      <c r="D179" s="46">
        <v>70695946</v>
      </c>
      <c r="E179" s="408" t="s">
        <v>549</v>
      </c>
      <c r="F179" s="46"/>
      <c r="G179" s="408"/>
      <c r="H179" s="190"/>
      <c r="I179" s="560">
        <v>7515042</v>
      </c>
      <c r="J179" s="556">
        <v>5481187</v>
      </c>
      <c r="K179" s="556">
        <v>0</v>
      </c>
      <c r="L179" s="556">
        <v>1852640</v>
      </c>
      <c r="M179" s="556">
        <v>109623</v>
      </c>
      <c r="N179" s="556">
        <v>71592</v>
      </c>
      <c r="O179" s="557">
        <v>12.3233</v>
      </c>
      <c r="P179" s="557">
        <v>7.3780000000000001</v>
      </c>
      <c r="Q179" s="562">
        <v>4.9453000000000005</v>
      </c>
      <c r="R179" s="560">
        <f t="shared" ref="R179:BC179" si="443">SUM(R173:R178)</f>
        <v>0</v>
      </c>
      <c r="S179" s="556">
        <f t="shared" si="443"/>
        <v>0</v>
      </c>
      <c r="T179" s="556">
        <f t="shared" si="443"/>
        <v>-2958</v>
      </c>
      <c r="U179" s="556">
        <f t="shared" si="443"/>
        <v>0</v>
      </c>
      <c r="V179" s="556">
        <f t="shared" si="443"/>
        <v>0</v>
      </c>
      <c r="W179" s="556">
        <f t="shared" si="443"/>
        <v>0</v>
      </c>
      <c r="X179" s="556">
        <f t="shared" si="443"/>
        <v>-2958</v>
      </c>
      <c r="Y179" s="556">
        <f t="shared" si="443"/>
        <v>0</v>
      </c>
      <c r="Z179" s="556">
        <f t="shared" si="443"/>
        <v>0</v>
      </c>
      <c r="AA179" s="556">
        <f t="shared" si="443"/>
        <v>0</v>
      </c>
      <c r="AB179" s="556">
        <f t="shared" si="443"/>
        <v>0</v>
      </c>
      <c r="AC179" s="556">
        <f t="shared" si="443"/>
        <v>-2958</v>
      </c>
      <c r="AD179" s="556">
        <f t="shared" si="443"/>
        <v>-1000</v>
      </c>
      <c r="AE179" s="556">
        <f t="shared" si="443"/>
        <v>-59</v>
      </c>
      <c r="AF179" s="556">
        <f t="shared" si="443"/>
        <v>0</v>
      </c>
      <c r="AG179" s="556">
        <f t="shared" si="443"/>
        <v>0</v>
      </c>
      <c r="AH179" s="556">
        <f t="shared" si="443"/>
        <v>0</v>
      </c>
      <c r="AI179" s="556">
        <f t="shared" si="443"/>
        <v>-4017</v>
      </c>
      <c r="AJ179" s="557">
        <f t="shared" si="443"/>
        <v>0</v>
      </c>
      <c r="AK179" s="557">
        <f t="shared" si="443"/>
        <v>0</v>
      </c>
      <c r="AL179" s="557">
        <f t="shared" si="443"/>
        <v>0</v>
      </c>
      <c r="AM179" s="557">
        <f t="shared" si="443"/>
        <v>0</v>
      </c>
      <c r="AN179" s="557">
        <f t="shared" si="443"/>
        <v>-0.01</v>
      </c>
      <c r="AO179" s="557">
        <f t="shared" si="443"/>
        <v>0</v>
      </c>
      <c r="AP179" s="557">
        <f t="shared" si="443"/>
        <v>0</v>
      </c>
      <c r="AQ179" s="557">
        <f t="shared" si="443"/>
        <v>0</v>
      </c>
      <c r="AR179" s="557">
        <f t="shared" si="443"/>
        <v>0</v>
      </c>
      <c r="AS179" s="557">
        <f t="shared" si="443"/>
        <v>-0.01</v>
      </c>
      <c r="AT179" s="307">
        <f t="shared" si="443"/>
        <v>-0.01</v>
      </c>
      <c r="AU179" s="564">
        <f t="shared" si="443"/>
        <v>7511025</v>
      </c>
      <c r="AV179" s="556">
        <f t="shared" si="443"/>
        <v>5478229</v>
      </c>
      <c r="AW179" s="556">
        <f t="shared" si="443"/>
        <v>0</v>
      </c>
      <c r="AX179" s="556">
        <f t="shared" si="443"/>
        <v>1851640</v>
      </c>
      <c r="AY179" s="556">
        <f t="shared" si="443"/>
        <v>109564</v>
      </c>
      <c r="AZ179" s="556">
        <f t="shared" si="443"/>
        <v>71592</v>
      </c>
      <c r="BA179" s="557">
        <f t="shared" si="443"/>
        <v>12.3133</v>
      </c>
      <c r="BB179" s="557">
        <f t="shared" si="443"/>
        <v>7.3780000000000001</v>
      </c>
      <c r="BC179" s="307">
        <f t="shared" si="443"/>
        <v>4.9353000000000007</v>
      </c>
    </row>
    <row r="180" spans="1:55" ht="12.95" customHeight="1" x14ac:dyDescent="0.25">
      <c r="A180" s="308">
        <v>36</v>
      </c>
      <c r="B180" s="415">
        <v>2447</v>
      </c>
      <c r="C180" s="415">
        <v>600080111</v>
      </c>
      <c r="D180" s="309">
        <v>72744961</v>
      </c>
      <c r="E180" s="423" t="s">
        <v>550</v>
      </c>
      <c r="F180" s="415">
        <v>3117</v>
      </c>
      <c r="G180" s="406" t="s">
        <v>329</v>
      </c>
      <c r="H180" s="313" t="s">
        <v>277</v>
      </c>
      <c r="I180" s="477">
        <v>3810194</v>
      </c>
      <c r="J180" s="472">
        <v>2731504</v>
      </c>
      <c r="K180" s="472">
        <v>14000</v>
      </c>
      <c r="L180" s="472">
        <v>927980</v>
      </c>
      <c r="M180" s="472">
        <v>54630</v>
      </c>
      <c r="N180" s="472">
        <v>82080</v>
      </c>
      <c r="O180" s="473">
        <v>4.7943000000000007</v>
      </c>
      <c r="P180" s="474">
        <v>3.4100000000000006</v>
      </c>
      <c r="Q180" s="483">
        <v>1.3842999999999999</v>
      </c>
      <c r="R180" s="485">
        <f t="shared" ref="R180:R184" si="444">Y180*-1</f>
        <v>0</v>
      </c>
      <c r="S180" s="475">
        <v>0</v>
      </c>
      <c r="T180" s="475">
        <v>0</v>
      </c>
      <c r="U180" s="475">
        <v>0</v>
      </c>
      <c r="V180" s="475">
        <v>0</v>
      </c>
      <c r="W180" s="475">
        <v>0</v>
      </c>
      <c r="X180" s="475">
        <f>SUM(R180:W180)</f>
        <v>0</v>
      </c>
      <c r="Y180" s="475">
        <v>0</v>
      </c>
      <c r="Z180" s="475">
        <v>0</v>
      </c>
      <c r="AA180" s="475">
        <v>0</v>
      </c>
      <c r="AB180" s="475">
        <f t="shared" ref="AB180:AB184" si="445">SUM(Y180:AA180)</f>
        <v>0</v>
      </c>
      <c r="AC180" s="475">
        <f t="shared" ref="AC180:AC184" si="446">X180+AB180</f>
        <v>0</v>
      </c>
      <c r="AD180" s="70">
        <f t="shared" ref="AD180:AD184" si="447">ROUND((X180+Y180+Z180)*33.8%,0)</f>
        <v>0</v>
      </c>
      <c r="AE180" s="70">
        <f t="shared" ref="AE180:AE184" si="448">ROUND(X180*2%,0)</f>
        <v>0</v>
      </c>
      <c r="AF180" s="475">
        <v>0</v>
      </c>
      <c r="AG180" s="475">
        <v>0</v>
      </c>
      <c r="AH180" s="475">
        <f t="shared" ref="AH180:AH184" si="449">SUM(AF180:AG180)</f>
        <v>0</v>
      </c>
      <c r="AI180" s="475">
        <f t="shared" ref="AI180:AI184" si="450">AC180+AD180+AE180+AH180</f>
        <v>0</v>
      </c>
      <c r="AJ180" s="476">
        <v>0</v>
      </c>
      <c r="AK180" s="476">
        <v>0</v>
      </c>
      <c r="AL180" s="476">
        <v>0</v>
      </c>
      <c r="AM180" s="476">
        <v>0</v>
      </c>
      <c r="AN180" s="476">
        <v>0</v>
      </c>
      <c r="AO180" s="476">
        <v>0</v>
      </c>
      <c r="AP180" s="476">
        <v>0</v>
      </c>
      <c r="AQ180" s="476">
        <v>0</v>
      </c>
      <c r="AR180" s="476">
        <f>AJ180+AL180+AM180+AO180+AP180</f>
        <v>0</v>
      </c>
      <c r="AS180" s="476">
        <f>AK180+AN180+AQ180</f>
        <v>0</v>
      </c>
      <c r="AT180" s="478">
        <f t="shared" ref="AT180:AT184" si="451">SUM(AR180:AS180)</f>
        <v>0</v>
      </c>
      <c r="AU180" s="484">
        <f>I180+AI180</f>
        <v>3810194</v>
      </c>
      <c r="AV180" s="475">
        <f>J180+X180</f>
        <v>2731504</v>
      </c>
      <c r="AW180" s="475">
        <f t="shared" ref="AW180:AW184" si="452">K180+AB180</f>
        <v>14000</v>
      </c>
      <c r="AX180" s="475">
        <f t="shared" ref="AX180:AY184" si="453">L180+AD180</f>
        <v>927980</v>
      </c>
      <c r="AY180" s="475">
        <f t="shared" si="453"/>
        <v>54630</v>
      </c>
      <c r="AZ180" s="475">
        <f>N180+AH180</f>
        <v>82080</v>
      </c>
      <c r="BA180" s="476">
        <f>O180+AT180</f>
        <v>4.7943000000000007</v>
      </c>
      <c r="BB180" s="476">
        <f t="shared" ref="BB180:BC184" si="454">P180+AR180</f>
        <v>3.4100000000000006</v>
      </c>
      <c r="BC180" s="478">
        <f t="shared" si="454"/>
        <v>1.3842999999999999</v>
      </c>
    </row>
    <row r="181" spans="1:55" ht="12.95" customHeight="1" x14ac:dyDescent="0.25">
      <c r="A181" s="308">
        <v>36</v>
      </c>
      <c r="B181" s="410">
        <v>2447</v>
      </c>
      <c r="C181" s="410">
        <v>600080111</v>
      </c>
      <c r="D181" s="309">
        <v>72744961</v>
      </c>
      <c r="E181" s="224" t="s">
        <v>550</v>
      </c>
      <c r="F181" s="415">
        <v>3117</v>
      </c>
      <c r="G181" s="351" t="s">
        <v>312</v>
      </c>
      <c r="H181" s="313" t="s">
        <v>278</v>
      </c>
      <c r="I181" s="477">
        <v>0</v>
      </c>
      <c r="J181" s="472">
        <v>0</v>
      </c>
      <c r="K181" s="472">
        <v>0</v>
      </c>
      <c r="L181" s="472">
        <v>0</v>
      </c>
      <c r="M181" s="472">
        <v>0</v>
      </c>
      <c r="N181" s="472">
        <v>0</v>
      </c>
      <c r="O181" s="473">
        <v>0</v>
      </c>
      <c r="P181" s="474">
        <v>0</v>
      </c>
      <c r="Q181" s="483">
        <v>0</v>
      </c>
      <c r="R181" s="485">
        <f t="shared" si="444"/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>SUM(R181:W181)</f>
        <v>0</v>
      </c>
      <c r="Y181" s="475">
        <v>0</v>
      </c>
      <c r="Z181" s="475">
        <v>0</v>
      </c>
      <c r="AA181" s="475">
        <v>0</v>
      </c>
      <c r="AB181" s="475">
        <f t="shared" si="445"/>
        <v>0</v>
      </c>
      <c r="AC181" s="475">
        <f t="shared" si="446"/>
        <v>0</v>
      </c>
      <c r="AD181" s="70">
        <f t="shared" si="447"/>
        <v>0</v>
      </c>
      <c r="AE181" s="70">
        <f t="shared" si="448"/>
        <v>0</v>
      </c>
      <c r="AF181" s="475">
        <v>0</v>
      </c>
      <c r="AG181" s="475">
        <v>0</v>
      </c>
      <c r="AH181" s="475">
        <f t="shared" si="449"/>
        <v>0</v>
      </c>
      <c r="AI181" s="475">
        <f t="shared" si="450"/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>AJ181+AL181+AM181+AO181+AP181</f>
        <v>0</v>
      </c>
      <c r="AS181" s="476">
        <f>AK181+AN181+AQ181</f>
        <v>0</v>
      </c>
      <c r="AT181" s="478">
        <f t="shared" si="451"/>
        <v>0</v>
      </c>
      <c r="AU181" s="484">
        <f>I181+AI181</f>
        <v>0</v>
      </c>
      <c r="AV181" s="475">
        <f>J181+X181</f>
        <v>0</v>
      </c>
      <c r="AW181" s="475">
        <f t="shared" si="452"/>
        <v>0</v>
      </c>
      <c r="AX181" s="475">
        <f t="shared" si="453"/>
        <v>0</v>
      </c>
      <c r="AY181" s="475">
        <f t="shared" si="453"/>
        <v>0</v>
      </c>
      <c r="AZ181" s="475">
        <f>N181+AH181</f>
        <v>0</v>
      </c>
      <c r="BA181" s="476">
        <f>O181+AT181</f>
        <v>0</v>
      </c>
      <c r="BB181" s="476">
        <f t="shared" si="454"/>
        <v>0</v>
      </c>
      <c r="BC181" s="478">
        <f t="shared" si="454"/>
        <v>0</v>
      </c>
    </row>
    <row r="182" spans="1:55" ht="12.95" customHeight="1" x14ac:dyDescent="0.25">
      <c r="A182" s="308">
        <v>36</v>
      </c>
      <c r="B182" s="225">
        <v>2447</v>
      </c>
      <c r="C182" s="225">
        <v>600080111</v>
      </c>
      <c r="D182" s="309">
        <v>72744961</v>
      </c>
      <c r="E182" s="405" t="s">
        <v>550</v>
      </c>
      <c r="F182" s="416">
        <v>3141</v>
      </c>
      <c r="G182" s="407" t="s">
        <v>315</v>
      </c>
      <c r="H182" s="313" t="s">
        <v>278</v>
      </c>
      <c r="I182" s="477">
        <v>179960</v>
      </c>
      <c r="J182" s="472">
        <v>131399</v>
      </c>
      <c r="K182" s="472">
        <v>0</v>
      </c>
      <c r="L182" s="472">
        <v>44413</v>
      </c>
      <c r="M182" s="472">
        <v>2628</v>
      </c>
      <c r="N182" s="472">
        <v>1520</v>
      </c>
      <c r="O182" s="473">
        <v>0.41</v>
      </c>
      <c r="P182" s="474">
        <v>0</v>
      </c>
      <c r="Q182" s="483">
        <v>0.41</v>
      </c>
      <c r="R182" s="485">
        <f t="shared" si="444"/>
        <v>0</v>
      </c>
      <c r="S182" s="475">
        <v>0</v>
      </c>
      <c r="T182" s="475">
        <v>3830</v>
      </c>
      <c r="U182" s="475">
        <v>0</v>
      </c>
      <c r="V182" s="475">
        <v>0</v>
      </c>
      <c r="W182" s="475">
        <v>0</v>
      </c>
      <c r="X182" s="475">
        <f>SUM(R182:W182)</f>
        <v>3830</v>
      </c>
      <c r="Y182" s="475">
        <v>0</v>
      </c>
      <c r="Z182" s="475">
        <v>0</v>
      </c>
      <c r="AA182" s="475">
        <v>0</v>
      </c>
      <c r="AB182" s="475">
        <f t="shared" si="445"/>
        <v>0</v>
      </c>
      <c r="AC182" s="475">
        <f t="shared" si="446"/>
        <v>3830</v>
      </c>
      <c r="AD182" s="70">
        <f t="shared" si="447"/>
        <v>1295</v>
      </c>
      <c r="AE182" s="70">
        <f t="shared" si="448"/>
        <v>77</v>
      </c>
      <c r="AF182" s="475">
        <v>0</v>
      </c>
      <c r="AG182" s="475">
        <v>0</v>
      </c>
      <c r="AH182" s="475">
        <f t="shared" si="449"/>
        <v>0</v>
      </c>
      <c r="AI182" s="475">
        <f t="shared" si="450"/>
        <v>5202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0.01</v>
      </c>
      <c r="AO182" s="476">
        <v>0</v>
      </c>
      <c r="AP182" s="476">
        <v>0</v>
      </c>
      <c r="AQ182" s="476">
        <v>0</v>
      </c>
      <c r="AR182" s="476">
        <f>AJ182+AL182+AM182+AO182+AP182</f>
        <v>0</v>
      </c>
      <c r="AS182" s="476">
        <f>AK182+AN182+AQ182</f>
        <v>0.01</v>
      </c>
      <c r="AT182" s="478">
        <f t="shared" si="451"/>
        <v>0.01</v>
      </c>
      <c r="AU182" s="484">
        <f>I182+AI182</f>
        <v>185162</v>
      </c>
      <c r="AV182" s="475">
        <f>J182+X182</f>
        <v>135229</v>
      </c>
      <c r="AW182" s="475">
        <f t="shared" si="452"/>
        <v>0</v>
      </c>
      <c r="AX182" s="475">
        <f t="shared" si="453"/>
        <v>45708</v>
      </c>
      <c r="AY182" s="475">
        <f t="shared" si="453"/>
        <v>2705</v>
      </c>
      <c r="AZ182" s="475">
        <f>N182+AH182</f>
        <v>1520</v>
      </c>
      <c r="BA182" s="476">
        <f>O182+AT182</f>
        <v>0.42</v>
      </c>
      <c r="BB182" s="476">
        <f t="shared" si="454"/>
        <v>0</v>
      </c>
      <c r="BC182" s="478">
        <f t="shared" si="454"/>
        <v>0.42</v>
      </c>
    </row>
    <row r="183" spans="1:55" ht="12.95" customHeight="1" x14ac:dyDescent="0.25">
      <c r="A183" s="308">
        <v>36</v>
      </c>
      <c r="B183" s="410">
        <v>2447</v>
      </c>
      <c r="C183" s="410">
        <v>600080111</v>
      </c>
      <c r="D183" s="309">
        <v>72744961</v>
      </c>
      <c r="E183" s="224" t="s">
        <v>550</v>
      </c>
      <c r="F183" s="410">
        <v>3143</v>
      </c>
      <c r="G183" s="351" t="s">
        <v>626</v>
      </c>
      <c r="H183" s="313" t="s">
        <v>277</v>
      </c>
      <c r="I183" s="477">
        <v>968671</v>
      </c>
      <c r="J183" s="472">
        <v>713307</v>
      </c>
      <c r="K183" s="472">
        <v>0</v>
      </c>
      <c r="L183" s="472">
        <v>241098</v>
      </c>
      <c r="M183" s="472">
        <v>14266</v>
      </c>
      <c r="N183" s="472">
        <v>0</v>
      </c>
      <c r="O183" s="473">
        <v>1.5</v>
      </c>
      <c r="P183" s="474">
        <v>1.5</v>
      </c>
      <c r="Q183" s="483">
        <v>0</v>
      </c>
      <c r="R183" s="485">
        <f t="shared" si="444"/>
        <v>0</v>
      </c>
      <c r="S183" s="475">
        <v>0</v>
      </c>
      <c r="T183" s="475">
        <v>0</v>
      </c>
      <c r="U183" s="475">
        <v>0</v>
      </c>
      <c r="V183" s="475">
        <v>0</v>
      </c>
      <c r="W183" s="475">
        <v>0</v>
      </c>
      <c r="X183" s="475">
        <f>SUM(R183:W183)</f>
        <v>0</v>
      </c>
      <c r="Y183" s="475">
        <v>0</v>
      </c>
      <c r="Z183" s="475">
        <v>0</v>
      </c>
      <c r="AA183" s="475">
        <v>0</v>
      </c>
      <c r="AB183" s="475">
        <f t="shared" si="445"/>
        <v>0</v>
      </c>
      <c r="AC183" s="475">
        <f t="shared" si="446"/>
        <v>0</v>
      </c>
      <c r="AD183" s="70">
        <f t="shared" si="447"/>
        <v>0</v>
      </c>
      <c r="AE183" s="70">
        <f t="shared" si="448"/>
        <v>0</v>
      </c>
      <c r="AF183" s="475">
        <v>0</v>
      </c>
      <c r="AG183" s="475">
        <v>0</v>
      </c>
      <c r="AH183" s="475">
        <f t="shared" si="449"/>
        <v>0</v>
      </c>
      <c r="AI183" s="475">
        <f t="shared" si="450"/>
        <v>0</v>
      </c>
      <c r="AJ183" s="476">
        <v>0</v>
      </c>
      <c r="AK183" s="476">
        <v>0</v>
      </c>
      <c r="AL183" s="476">
        <v>0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>AJ183+AL183+AM183+AO183+AP183</f>
        <v>0</v>
      </c>
      <c r="AS183" s="476">
        <f>AK183+AN183+AQ183</f>
        <v>0</v>
      </c>
      <c r="AT183" s="478">
        <f t="shared" si="451"/>
        <v>0</v>
      </c>
      <c r="AU183" s="484">
        <f>I183+AI183</f>
        <v>968671</v>
      </c>
      <c r="AV183" s="475">
        <f>J183+X183</f>
        <v>713307</v>
      </c>
      <c r="AW183" s="475">
        <f t="shared" si="452"/>
        <v>0</v>
      </c>
      <c r="AX183" s="475">
        <f t="shared" si="453"/>
        <v>241098</v>
      </c>
      <c r="AY183" s="475">
        <f t="shared" si="453"/>
        <v>14266</v>
      </c>
      <c r="AZ183" s="475">
        <f>N183+AH183</f>
        <v>0</v>
      </c>
      <c r="BA183" s="476">
        <f>O183+AT183</f>
        <v>1.5</v>
      </c>
      <c r="BB183" s="476">
        <f t="shared" si="454"/>
        <v>1.5</v>
      </c>
      <c r="BC183" s="478">
        <f t="shared" si="454"/>
        <v>0</v>
      </c>
    </row>
    <row r="184" spans="1:55" ht="12.95" customHeight="1" x14ac:dyDescent="0.25">
      <c r="A184" s="308">
        <v>36</v>
      </c>
      <c r="B184" s="410">
        <v>2447</v>
      </c>
      <c r="C184" s="410">
        <v>600080111</v>
      </c>
      <c r="D184" s="309">
        <v>72744961</v>
      </c>
      <c r="E184" s="224" t="s">
        <v>550</v>
      </c>
      <c r="F184" s="410">
        <v>3143</v>
      </c>
      <c r="G184" s="351" t="s">
        <v>627</v>
      </c>
      <c r="H184" s="313" t="s">
        <v>278</v>
      </c>
      <c r="I184" s="477">
        <v>31752</v>
      </c>
      <c r="J184" s="472">
        <v>22454</v>
      </c>
      <c r="K184" s="472">
        <v>0</v>
      </c>
      <c r="L184" s="472">
        <v>7589</v>
      </c>
      <c r="M184" s="472">
        <v>449</v>
      </c>
      <c r="N184" s="472">
        <v>1260</v>
      </c>
      <c r="O184" s="473">
        <v>0.09</v>
      </c>
      <c r="P184" s="474">
        <v>0</v>
      </c>
      <c r="Q184" s="483">
        <v>0.09</v>
      </c>
      <c r="R184" s="485">
        <f t="shared" si="444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>SUM(R184:W184)</f>
        <v>0</v>
      </c>
      <c r="Y184" s="475">
        <v>0</v>
      </c>
      <c r="Z184" s="475">
        <v>0</v>
      </c>
      <c r="AA184" s="475">
        <v>0</v>
      </c>
      <c r="AB184" s="475">
        <f t="shared" si="445"/>
        <v>0</v>
      </c>
      <c r="AC184" s="475">
        <f t="shared" si="446"/>
        <v>0</v>
      </c>
      <c r="AD184" s="70">
        <f t="shared" si="447"/>
        <v>0</v>
      </c>
      <c r="AE184" s="70">
        <f t="shared" si="448"/>
        <v>0</v>
      </c>
      <c r="AF184" s="475">
        <v>0</v>
      </c>
      <c r="AG184" s="475">
        <v>0</v>
      </c>
      <c r="AH184" s="475">
        <f t="shared" si="449"/>
        <v>0</v>
      </c>
      <c r="AI184" s="475">
        <f t="shared" si="450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476">
        <f>AJ184+AL184+AM184+AO184+AP184</f>
        <v>0</v>
      </c>
      <c r="AS184" s="476">
        <f>AK184+AN184+AQ184</f>
        <v>0</v>
      </c>
      <c r="AT184" s="478">
        <f t="shared" si="451"/>
        <v>0</v>
      </c>
      <c r="AU184" s="484">
        <f>I184+AI184</f>
        <v>31752</v>
      </c>
      <c r="AV184" s="475">
        <f>J184+X184</f>
        <v>22454</v>
      </c>
      <c r="AW184" s="475">
        <f t="shared" si="452"/>
        <v>0</v>
      </c>
      <c r="AX184" s="475">
        <f t="shared" si="453"/>
        <v>7589</v>
      </c>
      <c r="AY184" s="475">
        <f t="shared" si="453"/>
        <v>449</v>
      </c>
      <c r="AZ184" s="475">
        <f>N184+AH184</f>
        <v>1260</v>
      </c>
      <c r="BA184" s="476">
        <f>O184+AT184</f>
        <v>0.09</v>
      </c>
      <c r="BB184" s="476">
        <f t="shared" si="454"/>
        <v>0</v>
      </c>
      <c r="BC184" s="478">
        <f t="shared" si="454"/>
        <v>0.09</v>
      </c>
    </row>
    <row r="185" spans="1:55" ht="12.95" customHeight="1" x14ac:dyDescent="0.25">
      <c r="A185" s="227">
        <v>36</v>
      </c>
      <c r="B185" s="47">
        <v>2447</v>
      </c>
      <c r="C185" s="47">
        <v>600080111</v>
      </c>
      <c r="D185" s="47">
        <v>72744961</v>
      </c>
      <c r="E185" s="412" t="s">
        <v>551</v>
      </c>
      <c r="F185" s="47"/>
      <c r="G185" s="412"/>
      <c r="H185" s="191"/>
      <c r="I185" s="560">
        <v>4990577</v>
      </c>
      <c r="J185" s="556">
        <v>3598664</v>
      </c>
      <c r="K185" s="556">
        <v>14000</v>
      </c>
      <c r="L185" s="556">
        <v>1221080</v>
      </c>
      <c r="M185" s="556">
        <v>71973</v>
      </c>
      <c r="N185" s="556">
        <v>84860</v>
      </c>
      <c r="O185" s="557">
        <v>6.7943000000000007</v>
      </c>
      <c r="P185" s="557">
        <v>4.91</v>
      </c>
      <c r="Q185" s="562">
        <v>1.8842999999999999</v>
      </c>
      <c r="R185" s="560">
        <f t="shared" ref="R185:BC185" si="455">SUM(R180:R184)</f>
        <v>0</v>
      </c>
      <c r="S185" s="556">
        <f t="shared" si="455"/>
        <v>0</v>
      </c>
      <c r="T185" s="556">
        <f t="shared" si="455"/>
        <v>3830</v>
      </c>
      <c r="U185" s="556">
        <f t="shared" si="455"/>
        <v>0</v>
      </c>
      <c r="V185" s="556">
        <f t="shared" si="455"/>
        <v>0</v>
      </c>
      <c r="W185" s="556">
        <f t="shared" si="455"/>
        <v>0</v>
      </c>
      <c r="X185" s="556">
        <f t="shared" si="455"/>
        <v>3830</v>
      </c>
      <c r="Y185" s="556">
        <f t="shared" si="455"/>
        <v>0</v>
      </c>
      <c r="Z185" s="556">
        <f t="shared" si="455"/>
        <v>0</v>
      </c>
      <c r="AA185" s="556">
        <f t="shared" si="455"/>
        <v>0</v>
      </c>
      <c r="AB185" s="556">
        <f t="shared" si="455"/>
        <v>0</v>
      </c>
      <c r="AC185" s="556">
        <f t="shared" si="455"/>
        <v>3830</v>
      </c>
      <c r="AD185" s="556">
        <f t="shared" si="455"/>
        <v>1295</v>
      </c>
      <c r="AE185" s="556">
        <f t="shared" si="455"/>
        <v>77</v>
      </c>
      <c r="AF185" s="556">
        <f t="shared" si="455"/>
        <v>0</v>
      </c>
      <c r="AG185" s="556">
        <f t="shared" si="455"/>
        <v>0</v>
      </c>
      <c r="AH185" s="556">
        <f t="shared" si="455"/>
        <v>0</v>
      </c>
      <c r="AI185" s="556">
        <f t="shared" si="455"/>
        <v>5202</v>
      </c>
      <c r="AJ185" s="557">
        <f t="shared" si="455"/>
        <v>0</v>
      </c>
      <c r="AK185" s="557">
        <f t="shared" si="455"/>
        <v>0</v>
      </c>
      <c r="AL185" s="557">
        <f t="shared" si="455"/>
        <v>0</v>
      </c>
      <c r="AM185" s="557">
        <f t="shared" si="455"/>
        <v>0</v>
      </c>
      <c r="AN185" s="557">
        <f t="shared" si="455"/>
        <v>0.01</v>
      </c>
      <c r="AO185" s="557">
        <f t="shared" si="455"/>
        <v>0</v>
      </c>
      <c r="AP185" s="557">
        <f t="shared" si="455"/>
        <v>0</v>
      </c>
      <c r="AQ185" s="557">
        <f t="shared" si="455"/>
        <v>0</v>
      </c>
      <c r="AR185" s="557">
        <f t="shared" si="455"/>
        <v>0</v>
      </c>
      <c r="AS185" s="557">
        <f t="shared" si="455"/>
        <v>0.01</v>
      </c>
      <c r="AT185" s="307">
        <f t="shared" si="455"/>
        <v>0.01</v>
      </c>
      <c r="AU185" s="564">
        <f t="shared" si="455"/>
        <v>4995779</v>
      </c>
      <c r="AV185" s="556">
        <f t="shared" si="455"/>
        <v>3602494</v>
      </c>
      <c r="AW185" s="556">
        <f t="shared" si="455"/>
        <v>14000</v>
      </c>
      <c r="AX185" s="556">
        <f t="shared" si="455"/>
        <v>1222375</v>
      </c>
      <c r="AY185" s="556">
        <f t="shared" si="455"/>
        <v>72050</v>
      </c>
      <c r="AZ185" s="556">
        <f t="shared" si="455"/>
        <v>84860</v>
      </c>
      <c r="BA185" s="557">
        <f t="shared" si="455"/>
        <v>6.8043000000000005</v>
      </c>
      <c r="BB185" s="557">
        <f t="shared" si="455"/>
        <v>4.91</v>
      </c>
      <c r="BC185" s="307">
        <f t="shared" si="455"/>
        <v>1.8942999999999999</v>
      </c>
    </row>
    <row r="186" spans="1:55" ht="12.95" customHeight="1" x14ac:dyDescent="0.25">
      <c r="A186" s="308">
        <v>37</v>
      </c>
      <c r="B186" s="225">
        <v>5455</v>
      </c>
      <c r="C186" s="225">
        <v>600099067</v>
      </c>
      <c r="D186" s="309">
        <v>70986088</v>
      </c>
      <c r="E186" s="405" t="s">
        <v>552</v>
      </c>
      <c r="F186" s="416">
        <v>3111</v>
      </c>
      <c r="G186" s="407" t="s">
        <v>325</v>
      </c>
      <c r="H186" s="313" t="s">
        <v>277</v>
      </c>
      <c r="I186" s="477">
        <v>2836456</v>
      </c>
      <c r="J186" s="472">
        <v>2077434</v>
      </c>
      <c r="K186" s="472">
        <v>0</v>
      </c>
      <c r="L186" s="472">
        <v>702173</v>
      </c>
      <c r="M186" s="472">
        <v>41549</v>
      </c>
      <c r="N186" s="472">
        <v>15300</v>
      </c>
      <c r="O186" s="473">
        <v>4.9218000000000002</v>
      </c>
      <c r="P186" s="474">
        <v>4</v>
      </c>
      <c r="Q186" s="483">
        <v>0.92179999999999995</v>
      </c>
      <c r="R186" s="485">
        <f t="shared" ref="R186:R190" si="456">Y186*-1</f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>SUM(R186:W186)</f>
        <v>0</v>
      </c>
      <c r="Y186" s="475">
        <v>0</v>
      </c>
      <c r="Z186" s="475">
        <v>0</v>
      </c>
      <c r="AA186" s="475">
        <v>0</v>
      </c>
      <c r="AB186" s="475">
        <f t="shared" ref="AB186:AB190" si="457">SUM(Y186:AA186)</f>
        <v>0</v>
      </c>
      <c r="AC186" s="475">
        <f t="shared" ref="AC186:AC190" si="458">X186+AB186</f>
        <v>0</v>
      </c>
      <c r="AD186" s="70">
        <f t="shared" ref="AD186:AD190" si="459">ROUND((X186+Y186+Z186)*33.8%,0)</f>
        <v>0</v>
      </c>
      <c r="AE186" s="70">
        <f t="shared" ref="AE186:AE190" si="460">ROUND(X186*2%,0)</f>
        <v>0</v>
      </c>
      <c r="AF186" s="475">
        <v>0</v>
      </c>
      <c r="AG186" s="475">
        <v>0</v>
      </c>
      <c r="AH186" s="475">
        <f t="shared" ref="AH186:AH190" si="461">SUM(AF186:AG186)</f>
        <v>0</v>
      </c>
      <c r="AI186" s="475">
        <f t="shared" ref="AI186:AI190" si="462">AC186+AD186+AE186+AH186</f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>AJ186+AL186+AM186+AO186+AP186</f>
        <v>0</v>
      </c>
      <c r="AS186" s="476">
        <f>AK186+AN186+AQ186</f>
        <v>0</v>
      </c>
      <c r="AT186" s="478">
        <f t="shared" ref="AT186:AT190" si="463">SUM(AR186:AS186)</f>
        <v>0</v>
      </c>
      <c r="AU186" s="484">
        <f>I186+AI186</f>
        <v>2836456</v>
      </c>
      <c r="AV186" s="475">
        <f>J186+X186</f>
        <v>2077434</v>
      </c>
      <c r="AW186" s="475">
        <f t="shared" ref="AW186:AW190" si="464">K186+AB186</f>
        <v>0</v>
      </c>
      <c r="AX186" s="475">
        <f t="shared" ref="AX186:AY190" si="465">L186+AD186</f>
        <v>702173</v>
      </c>
      <c r="AY186" s="475">
        <f t="shared" si="465"/>
        <v>41549</v>
      </c>
      <c r="AZ186" s="475">
        <f>N186+AH186</f>
        <v>15300</v>
      </c>
      <c r="BA186" s="476">
        <f>O186+AT186</f>
        <v>4.9218000000000002</v>
      </c>
      <c r="BB186" s="476">
        <f t="shared" ref="BB186:BC190" si="466">P186+AR186</f>
        <v>4</v>
      </c>
      <c r="BC186" s="478">
        <f t="shared" si="466"/>
        <v>0.92179999999999995</v>
      </c>
    </row>
    <row r="187" spans="1:55" ht="12.95" customHeight="1" x14ac:dyDescent="0.25">
      <c r="A187" s="308">
        <v>37</v>
      </c>
      <c r="B187" s="415">
        <v>5455</v>
      </c>
      <c r="C187" s="415">
        <v>600099067</v>
      </c>
      <c r="D187" s="309">
        <v>70986088</v>
      </c>
      <c r="E187" s="423" t="s">
        <v>552</v>
      </c>
      <c r="F187" s="415">
        <v>3117</v>
      </c>
      <c r="G187" s="406" t="s">
        <v>329</v>
      </c>
      <c r="H187" s="313" t="s">
        <v>277</v>
      </c>
      <c r="I187" s="477">
        <v>3385828</v>
      </c>
      <c r="J187" s="472">
        <v>2451692</v>
      </c>
      <c r="K187" s="472">
        <v>0</v>
      </c>
      <c r="L187" s="472">
        <v>828672</v>
      </c>
      <c r="M187" s="472">
        <v>49034</v>
      </c>
      <c r="N187" s="472">
        <v>56430</v>
      </c>
      <c r="O187" s="473">
        <v>4.0975000000000001</v>
      </c>
      <c r="P187" s="474">
        <v>2.5</v>
      </c>
      <c r="Q187" s="483">
        <v>1.5974999999999999</v>
      </c>
      <c r="R187" s="485">
        <f t="shared" si="456"/>
        <v>0</v>
      </c>
      <c r="S187" s="475">
        <v>0</v>
      </c>
      <c r="T187" s="475">
        <v>0</v>
      </c>
      <c r="U187" s="475">
        <v>0</v>
      </c>
      <c r="V187" s="475">
        <v>0</v>
      </c>
      <c r="W187" s="475">
        <v>0</v>
      </c>
      <c r="X187" s="475">
        <f>SUM(R187:W187)</f>
        <v>0</v>
      </c>
      <c r="Y187" s="475">
        <v>0</v>
      </c>
      <c r="Z187" s="475">
        <v>0</v>
      </c>
      <c r="AA187" s="475">
        <v>0</v>
      </c>
      <c r="AB187" s="475">
        <f t="shared" si="457"/>
        <v>0</v>
      </c>
      <c r="AC187" s="475">
        <f t="shared" si="458"/>
        <v>0</v>
      </c>
      <c r="AD187" s="70">
        <f t="shared" si="459"/>
        <v>0</v>
      </c>
      <c r="AE187" s="70">
        <f t="shared" si="460"/>
        <v>0</v>
      </c>
      <c r="AF187" s="475">
        <v>0</v>
      </c>
      <c r="AG187" s="475">
        <v>0</v>
      </c>
      <c r="AH187" s="475">
        <f t="shared" si="461"/>
        <v>0</v>
      </c>
      <c r="AI187" s="475">
        <f t="shared" si="462"/>
        <v>0</v>
      </c>
      <c r="AJ187" s="476">
        <v>0</v>
      </c>
      <c r="AK187" s="476">
        <v>0</v>
      </c>
      <c r="AL187" s="476">
        <v>0</v>
      </c>
      <c r="AM187" s="476">
        <v>0</v>
      </c>
      <c r="AN187" s="476">
        <v>0</v>
      </c>
      <c r="AO187" s="476">
        <v>0</v>
      </c>
      <c r="AP187" s="476">
        <v>0</v>
      </c>
      <c r="AQ187" s="476">
        <v>0</v>
      </c>
      <c r="AR187" s="476">
        <f>AJ187+AL187+AM187+AO187+AP187</f>
        <v>0</v>
      </c>
      <c r="AS187" s="476">
        <f>AK187+AN187+AQ187</f>
        <v>0</v>
      </c>
      <c r="AT187" s="478">
        <f t="shared" si="463"/>
        <v>0</v>
      </c>
      <c r="AU187" s="484">
        <f>I187+AI187</f>
        <v>3385828</v>
      </c>
      <c r="AV187" s="475">
        <f>J187+X187</f>
        <v>2451692</v>
      </c>
      <c r="AW187" s="475">
        <f t="shared" si="464"/>
        <v>0</v>
      </c>
      <c r="AX187" s="475">
        <f t="shared" si="465"/>
        <v>828672</v>
      </c>
      <c r="AY187" s="475">
        <f t="shared" si="465"/>
        <v>49034</v>
      </c>
      <c r="AZ187" s="475">
        <f>N187+AH187</f>
        <v>56430</v>
      </c>
      <c r="BA187" s="476">
        <f>O187+AT187</f>
        <v>4.0975000000000001</v>
      </c>
      <c r="BB187" s="476">
        <f t="shared" si="466"/>
        <v>2.5</v>
      </c>
      <c r="BC187" s="478">
        <f t="shared" si="466"/>
        <v>1.5974999999999999</v>
      </c>
    </row>
    <row r="188" spans="1:55" ht="12.95" customHeight="1" x14ac:dyDescent="0.25">
      <c r="A188" s="308">
        <v>37</v>
      </c>
      <c r="B188" s="225">
        <v>5455</v>
      </c>
      <c r="C188" s="225">
        <v>600099067</v>
      </c>
      <c r="D188" s="309">
        <v>70986088</v>
      </c>
      <c r="E188" s="406" t="s">
        <v>552</v>
      </c>
      <c r="F188" s="225">
        <v>3141</v>
      </c>
      <c r="G188" s="407" t="s">
        <v>315</v>
      </c>
      <c r="H188" s="313" t="s">
        <v>278</v>
      </c>
      <c r="I188" s="477">
        <v>900094</v>
      </c>
      <c r="J188" s="472">
        <v>660032</v>
      </c>
      <c r="K188" s="472">
        <v>0</v>
      </c>
      <c r="L188" s="472">
        <v>223091</v>
      </c>
      <c r="M188" s="472">
        <v>13201</v>
      </c>
      <c r="N188" s="472">
        <v>3770</v>
      </c>
      <c r="O188" s="473">
        <v>2.08</v>
      </c>
      <c r="P188" s="474">
        <v>0</v>
      </c>
      <c r="Q188" s="483">
        <v>2.08</v>
      </c>
      <c r="R188" s="485">
        <f t="shared" si="456"/>
        <v>0</v>
      </c>
      <c r="S188" s="475">
        <v>0</v>
      </c>
      <c r="T188" s="475">
        <v>0</v>
      </c>
      <c r="U188" s="475">
        <v>0</v>
      </c>
      <c r="V188" s="475">
        <v>0</v>
      </c>
      <c r="W188" s="475">
        <v>0</v>
      </c>
      <c r="X188" s="475">
        <f>SUM(R188:W188)</f>
        <v>0</v>
      </c>
      <c r="Y188" s="475">
        <v>0</v>
      </c>
      <c r="Z188" s="475">
        <v>0</v>
      </c>
      <c r="AA188" s="475">
        <v>0</v>
      </c>
      <c r="AB188" s="475">
        <f t="shared" si="457"/>
        <v>0</v>
      </c>
      <c r="AC188" s="475">
        <f t="shared" si="458"/>
        <v>0</v>
      </c>
      <c r="AD188" s="70">
        <f t="shared" si="459"/>
        <v>0</v>
      </c>
      <c r="AE188" s="70">
        <f t="shared" si="460"/>
        <v>0</v>
      </c>
      <c r="AF188" s="475">
        <v>0</v>
      </c>
      <c r="AG188" s="475">
        <v>0</v>
      </c>
      <c r="AH188" s="475">
        <f t="shared" si="461"/>
        <v>0</v>
      </c>
      <c r="AI188" s="475">
        <f t="shared" si="462"/>
        <v>0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</v>
      </c>
      <c r="AO188" s="476">
        <v>0</v>
      </c>
      <c r="AP188" s="476">
        <v>0</v>
      </c>
      <c r="AQ188" s="476">
        <v>0</v>
      </c>
      <c r="AR188" s="476">
        <f>AJ188+AL188+AM188+AO188+AP188</f>
        <v>0</v>
      </c>
      <c r="AS188" s="476">
        <f>AK188+AN188+AQ188</f>
        <v>0</v>
      </c>
      <c r="AT188" s="478">
        <f t="shared" si="463"/>
        <v>0</v>
      </c>
      <c r="AU188" s="484">
        <f>I188+AI188</f>
        <v>900094</v>
      </c>
      <c r="AV188" s="475">
        <f>J188+X188</f>
        <v>660032</v>
      </c>
      <c r="AW188" s="475">
        <f t="shared" si="464"/>
        <v>0</v>
      </c>
      <c r="AX188" s="475">
        <f t="shared" si="465"/>
        <v>223091</v>
      </c>
      <c r="AY188" s="475">
        <f t="shared" si="465"/>
        <v>13201</v>
      </c>
      <c r="AZ188" s="475">
        <f>N188+AH188</f>
        <v>3770</v>
      </c>
      <c r="BA188" s="476">
        <f>O188+AT188</f>
        <v>2.08</v>
      </c>
      <c r="BB188" s="476">
        <f t="shared" si="466"/>
        <v>0</v>
      </c>
      <c r="BC188" s="478">
        <f t="shared" si="466"/>
        <v>2.08</v>
      </c>
    </row>
    <row r="189" spans="1:55" ht="12.95" customHeight="1" x14ac:dyDescent="0.25">
      <c r="A189" s="308">
        <v>37</v>
      </c>
      <c r="B189" s="225">
        <v>5455</v>
      </c>
      <c r="C189" s="225">
        <v>600099067</v>
      </c>
      <c r="D189" s="309">
        <v>70986088</v>
      </c>
      <c r="E189" s="405" t="s">
        <v>552</v>
      </c>
      <c r="F189" s="416">
        <v>3143</v>
      </c>
      <c r="G189" s="351" t="s">
        <v>626</v>
      </c>
      <c r="H189" s="313" t="s">
        <v>277</v>
      </c>
      <c r="I189" s="477">
        <v>351317</v>
      </c>
      <c r="J189" s="472">
        <v>258702</v>
      </c>
      <c r="K189" s="472">
        <v>0</v>
      </c>
      <c r="L189" s="472">
        <v>87441</v>
      </c>
      <c r="M189" s="472">
        <v>5174</v>
      </c>
      <c r="N189" s="472">
        <v>0</v>
      </c>
      <c r="O189" s="473">
        <v>0.54159999999999997</v>
      </c>
      <c r="P189" s="474">
        <v>0.54159999999999997</v>
      </c>
      <c r="Q189" s="483">
        <v>0</v>
      </c>
      <c r="R189" s="485">
        <f t="shared" si="456"/>
        <v>0</v>
      </c>
      <c r="S189" s="475">
        <v>0</v>
      </c>
      <c r="T189" s="475">
        <v>0</v>
      </c>
      <c r="U189" s="475">
        <v>0</v>
      </c>
      <c r="V189" s="475">
        <v>0</v>
      </c>
      <c r="W189" s="475">
        <v>0</v>
      </c>
      <c r="X189" s="475">
        <f>SUM(R189:W189)</f>
        <v>0</v>
      </c>
      <c r="Y189" s="475">
        <v>0</v>
      </c>
      <c r="Z189" s="475">
        <v>0</v>
      </c>
      <c r="AA189" s="475">
        <v>0</v>
      </c>
      <c r="AB189" s="475">
        <f t="shared" si="457"/>
        <v>0</v>
      </c>
      <c r="AC189" s="475">
        <f t="shared" si="458"/>
        <v>0</v>
      </c>
      <c r="AD189" s="70">
        <f t="shared" si="459"/>
        <v>0</v>
      </c>
      <c r="AE189" s="70">
        <f t="shared" si="460"/>
        <v>0</v>
      </c>
      <c r="AF189" s="475">
        <v>0</v>
      </c>
      <c r="AG189" s="475">
        <v>0</v>
      </c>
      <c r="AH189" s="475">
        <f t="shared" si="461"/>
        <v>0</v>
      </c>
      <c r="AI189" s="475">
        <f t="shared" si="462"/>
        <v>0</v>
      </c>
      <c r="AJ189" s="476">
        <v>0</v>
      </c>
      <c r="AK189" s="476">
        <v>0</v>
      </c>
      <c r="AL189" s="476">
        <v>0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476">
        <f>AJ189+AL189+AM189+AO189+AP189</f>
        <v>0</v>
      </c>
      <c r="AS189" s="476">
        <f>AK189+AN189+AQ189</f>
        <v>0</v>
      </c>
      <c r="AT189" s="478">
        <f t="shared" si="463"/>
        <v>0</v>
      </c>
      <c r="AU189" s="484">
        <f>I189+AI189</f>
        <v>351317</v>
      </c>
      <c r="AV189" s="475">
        <f>J189+X189</f>
        <v>258702</v>
      </c>
      <c r="AW189" s="475">
        <f t="shared" si="464"/>
        <v>0</v>
      </c>
      <c r="AX189" s="475">
        <f t="shared" si="465"/>
        <v>87441</v>
      </c>
      <c r="AY189" s="475">
        <f t="shared" si="465"/>
        <v>5174</v>
      </c>
      <c r="AZ189" s="475">
        <f>N189+AH189</f>
        <v>0</v>
      </c>
      <c r="BA189" s="476">
        <f>O189+AT189</f>
        <v>0.54159999999999997</v>
      </c>
      <c r="BB189" s="476">
        <f t="shared" si="466"/>
        <v>0.54159999999999997</v>
      </c>
      <c r="BC189" s="478">
        <f t="shared" si="466"/>
        <v>0</v>
      </c>
    </row>
    <row r="190" spans="1:55" ht="12.95" customHeight="1" x14ac:dyDescent="0.25">
      <c r="A190" s="308">
        <v>37</v>
      </c>
      <c r="B190" s="225">
        <v>5455</v>
      </c>
      <c r="C190" s="225">
        <v>600099067</v>
      </c>
      <c r="D190" s="309">
        <v>70986088</v>
      </c>
      <c r="E190" s="405" t="s">
        <v>552</v>
      </c>
      <c r="F190" s="416">
        <v>3143</v>
      </c>
      <c r="G190" s="351" t="s">
        <v>627</v>
      </c>
      <c r="H190" s="313" t="s">
        <v>278</v>
      </c>
      <c r="I190" s="477">
        <v>17388</v>
      </c>
      <c r="J190" s="472">
        <v>12296</v>
      </c>
      <c r="K190" s="472">
        <v>0</v>
      </c>
      <c r="L190" s="472">
        <v>4156</v>
      </c>
      <c r="M190" s="472">
        <v>246</v>
      </c>
      <c r="N190" s="472">
        <v>690</v>
      </c>
      <c r="O190" s="473">
        <v>0.05</v>
      </c>
      <c r="P190" s="474">
        <v>0</v>
      </c>
      <c r="Q190" s="483">
        <v>0.05</v>
      </c>
      <c r="R190" s="485">
        <f t="shared" si="456"/>
        <v>0</v>
      </c>
      <c r="S190" s="475">
        <v>0</v>
      </c>
      <c r="T190" s="475">
        <v>0</v>
      </c>
      <c r="U190" s="475">
        <v>0</v>
      </c>
      <c r="V190" s="475">
        <v>0</v>
      </c>
      <c r="W190" s="475">
        <v>0</v>
      </c>
      <c r="X190" s="475">
        <f>SUM(R190:W190)</f>
        <v>0</v>
      </c>
      <c r="Y190" s="475">
        <v>0</v>
      </c>
      <c r="Z190" s="475">
        <v>0</v>
      </c>
      <c r="AA190" s="475">
        <v>0</v>
      </c>
      <c r="AB190" s="475">
        <f t="shared" si="457"/>
        <v>0</v>
      </c>
      <c r="AC190" s="475">
        <f t="shared" si="458"/>
        <v>0</v>
      </c>
      <c r="AD190" s="70">
        <f t="shared" si="459"/>
        <v>0</v>
      </c>
      <c r="AE190" s="70">
        <f t="shared" si="460"/>
        <v>0</v>
      </c>
      <c r="AF190" s="475">
        <v>0</v>
      </c>
      <c r="AG190" s="475">
        <v>0</v>
      </c>
      <c r="AH190" s="475">
        <f t="shared" si="461"/>
        <v>0</v>
      </c>
      <c r="AI190" s="475">
        <f t="shared" si="462"/>
        <v>0</v>
      </c>
      <c r="AJ190" s="476">
        <v>0</v>
      </c>
      <c r="AK190" s="476">
        <v>0</v>
      </c>
      <c r="AL190" s="476">
        <v>0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476">
        <f>AJ190+AL190+AM190+AO190+AP190</f>
        <v>0</v>
      </c>
      <c r="AS190" s="476">
        <f>AK190+AN190+AQ190</f>
        <v>0</v>
      </c>
      <c r="AT190" s="478">
        <f t="shared" si="463"/>
        <v>0</v>
      </c>
      <c r="AU190" s="484">
        <f>I190+AI190</f>
        <v>17388</v>
      </c>
      <c r="AV190" s="475">
        <f>J190+X190</f>
        <v>12296</v>
      </c>
      <c r="AW190" s="475">
        <f t="shared" si="464"/>
        <v>0</v>
      </c>
      <c r="AX190" s="475">
        <f t="shared" si="465"/>
        <v>4156</v>
      </c>
      <c r="AY190" s="475">
        <f t="shared" si="465"/>
        <v>246</v>
      </c>
      <c r="AZ190" s="475">
        <f>N190+AH190</f>
        <v>690</v>
      </c>
      <c r="BA190" s="476">
        <f>O190+AT190</f>
        <v>0.05</v>
      </c>
      <c r="BB190" s="476">
        <f t="shared" si="466"/>
        <v>0</v>
      </c>
      <c r="BC190" s="478">
        <f t="shared" si="466"/>
        <v>0.05</v>
      </c>
    </row>
    <row r="191" spans="1:55" ht="12.95" customHeight="1" x14ac:dyDescent="0.25">
      <c r="A191" s="227">
        <v>37</v>
      </c>
      <c r="B191" s="46">
        <v>5455</v>
      </c>
      <c r="C191" s="46">
        <v>600099067</v>
      </c>
      <c r="D191" s="46">
        <v>70986088</v>
      </c>
      <c r="E191" s="417" t="s">
        <v>553</v>
      </c>
      <c r="F191" s="418"/>
      <c r="G191" s="417"/>
      <c r="H191" s="419"/>
      <c r="I191" s="611">
        <v>7491083</v>
      </c>
      <c r="J191" s="607">
        <v>5460156</v>
      </c>
      <c r="K191" s="607">
        <v>0</v>
      </c>
      <c r="L191" s="607">
        <v>1845533</v>
      </c>
      <c r="M191" s="607">
        <v>109204</v>
      </c>
      <c r="N191" s="607">
        <v>76190</v>
      </c>
      <c r="O191" s="608">
        <v>11.690900000000003</v>
      </c>
      <c r="P191" s="608">
        <v>7.0415999999999999</v>
      </c>
      <c r="Q191" s="613">
        <v>4.6492999999999993</v>
      </c>
      <c r="R191" s="611">
        <f t="shared" ref="R191:BC191" si="467">SUM(R186:R190)</f>
        <v>0</v>
      </c>
      <c r="S191" s="607">
        <f t="shared" si="467"/>
        <v>0</v>
      </c>
      <c r="T191" s="607">
        <f t="shared" si="467"/>
        <v>0</v>
      </c>
      <c r="U191" s="607">
        <f t="shared" si="467"/>
        <v>0</v>
      </c>
      <c r="V191" s="607">
        <f t="shared" si="467"/>
        <v>0</v>
      </c>
      <c r="W191" s="607">
        <f t="shared" si="467"/>
        <v>0</v>
      </c>
      <c r="X191" s="607">
        <f t="shared" si="467"/>
        <v>0</v>
      </c>
      <c r="Y191" s="607">
        <f t="shared" si="467"/>
        <v>0</v>
      </c>
      <c r="Z191" s="607">
        <f t="shared" si="467"/>
        <v>0</v>
      </c>
      <c r="AA191" s="607">
        <f t="shared" si="467"/>
        <v>0</v>
      </c>
      <c r="AB191" s="607">
        <f t="shared" si="467"/>
        <v>0</v>
      </c>
      <c r="AC191" s="607">
        <f t="shared" si="467"/>
        <v>0</v>
      </c>
      <c r="AD191" s="607">
        <f t="shared" si="467"/>
        <v>0</v>
      </c>
      <c r="AE191" s="607">
        <f t="shared" si="467"/>
        <v>0</v>
      </c>
      <c r="AF191" s="607">
        <f t="shared" si="467"/>
        <v>0</v>
      </c>
      <c r="AG191" s="607">
        <f t="shared" si="467"/>
        <v>0</v>
      </c>
      <c r="AH191" s="607">
        <f t="shared" si="467"/>
        <v>0</v>
      </c>
      <c r="AI191" s="607">
        <f t="shared" si="467"/>
        <v>0</v>
      </c>
      <c r="AJ191" s="608">
        <f t="shared" si="467"/>
        <v>0</v>
      </c>
      <c r="AK191" s="608">
        <f t="shared" si="467"/>
        <v>0</v>
      </c>
      <c r="AL191" s="608">
        <f t="shared" si="467"/>
        <v>0</v>
      </c>
      <c r="AM191" s="608">
        <f t="shared" si="467"/>
        <v>0</v>
      </c>
      <c r="AN191" s="608">
        <f t="shared" si="467"/>
        <v>0</v>
      </c>
      <c r="AO191" s="608">
        <f t="shared" si="467"/>
        <v>0</v>
      </c>
      <c r="AP191" s="608">
        <f t="shared" si="467"/>
        <v>0</v>
      </c>
      <c r="AQ191" s="608">
        <f t="shared" si="467"/>
        <v>0</v>
      </c>
      <c r="AR191" s="608">
        <f t="shared" si="467"/>
        <v>0</v>
      </c>
      <c r="AS191" s="608">
        <f t="shared" si="467"/>
        <v>0</v>
      </c>
      <c r="AT191" s="409">
        <f t="shared" si="467"/>
        <v>0</v>
      </c>
      <c r="AU191" s="615">
        <f t="shared" si="467"/>
        <v>7491083</v>
      </c>
      <c r="AV191" s="607">
        <f t="shared" si="467"/>
        <v>5460156</v>
      </c>
      <c r="AW191" s="607">
        <f t="shared" si="467"/>
        <v>0</v>
      </c>
      <c r="AX191" s="607">
        <f t="shared" si="467"/>
        <v>1845533</v>
      </c>
      <c r="AY191" s="607">
        <f t="shared" si="467"/>
        <v>109204</v>
      </c>
      <c r="AZ191" s="607">
        <f t="shared" si="467"/>
        <v>76190</v>
      </c>
      <c r="BA191" s="608">
        <f t="shared" si="467"/>
        <v>11.690900000000003</v>
      </c>
      <c r="BB191" s="608">
        <f t="shared" si="467"/>
        <v>7.0415999999999999</v>
      </c>
      <c r="BC191" s="409">
        <f t="shared" si="467"/>
        <v>4.6492999999999993</v>
      </c>
    </row>
    <row r="192" spans="1:55" ht="12.95" customHeight="1" x14ac:dyDescent="0.25">
      <c r="A192" s="308">
        <v>38</v>
      </c>
      <c r="B192" s="225">
        <v>5470</v>
      </c>
      <c r="C192" s="225">
        <v>600099091</v>
      </c>
      <c r="D192" s="309">
        <v>70695822</v>
      </c>
      <c r="E192" s="406" t="s">
        <v>554</v>
      </c>
      <c r="F192" s="225">
        <v>3111</v>
      </c>
      <c r="G192" s="407" t="s">
        <v>325</v>
      </c>
      <c r="H192" s="313" t="s">
        <v>277</v>
      </c>
      <c r="I192" s="477">
        <v>2680154</v>
      </c>
      <c r="J192" s="472">
        <v>1977883</v>
      </c>
      <c r="K192" s="472">
        <v>-13760</v>
      </c>
      <c r="L192" s="472">
        <v>663874</v>
      </c>
      <c r="M192" s="472">
        <v>39557</v>
      </c>
      <c r="N192" s="472">
        <v>12600</v>
      </c>
      <c r="O192" s="473">
        <v>4.7282999999999999</v>
      </c>
      <c r="P192" s="474">
        <v>3.8065000000000002</v>
      </c>
      <c r="Q192" s="483">
        <v>0.92179999999999995</v>
      </c>
      <c r="R192" s="485">
        <f t="shared" ref="R192:R197" si="468">Y192*-1</f>
        <v>0</v>
      </c>
      <c r="S192" s="475">
        <v>0</v>
      </c>
      <c r="T192" s="475">
        <v>152939</v>
      </c>
      <c r="U192" s="475">
        <v>0</v>
      </c>
      <c r="V192" s="475">
        <v>0</v>
      </c>
      <c r="W192" s="475">
        <v>0</v>
      </c>
      <c r="X192" s="475">
        <f t="shared" ref="X192:X197" si="469">SUM(R192:W192)</f>
        <v>152939</v>
      </c>
      <c r="Y192" s="475">
        <v>0</v>
      </c>
      <c r="Z192" s="475">
        <v>0</v>
      </c>
      <c r="AA192" s="475">
        <v>0</v>
      </c>
      <c r="AB192" s="475">
        <f t="shared" ref="AB192:AB197" si="470">SUM(Y192:AA192)</f>
        <v>0</v>
      </c>
      <c r="AC192" s="475">
        <f t="shared" ref="AC192:AC197" si="471">X192+AB192</f>
        <v>152939</v>
      </c>
      <c r="AD192" s="70">
        <f t="shared" ref="AD192:AD197" si="472">ROUND((X192+Y192+Z192)*33.8%,0)</f>
        <v>51693</v>
      </c>
      <c r="AE192" s="70">
        <f t="shared" ref="AE192:AE197" si="473">ROUND(X192*2%,0)</f>
        <v>3059</v>
      </c>
      <c r="AF192" s="475">
        <v>0</v>
      </c>
      <c r="AG192" s="475">
        <v>0</v>
      </c>
      <c r="AH192" s="475">
        <f t="shared" ref="AH192:AH197" si="474">SUM(AF192:AG192)</f>
        <v>0</v>
      </c>
      <c r="AI192" s="475">
        <f t="shared" ref="AI192:AI197" si="475">AC192+AD192+AE192+AH192</f>
        <v>207691</v>
      </c>
      <c r="AJ192" s="476">
        <v>0</v>
      </c>
      <c r="AK192" s="476">
        <v>0</v>
      </c>
      <c r="AL192" s="476">
        <v>0</v>
      </c>
      <c r="AM192" s="476">
        <v>0.35</v>
      </c>
      <c r="AN192" s="476">
        <v>0</v>
      </c>
      <c r="AO192" s="476">
        <v>0</v>
      </c>
      <c r="AP192" s="476">
        <v>0</v>
      </c>
      <c r="AQ192" s="476">
        <v>0</v>
      </c>
      <c r="AR192" s="476">
        <f t="shared" ref="AR192:AR197" si="476">AJ192+AL192+AM192+AO192+AP192</f>
        <v>0.35</v>
      </c>
      <c r="AS192" s="476">
        <f t="shared" ref="AS192:AS197" si="477">AK192+AN192+AQ192</f>
        <v>0</v>
      </c>
      <c r="AT192" s="478">
        <f t="shared" ref="AT192:AT197" si="478">SUM(AR192:AS192)</f>
        <v>0.35</v>
      </c>
      <c r="AU192" s="484">
        <f t="shared" ref="AU192:AU197" si="479">I192+AI192</f>
        <v>2887845</v>
      </c>
      <c r="AV192" s="475">
        <f t="shared" ref="AV192:AV197" si="480">J192+X192</f>
        <v>2130822</v>
      </c>
      <c r="AW192" s="475">
        <f t="shared" ref="AW192:AW197" si="481">K192+AB192</f>
        <v>-13760</v>
      </c>
      <c r="AX192" s="475">
        <f t="shared" ref="AX192:AY197" si="482">L192+AD192</f>
        <v>715567</v>
      </c>
      <c r="AY192" s="475">
        <f t="shared" si="482"/>
        <v>42616</v>
      </c>
      <c r="AZ192" s="475">
        <f t="shared" ref="AZ192:AZ197" si="483">N192+AH192</f>
        <v>12600</v>
      </c>
      <c r="BA192" s="476">
        <f t="shared" ref="BA192:BA197" si="484">O192+AT192</f>
        <v>5.0782999999999996</v>
      </c>
      <c r="BB192" s="476">
        <f t="shared" ref="BB192:BC197" si="485">P192+AR192</f>
        <v>4.1565000000000003</v>
      </c>
      <c r="BC192" s="478">
        <f t="shared" si="485"/>
        <v>0.92179999999999995</v>
      </c>
    </row>
    <row r="193" spans="1:55" ht="12.95" customHeight="1" x14ac:dyDescent="0.25">
      <c r="A193" s="308">
        <v>38</v>
      </c>
      <c r="B193" s="225">
        <v>5470</v>
      </c>
      <c r="C193" s="225">
        <v>600099091</v>
      </c>
      <c r="D193" s="309">
        <v>70695822</v>
      </c>
      <c r="E193" s="406" t="s">
        <v>554</v>
      </c>
      <c r="F193" s="225">
        <v>3117</v>
      </c>
      <c r="G193" s="406" t="s">
        <v>329</v>
      </c>
      <c r="H193" s="313" t="s">
        <v>277</v>
      </c>
      <c r="I193" s="477">
        <v>4757756</v>
      </c>
      <c r="J193" s="472">
        <v>3186578</v>
      </c>
      <c r="K193" s="472">
        <v>257760</v>
      </c>
      <c r="L193" s="472">
        <v>1164186</v>
      </c>
      <c r="M193" s="472">
        <v>63732</v>
      </c>
      <c r="N193" s="472">
        <v>85500</v>
      </c>
      <c r="O193" s="473">
        <v>6.3381999999999996</v>
      </c>
      <c r="P193" s="474">
        <v>4.8082000000000003</v>
      </c>
      <c r="Q193" s="483">
        <v>1.5299999999999998</v>
      </c>
      <c r="R193" s="485">
        <f t="shared" si="468"/>
        <v>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469"/>
        <v>0</v>
      </c>
      <c r="Y193" s="475">
        <v>0</v>
      </c>
      <c r="Z193" s="475">
        <v>0</v>
      </c>
      <c r="AA193" s="475">
        <v>0</v>
      </c>
      <c r="AB193" s="475">
        <f t="shared" si="470"/>
        <v>0</v>
      </c>
      <c r="AC193" s="475">
        <f t="shared" si="471"/>
        <v>0</v>
      </c>
      <c r="AD193" s="70">
        <f t="shared" si="472"/>
        <v>0</v>
      </c>
      <c r="AE193" s="70">
        <f t="shared" si="473"/>
        <v>0</v>
      </c>
      <c r="AF193" s="475">
        <v>0</v>
      </c>
      <c r="AG193" s="475">
        <v>0</v>
      </c>
      <c r="AH193" s="475">
        <f t="shared" si="474"/>
        <v>0</v>
      </c>
      <c r="AI193" s="475">
        <f t="shared" si="475"/>
        <v>0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476">
        <f t="shared" si="476"/>
        <v>0</v>
      </c>
      <c r="AS193" s="476">
        <f t="shared" si="477"/>
        <v>0</v>
      </c>
      <c r="AT193" s="478">
        <f t="shared" si="478"/>
        <v>0</v>
      </c>
      <c r="AU193" s="484">
        <f t="shared" si="479"/>
        <v>4757756</v>
      </c>
      <c r="AV193" s="475">
        <f t="shared" si="480"/>
        <v>3186578</v>
      </c>
      <c r="AW193" s="475">
        <f t="shared" si="481"/>
        <v>257760</v>
      </c>
      <c r="AX193" s="475">
        <f t="shared" si="482"/>
        <v>1164186</v>
      </c>
      <c r="AY193" s="475">
        <f t="shared" si="482"/>
        <v>63732</v>
      </c>
      <c r="AZ193" s="475">
        <f t="shared" si="483"/>
        <v>85500</v>
      </c>
      <c r="BA193" s="476">
        <f t="shared" si="484"/>
        <v>6.3381999999999996</v>
      </c>
      <c r="BB193" s="476">
        <f t="shared" si="485"/>
        <v>4.8082000000000003</v>
      </c>
      <c r="BC193" s="478">
        <f t="shared" si="485"/>
        <v>1.5299999999999998</v>
      </c>
    </row>
    <row r="194" spans="1:55" ht="12.95" customHeight="1" x14ac:dyDescent="0.25">
      <c r="A194" s="308">
        <v>38</v>
      </c>
      <c r="B194" s="410">
        <v>5470</v>
      </c>
      <c r="C194" s="410">
        <v>600099091</v>
      </c>
      <c r="D194" s="309">
        <v>70695822</v>
      </c>
      <c r="E194" s="406" t="s">
        <v>554</v>
      </c>
      <c r="F194" s="225">
        <v>3117</v>
      </c>
      <c r="G194" s="351" t="s">
        <v>312</v>
      </c>
      <c r="H194" s="313" t="s">
        <v>278</v>
      </c>
      <c r="I194" s="477">
        <v>1929529</v>
      </c>
      <c r="J194" s="472">
        <v>1415338</v>
      </c>
      <c r="K194" s="472">
        <v>0</v>
      </c>
      <c r="L194" s="472">
        <v>478384</v>
      </c>
      <c r="M194" s="472">
        <v>28307</v>
      </c>
      <c r="N194" s="472">
        <v>7500</v>
      </c>
      <c r="O194" s="473">
        <v>4.07</v>
      </c>
      <c r="P194" s="474">
        <v>4.07</v>
      </c>
      <c r="Q194" s="483">
        <v>0</v>
      </c>
      <c r="R194" s="485">
        <f t="shared" si="468"/>
        <v>0</v>
      </c>
      <c r="S194" s="475">
        <v>0</v>
      </c>
      <c r="T194" s="475">
        <v>0</v>
      </c>
      <c r="U194" s="475">
        <v>0</v>
      </c>
      <c r="V194" s="475">
        <v>0</v>
      </c>
      <c r="W194" s="475">
        <v>0</v>
      </c>
      <c r="X194" s="475">
        <f t="shared" si="469"/>
        <v>0</v>
      </c>
      <c r="Y194" s="475">
        <v>0</v>
      </c>
      <c r="Z194" s="475">
        <v>0</v>
      </c>
      <c r="AA194" s="475">
        <v>0</v>
      </c>
      <c r="AB194" s="475">
        <f t="shared" si="470"/>
        <v>0</v>
      </c>
      <c r="AC194" s="475">
        <f t="shared" si="471"/>
        <v>0</v>
      </c>
      <c r="AD194" s="70">
        <f t="shared" si="472"/>
        <v>0</v>
      </c>
      <c r="AE194" s="70">
        <f t="shared" si="473"/>
        <v>0</v>
      </c>
      <c r="AF194" s="475">
        <v>0</v>
      </c>
      <c r="AG194" s="475">
        <v>0</v>
      </c>
      <c r="AH194" s="475">
        <f t="shared" si="474"/>
        <v>0</v>
      </c>
      <c r="AI194" s="475">
        <f t="shared" si="475"/>
        <v>0</v>
      </c>
      <c r="AJ194" s="476">
        <v>0</v>
      </c>
      <c r="AK194" s="476">
        <v>0</v>
      </c>
      <c r="AL194" s="476">
        <v>0</v>
      </c>
      <c r="AM194" s="476">
        <v>0</v>
      </c>
      <c r="AN194" s="476">
        <v>0</v>
      </c>
      <c r="AO194" s="476">
        <v>0</v>
      </c>
      <c r="AP194" s="476">
        <v>0</v>
      </c>
      <c r="AQ194" s="476">
        <v>0</v>
      </c>
      <c r="AR194" s="476">
        <f t="shared" si="476"/>
        <v>0</v>
      </c>
      <c r="AS194" s="476">
        <f t="shared" si="477"/>
        <v>0</v>
      </c>
      <c r="AT194" s="478">
        <f t="shared" si="478"/>
        <v>0</v>
      </c>
      <c r="AU194" s="484">
        <f t="shared" si="479"/>
        <v>1929529</v>
      </c>
      <c r="AV194" s="475">
        <f t="shared" si="480"/>
        <v>1415338</v>
      </c>
      <c r="AW194" s="475">
        <f t="shared" si="481"/>
        <v>0</v>
      </c>
      <c r="AX194" s="475">
        <f t="shared" si="482"/>
        <v>478384</v>
      </c>
      <c r="AY194" s="475">
        <f t="shared" si="482"/>
        <v>28307</v>
      </c>
      <c r="AZ194" s="475">
        <f t="shared" si="483"/>
        <v>7500</v>
      </c>
      <c r="BA194" s="476">
        <f t="shared" si="484"/>
        <v>4.07</v>
      </c>
      <c r="BB194" s="476">
        <f t="shared" si="485"/>
        <v>4.07</v>
      </c>
      <c r="BC194" s="478">
        <f t="shared" si="485"/>
        <v>0</v>
      </c>
    </row>
    <row r="195" spans="1:55" ht="12.95" customHeight="1" x14ac:dyDescent="0.25">
      <c r="A195" s="308">
        <v>38</v>
      </c>
      <c r="B195" s="225">
        <v>5470</v>
      </c>
      <c r="C195" s="225">
        <v>600099091</v>
      </c>
      <c r="D195" s="309">
        <v>70695822</v>
      </c>
      <c r="E195" s="405" t="s">
        <v>554</v>
      </c>
      <c r="F195" s="416">
        <v>3141</v>
      </c>
      <c r="G195" s="407" t="s">
        <v>315</v>
      </c>
      <c r="H195" s="313" t="s">
        <v>278</v>
      </c>
      <c r="I195" s="477">
        <v>982104</v>
      </c>
      <c r="J195" s="472">
        <v>719205</v>
      </c>
      <c r="K195" s="472">
        <v>0</v>
      </c>
      <c r="L195" s="472">
        <v>243091</v>
      </c>
      <c r="M195" s="472">
        <v>14384</v>
      </c>
      <c r="N195" s="472">
        <v>5424</v>
      </c>
      <c r="O195" s="473">
        <v>2.27</v>
      </c>
      <c r="P195" s="474">
        <v>0</v>
      </c>
      <c r="Q195" s="483">
        <v>2.27</v>
      </c>
      <c r="R195" s="485">
        <f t="shared" si="468"/>
        <v>0</v>
      </c>
      <c r="S195" s="475">
        <v>0</v>
      </c>
      <c r="T195" s="475">
        <f>2224+8035</f>
        <v>10259</v>
      </c>
      <c r="U195" s="475">
        <v>0</v>
      </c>
      <c r="V195" s="475">
        <v>0</v>
      </c>
      <c r="W195" s="475">
        <v>0</v>
      </c>
      <c r="X195" s="475">
        <f t="shared" si="469"/>
        <v>10259</v>
      </c>
      <c r="Y195" s="475">
        <v>0</v>
      </c>
      <c r="Z195" s="475">
        <v>0</v>
      </c>
      <c r="AA195" s="475">
        <v>0</v>
      </c>
      <c r="AB195" s="475">
        <f t="shared" si="470"/>
        <v>0</v>
      </c>
      <c r="AC195" s="475">
        <f t="shared" si="471"/>
        <v>10259</v>
      </c>
      <c r="AD195" s="70">
        <f t="shared" si="472"/>
        <v>3468</v>
      </c>
      <c r="AE195" s="70">
        <f t="shared" si="473"/>
        <v>205</v>
      </c>
      <c r="AF195" s="475">
        <v>0</v>
      </c>
      <c r="AG195" s="475">
        <v>0</v>
      </c>
      <c r="AH195" s="475">
        <f t="shared" si="474"/>
        <v>0</v>
      </c>
      <c r="AI195" s="475">
        <f t="shared" si="475"/>
        <v>13932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0.04</v>
      </c>
      <c r="AO195" s="476">
        <v>0</v>
      </c>
      <c r="AP195" s="476">
        <v>0</v>
      </c>
      <c r="AQ195" s="476">
        <v>0</v>
      </c>
      <c r="AR195" s="476">
        <f t="shared" si="476"/>
        <v>0</v>
      </c>
      <c r="AS195" s="476">
        <f t="shared" si="477"/>
        <v>0.04</v>
      </c>
      <c r="AT195" s="478">
        <f t="shared" si="478"/>
        <v>0.04</v>
      </c>
      <c r="AU195" s="484">
        <f t="shared" si="479"/>
        <v>996036</v>
      </c>
      <c r="AV195" s="475">
        <f t="shared" si="480"/>
        <v>729464</v>
      </c>
      <c r="AW195" s="475">
        <f t="shared" si="481"/>
        <v>0</v>
      </c>
      <c r="AX195" s="475">
        <f t="shared" si="482"/>
        <v>246559</v>
      </c>
      <c r="AY195" s="475">
        <f t="shared" si="482"/>
        <v>14589</v>
      </c>
      <c r="AZ195" s="475">
        <f t="shared" si="483"/>
        <v>5424</v>
      </c>
      <c r="BA195" s="476">
        <f t="shared" si="484"/>
        <v>2.31</v>
      </c>
      <c r="BB195" s="476">
        <f t="shared" si="485"/>
        <v>0</v>
      </c>
      <c r="BC195" s="478">
        <f t="shared" si="485"/>
        <v>2.31</v>
      </c>
    </row>
    <row r="196" spans="1:55" ht="12.95" customHeight="1" x14ac:dyDescent="0.25">
      <c r="A196" s="308">
        <v>38</v>
      </c>
      <c r="B196" s="410">
        <v>5470</v>
      </c>
      <c r="C196" s="410">
        <v>600099091</v>
      </c>
      <c r="D196" s="309">
        <v>70695822</v>
      </c>
      <c r="E196" s="406" t="s">
        <v>554</v>
      </c>
      <c r="F196" s="225">
        <v>3143</v>
      </c>
      <c r="G196" s="351" t="s">
        <v>626</v>
      </c>
      <c r="H196" s="313" t="s">
        <v>277</v>
      </c>
      <c r="I196" s="477">
        <v>668873</v>
      </c>
      <c r="J196" s="472">
        <v>486138</v>
      </c>
      <c r="K196" s="472">
        <v>6500</v>
      </c>
      <c r="L196" s="472">
        <v>166512</v>
      </c>
      <c r="M196" s="472">
        <v>9723</v>
      </c>
      <c r="N196" s="472">
        <v>0</v>
      </c>
      <c r="O196" s="473">
        <v>0.98250000000000004</v>
      </c>
      <c r="P196" s="474">
        <v>0.98250000000000004</v>
      </c>
      <c r="Q196" s="483">
        <v>0</v>
      </c>
      <c r="R196" s="485">
        <f t="shared" si="468"/>
        <v>0</v>
      </c>
      <c r="S196" s="475">
        <v>0</v>
      </c>
      <c r="T196" s="475">
        <v>108639</v>
      </c>
      <c r="U196" s="475">
        <v>0</v>
      </c>
      <c r="V196" s="475">
        <v>0</v>
      </c>
      <c r="W196" s="475">
        <v>0</v>
      </c>
      <c r="X196" s="475">
        <f t="shared" si="469"/>
        <v>108639</v>
      </c>
      <c r="Y196" s="475">
        <v>0</v>
      </c>
      <c r="Z196" s="475">
        <v>0</v>
      </c>
      <c r="AA196" s="475">
        <v>0</v>
      </c>
      <c r="AB196" s="475">
        <f t="shared" si="470"/>
        <v>0</v>
      </c>
      <c r="AC196" s="475">
        <f t="shared" si="471"/>
        <v>108639</v>
      </c>
      <c r="AD196" s="70">
        <f t="shared" si="472"/>
        <v>36720</v>
      </c>
      <c r="AE196" s="70">
        <f t="shared" si="473"/>
        <v>2173</v>
      </c>
      <c r="AF196" s="475">
        <v>0</v>
      </c>
      <c r="AG196" s="475">
        <v>0</v>
      </c>
      <c r="AH196" s="475">
        <f t="shared" si="474"/>
        <v>0</v>
      </c>
      <c r="AI196" s="475">
        <f t="shared" si="475"/>
        <v>147532</v>
      </c>
      <c r="AJ196" s="476">
        <v>0</v>
      </c>
      <c r="AK196" s="476">
        <v>0</v>
      </c>
      <c r="AL196" s="476">
        <v>0</v>
      </c>
      <c r="AM196" s="476">
        <v>0.22</v>
      </c>
      <c r="AN196" s="476">
        <v>0</v>
      </c>
      <c r="AO196" s="476">
        <v>0</v>
      </c>
      <c r="AP196" s="476">
        <v>0</v>
      </c>
      <c r="AQ196" s="476">
        <v>0</v>
      </c>
      <c r="AR196" s="476">
        <f t="shared" si="476"/>
        <v>0.22</v>
      </c>
      <c r="AS196" s="476">
        <f t="shared" si="477"/>
        <v>0</v>
      </c>
      <c r="AT196" s="478">
        <f t="shared" si="478"/>
        <v>0.22</v>
      </c>
      <c r="AU196" s="484">
        <f t="shared" si="479"/>
        <v>816405</v>
      </c>
      <c r="AV196" s="475">
        <f t="shared" si="480"/>
        <v>594777</v>
      </c>
      <c r="AW196" s="475">
        <f t="shared" si="481"/>
        <v>6500</v>
      </c>
      <c r="AX196" s="475">
        <f t="shared" si="482"/>
        <v>203232</v>
      </c>
      <c r="AY196" s="475">
        <f t="shared" si="482"/>
        <v>11896</v>
      </c>
      <c r="AZ196" s="475">
        <f t="shared" si="483"/>
        <v>0</v>
      </c>
      <c r="BA196" s="476">
        <f t="shared" si="484"/>
        <v>1.2025000000000001</v>
      </c>
      <c r="BB196" s="476">
        <f t="shared" si="485"/>
        <v>1.2025000000000001</v>
      </c>
      <c r="BC196" s="478">
        <f t="shared" si="485"/>
        <v>0</v>
      </c>
    </row>
    <row r="197" spans="1:55" ht="12.95" customHeight="1" x14ac:dyDescent="0.25">
      <c r="A197" s="308">
        <v>38</v>
      </c>
      <c r="B197" s="410">
        <v>5470</v>
      </c>
      <c r="C197" s="410">
        <v>600099091</v>
      </c>
      <c r="D197" s="309">
        <v>70695822</v>
      </c>
      <c r="E197" s="406" t="s">
        <v>554</v>
      </c>
      <c r="F197" s="225">
        <v>3143</v>
      </c>
      <c r="G197" s="351" t="s">
        <v>627</v>
      </c>
      <c r="H197" s="313" t="s">
        <v>278</v>
      </c>
      <c r="I197" s="477">
        <v>22610</v>
      </c>
      <c r="J197" s="472">
        <v>12538</v>
      </c>
      <c r="K197" s="472">
        <v>3500</v>
      </c>
      <c r="L197" s="472">
        <v>5421</v>
      </c>
      <c r="M197" s="472">
        <v>251</v>
      </c>
      <c r="N197" s="472">
        <v>900</v>
      </c>
      <c r="O197" s="473">
        <v>0.06</v>
      </c>
      <c r="P197" s="474">
        <v>0</v>
      </c>
      <c r="Q197" s="483">
        <v>0.06</v>
      </c>
      <c r="R197" s="485">
        <f t="shared" si="468"/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469"/>
        <v>0</v>
      </c>
      <c r="Y197" s="475">
        <v>0</v>
      </c>
      <c r="Z197" s="475">
        <v>0</v>
      </c>
      <c r="AA197" s="475">
        <v>0</v>
      </c>
      <c r="AB197" s="475">
        <f t="shared" si="470"/>
        <v>0</v>
      </c>
      <c r="AC197" s="475">
        <f t="shared" si="471"/>
        <v>0</v>
      </c>
      <c r="AD197" s="70">
        <f t="shared" si="472"/>
        <v>0</v>
      </c>
      <c r="AE197" s="70">
        <f t="shared" si="473"/>
        <v>0</v>
      </c>
      <c r="AF197" s="475">
        <v>0</v>
      </c>
      <c r="AG197" s="475">
        <v>0</v>
      </c>
      <c r="AH197" s="475">
        <f t="shared" si="474"/>
        <v>0</v>
      </c>
      <c r="AI197" s="475">
        <f t="shared" si="475"/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476">
        <f t="shared" si="476"/>
        <v>0</v>
      </c>
      <c r="AS197" s="476">
        <f t="shared" si="477"/>
        <v>0</v>
      </c>
      <c r="AT197" s="478">
        <f t="shared" si="478"/>
        <v>0</v>
      </c>
      <c r="AU197" s="484">
        <f t="shared" si="479"/>
        <v>22610</v>
      </c>
      <c r="AV197" s="475">
        <f t="shared" si="480"/>
        <v>12538</v>
      </c>
      <c r="AW197" s="475">
        <f t="shared" si="481"/>
        <v>3500</v>
      </c>
      <c r="AX197" s="475">
        <f t="shared" si="482"/>
        <v>5421</v>
      </c>
      <c r="AY197" s="475">
        <f t="shared" si="482"/>
        <v>251</v>
      </c>
      <c r="AZ197" s="475">
        <f t="shared" si="483"/>
        <v>900</v>
      </c>
      <c r="BA197" s="476">
        <f t="shared" si="484"/>
        <v>0.06</v>
      </c>
      <c r="BB197" s="476">
        <f t="shared" si="485"/>
        <v>0</v>
      </c>
      <c r="BC197" s="478">
        <f t="shared" si="485"/>
        <v>0.06</v>
      </c>
    </row>
    <row r="198" spans="1:55" ht="12.75" customHeight="1" thickBot="1" x14ac:dyDescent="0.3">
      <c r="A198" s="228">
        <v>38</v>
      </c>
      <c r="B198" s="173">
        <v>5470</v>
      </c>
      <c r="C198" s="173">
        <v>600099091</v>
      </c>
      <c r="D198" s="173">
        <v>70695822</v>
      </c>
      <c r="E198" s="424" t="s">
        <v>555</v>
      </c>
      <c r="F198" s="50"/>
      <c r="G198" s="424"/>
      <c r="H198" s="194"/>
      <c r="I198" s="595">
        <v>11041026</v>
      </c>
      <c r="J198" s="596">
        <v>7797680</v>
      </c>
      <c r="K198" s="596">
        <v>254000</v>
      </c>
      <c r="L198" s="596">
        <v>2721468</v>
      </c>
      <c r="M198" s="596">
        <v>155954</v>
      </c>
      <c r="N198" s="596">
        <v>111924</v>
      </c>
      <c r="O198" s="597">
        <v>18.449000000000002</v>
      </c>
      <c r="P198" s="597">
        <v>13.667200000000001</v>
      </c>
      <c r="Q198" s="598">
        <v>4.7817999999999996</v>
      </c>
      <c r="R198" s="751">
        <f t="shared" ref="R198:BC198" si="486">SUM(R192:R197)</f>
        <v>0</v>
      </c>
      <c r="S198" s="752">
        <f t="shared" si="486"/>
        <v>0</v>
      </c>
      <c r="T198" s="752">
        <f t="shared" si="486"/>
        <v>271837</v>
      </c>
      <c r="U198" s="752">
        <f t="shared" si="486"/>
        <v>0</v>
      </c>
      <c r="V198" s="752">
        <f t="shared" si="486"/>
        <v>0</v>
      </c>
      <c r="W198" s="752">
        <f t="shared" si="486"/>
        <v>0</v>
      </c>
      <c r="X198" s="752">
        <f t="shared" si="486"/>
        <v>271837</v>
      </c>
      <c r="Y198" s="752">
        <f t="shared" si="486"/>
        <v>0</v>
      </c>
      <c r="Z198" s="752">
        <f t="shared" si="486"/>
        <v>0</v>
      </c>
      <c r="AA198" s="752">
        <f t="shared" si="486"/>
        <v>0</v>
      </c>
      <c r="AB198" s="752">
        <f t="shared" si="486"/>
        <v>0</v>
      </c>
      <c r="AC198" s="752">
        <f t="shared" si="486"/>
        <v>271837</v>
      </c>
      <c r="AD198" s="752">
        <f t="shared" si="486"/>
        <v>91881</v>
      </c>
      <c r="AE198" s="752">
        <f t="shared" si="486"/>
        <v>5437</v>
      </c>
      <c r="AF198" s="752">
        <f t="shared" si="486"/>
        <v>0</v>
      </c>
      <c r="AG198" s="752">
        <f t="shared" si="486"/>
        <v>0</v>
      </c>
      <c r="AH198" s="752">
        <f t="shared" si="486"/>
        <v>0</v>
      </c>
      <c r="AI198" s="752">
        <f t="shared" si="486"/>
        <v>369155</v>
      </c>
      <c r="AJ198" s="753">
        <f t="shared" si="486"/>
        <v>0</v>
      </c>
      <c r="AK198" s="753">
        <f t="shared" si="486"/>
        <v>0</v>
      </c>
      <c r="AL198" s="753">
        <f t="shared" si="486"/>
        <v>0</v>
      </c>
      <c r="AM198" s="753">
        <f t="shared" si="486"/>
        <v>0.56999999999999995</v>
      </c>
      <c r="AN198" s="753">
        <f t="shared" si="486"/>
        <v>0.04</v>
      </c>
      <c r="AO198" s="753">
        <f t="shared" si="486"/>
        <v>0</v>
      </c>
      <c r="AP198" s="753">
        <f t="shared" si="486"/>
        <v>0</v>
      </c>
      <c r="AQ198" s="753">
        <f t="shared" si="486"/>
        <v>0</v>
      </c>
      <c r="AR198" s="753">
        <f t="shared" si="486"/>
        <v>0.56999999999999995</v>
      </c>
      <c r="AS198" s="753">
        <f t="shared" si="486"/>
        <v>0.04</v>
      </c>
      <c r="AT198" s="754">
        <f t="shared" si="486"/>
        <v>0.61</v>
      </c>
      <c r="AU198" s="600">
        <f t="shared" si="486"/>
        <v>11410181</v>
      </c>
      <c r="AV198" s="596">
        <f t="shared" si="486"/>
        <v>8069517</v>
      </c>
      <c r="AW198" s="596">
        <f t="shared" si="486"/>
        <v>254000</v>
      </c>
      <c r="AX198" s="596">
        <f t="shared" si="486"/>
        <v>2813349</v>
      </c>
      <c r="AY198" s="596">
        <f t="shared" si="486"/>
        <v>161391</v>
      </c>
      <c r="AZ198" s="596">
        <f t="shared" si="486"/>
        <v>111924</v>
      </c>
      <c r="BA198" s="597">
        <f t="shared" si="486"/>
        <v>19.058999999999997</v>
      </c>
      <c r="BB198" s="597">
        <f t="shared" si="486"/>
        <v>14.237200000000001</v>
      </c>
      <c r="BC198" s="599">
        <f t="shared" si="486"/>
        <v>4.8217999999999988</v>
      </c>
    </row>
    <row r="199" spans="1:55" ht="12.75" customHeight="1" thickBot="1" x14ac:dyDescent="0.3">
      <c r="A199" s="425"/>
      <c r="B199" s="426"/>
      <c r="C199" s="426"/>
      <c r="D199" s="426"/>
      <c r="E199" s="333" t="s">
        <v>796</v>
      </c>
      <c r="F199" s="426"/>
      <c r="G199" s="427"/>
      <c r="H199" s="428"/>
      <c r="I199" s="601">
        <f t="shared" ref="I199:BC199" si="487">I198+I191+I185+I179+I172+I166+I162+I156+I153+I148+I145+I138+I135+I132+I126+I122+I116+I113+I106+I100+I96+I90+I86+I79+I77+I70+I65+I59+I53+I47+I45+I41+I38+I34+I30+I26+I22+I18</f>
        <v>462706069</v>
      </c>
      <c r="J199" s="602">
        <f t="shared" si="487"/>
        <v>333894982</v>
      </c>
      <c r="K199" s="602">
        <f t="shared" si="487"/>
        <v>2342770</v>
      </c>
      <c r="L199" s="602">
        <f t="shared" si="487"/>
        <v>113648357</v>
      </c>
      <c r="M199" s="602">
        <f t="shared" si="487"/>
        <v>6677899</v>
      </c>
      <c r="N199" s="602">
        <f t="shared" si="487"/>
        <v>6142061</v>
      </c>
      <c r="O199" s="603">
        <f t="shared" si="487"/>
        <v>698.01880000000017</v>
      </c>
      <c r="P199" s="603">
        <f t="shared" si="487"/>
        <v>485.1454</v>
      </c>
      <c r="Q199" s="604">
        <f t="shared" si="487"/>
        <v>212.87339999999995</v>
      </c>
      <c r="R199" s="747">
        <f t="shared" si="487"/>
        <v>0</v>
      </c>
      <c r="S199" s="748">
        <f t="shared" si="487"/>
        <v>-93911</v>
      </c>
      <c r="T199" s="748">
        <f t="shared" si="487"/>
        <v>2102947</v>
      </c>
      <c r="U199" s="748">
        <f t="shared" si="487"/>
        <v>-26730</v>
      </c>
      <c r="V199" s="748">
        <f t="shared" si="487"/>
        <v>-22091</v>
      </c>
      <c r="W199" s="748">
        <f t="shared" si="487"/>
        <v>0</v>
      </c>
      <c r="X199" s="748">
        <f t="shared" si="487"/>
        <v>1960215</v>
      </c>
      <c r="Y199" s="748">
        <f t="shared" si="487"/>
        <v>0</v>
      </c>
      <c r="Z199" s="748">
        <f t="shared" si="487"/>
        <v>0</v>
      </c>
      <c r="AA199" s="748">
        <f t="shared" si="487"/>
        <v>0</v>
      </c>
      <c r="AB199" s="748">
        <f t="shared" si="487"/>
        <v>0</v>
      </c>
      <c r="AC199" s="748">
        <f t="shared" si="487"/>
        <v>1960215</v>
      </c>
      <c r="AD199" s="748">
        <f t="shared" si="487"/>
        <v>662554</v>
      </c>
      <c r="AE199" s="748">
        <f t="shared" si="487"/>
        <v>39207</v>
      </c>
      <c r="AF199" s="748">
        <f t="shared" si="487"/>
        <v>4500</v>
      </c>
      <c r="AG199" s="748">
        <f t="shared" si="487"/>
        <v>30000</v>
      </c>
      <c r="AH199" s="748">
        <f t="shared" si="487"/>
        <v>34500</v>
      </c>
      <c r="AI199" s="748">
        <f t="shared" si="487"/>
        <v>2696476</v>
      </c>
      <c r="AJ199" s="749">
        <f t="shared" si="487"/>
        <v>0</v>
      </c>
      <c r="AK199" s="749">
        <f t="shared" si="487"/>
        <v>0</v>
      </c>
      <c r="AL199" s="749">
        <f t="shared" si="487"/>
        <v>-0.24</v>
      </c>
      <c r="AM199" s="749">
        <f t="shared" si="487"/>
        <v>3.8</v>
      </c>
      <c r="AN199" s="749">
        <f t="shared" si="487"/>
        <v>-0.15</v>
      </c>
      <c r="AO199" s="749">
        <f t="shared" si="487"/>
        <v>0</v>
      </c>
      <c r="AP199" s="749">
        <f t="shared" si="487"/>
        <v>0</v>
      </c>
      <c r="AQ199" s="749">
        <f t="shared" si="487"/>
        <v>-0.05</v>
      </c>
      <c r="AR199" s="749">
        <f t="shared" si="487"/>
        <v>3.5599999999999996</v>
      </c>
      <c r="AS199" s="749">
        <f t="shared" si="487"/>
        <v>-0.2</v>
      </c>
      <c r="AT199" s="750">
        <f t="shared" si="487"/>
        <v>3.3600000000000003</v>
      </c>
      <c r="AU199" s="606">
        <f t="shared" si="487"/>
        <v>465402545</v>
      </c>
      <c r="AV199" s="602">
        <f t="shared" si="487"/>
        <v>335855197</v>
      </c>
      <c r="AW199" s="602">
        <f t="shared" si="487"/>
        <v>2342770</v>
      </c>
      <c r="AX199" s="602">
        <f t="shared" si="487"/>
        <v>114310911</v>
      </c>
      <c r="AY199" s="602">
        <f t="shared" si="487"/>
        <v>6717106</v>
      </c>
      <c r="AZ199" s="602">
        <f t="shared" si="487"/>
        <v>6176561</v>
      </c>
      <c r="BA199" s="603">
        <f t="shared" si="487"/>
        <v>701.37880000000018</v>
      </c>
      <c r="BB199" s="603">
        <f t="shared" si="487"/>
        <v>488.7054</v>
      </c>
      <c r="BC199" s="605">
        <f t="shared" si="487"/>
        <v>212.67339999999999</v>
      </c>
    </row>
    <row r="200" spans="1:55" s="342" customFormat="1" ht="12.75" customHeight="1" x14ac:dyDescent="0.25">
      <c r="A200" s="429"/>
      <c r="B200" s="278"/>
      <c r="C200" s="278"/>
      <c r="D200" s="278"/>
      <c r="E200" s="338"/>
      <c r="F200" s="337"/>
      <c r="G200" s="278"/>
      <c r="H200" s="430"/>
      <c r="I200" s="490">
        <f>SUM(J199:N199)</f>
        <v>462706069</v>
      </c>
      <c r="J200" s="490"/>
      <c r="K200" s="490"/>
      <c r="L200" s="490"/>
      <c r="M200" s="490"/>
      <c r="N200" s="490"/>
      <c r="O200" s="491">
        <f>SUM(P199:Q199)</f>
        <v>698.01879999999994</v>
      </c>
      <c r="P200" s="491"/>
      <c r="Q200" s="491"/>
      <c r="R200" s="490">
        <f>Y199</f>
        <v>0</v>
      </c>
      <c r="S200" s="491"/>
      <c r="T200" s="491"/>
      <c r="U200" s="491"/>
      <c r="V200" s="491"/>
      <c r="W200" s="491"/>
      <c r="X200" s="497">
        <f>SUM(R199:W199)</f>
        <v>1960215</v>
      </c>
      <c r="Y200" s="497">
        <f>R199</f>
        <v>0</v>
      </c>
      <c r="Z200" s="498"/>
      <c r="AA200" s="498"/>
      <c r="AB200" s="497">
        <f>SUM(Y199:AA199)</f>
        <v>0</v>
      </c>
      <c r="AC200" s="497">
        <f>X199+AB199</f>
        <v>1960215</v>
      </c>
      <c r="AD200" s="499"/>
      <c r="AE200" s="499"/>
      <c r="AF200" s="498"/>
      <c r="AG200" s="498"/>
      <c r="AH200" s="497">
        <f>SUM(AF199:AG199)</f>
        <v>34500</v>
      </c>
      <c r="AI200" s="497">
        <f>AC199+AD199+AE199+AH199</f>
        <v>2696476</v>
      </c>
      <c r="AJ200" s="500"/>
      <c r="AK200" s="500"/>
      <c r="AL200" s="500"/>
      <c r="AM200" s="500"/>
      <c r="AN200" s="500"/>
      <c r="AO200" s="500"/>
      <c r="AP200" s="500"/>
      <c r="AQ200" s="500"/>
      <c r="AR200" s="706">
        <f>AJ199+AL199+AM199+AO199+AP199</f>
        <v>3.5599999999999996</v>
      </c>
      <c r="AS200" s="706">
        <f>AK199+AN199+AQ199</f>
        <v>-0.2</v>
      </c>
      <c r="AT200" s="706">
        <f>SUM(AR199:AS199)</f>
        <v>3.3599999999999994</v>
      </c>
      <c r="AU200" s="490">
        <f>SUM(AV199:AZ199)</f>
        <v>465402545</v>
      </c>
      <c r="AV200" s="55"/>
      <c r="AW200" s="55"/>
      <c r="AX200" s="55"/>
      <c r="AY200" s="55"/>
      <c r="AZ200" s="55"/>
      <c r="BA200" s="491">
        <f>SUM(BB199:BC199)</f>
        <v>701.37879999999996</v>
      </c>
      <c r="BB200" s="93"/>
      <c r="BC200" s="93"/>
    </row>
    <row r="201" spans="1:55" s="342" customFormat="1" ht="12.95" customHeight="1" thickBot="1" x14ac:dyDescent="0.3">
      <c r="A201" s="429"/>
      <c r="B201" s="278"/>
      <c r="C201" s="278"/>
      <c r="D201" s="278"/>
      <c r="E201" s="278"/>
      <c r="F201" s="337"/>
      <c r="G201" s="278"/>
      <c r="H201" s="430"/>
      <c r="I201" s="91">
        <f>SUM(J202:N202)</f>
        <v>462706069</v>
      </c>
      <c r="J201" s="53"/>
      <c r="K201" s="53"/>
      <c r="L201" s="496"/>
      <c r="M201" s="496"/>
      <c r="N201" s="53"/>
      <c r="O201" s="92">
        <f>SUM(P202:Q202)</f>
        <v>698.01880000000006</v>
      </c>
      <c r="P201" s="183"/>
      <c r="Q201" s="183"/>
      <c r="R201" s="491"/>
      <c r="S201" s="491"/>
      <c r="T201" s="491"/>
      <c r="U201" s="491"/>
      <c r="V201" s="491"/>
      <c r="W201" s="491"/>
      <c r="X201" s="497">
        <f>SUM(R202:W202)</f>
        <v>1960215</v>
      </c>
      <c r="Y201" s="498"/>
      <c r="Z201" s="498"/>
      <c r="AA201" s="498"/>
      <c r="AB201" s="497">
        <f>SUM(Y202:AA202)</f>
        <v>0</v>
      </c>
      <c r="AC201" s="497">
        <f>X202+AB202</f>
        <v>1960215</v>
      </c>
      <c r="AD201" s="499"/>
      <c r="AE201" s="499"/>
      <c r="AF201" s="498"/>
      <c r="AG201" s="498"/>
      <c r="AH201" s="497">
        <f>SUM(AF202:AG202)</f>
        <v>34500</v>
      </c>
      <c r="AI201" s="497">
        <f>AC202+AD202+AE202+AH202</f>
        <v>2696476</v>
      </c>
      <c r="AJ201" s="500"/>
      <c r="AK201" s="500"/>
      <c r="AL201" s="500"/>
      <c r="AM201" s="500"/>
      <c r="AN201" s="500"/>
      <c r="AO201" s="500"/>
      <c r="AP201" s="500"/>
      <c r="AQ201" s="500"/>
      <c r="AR201" s="663">
        <f>AJ202+AL202+AM202+AO202+AP202</f>
        <v>3.5600000000000005</v>
      </c>
      <c r="AS201" s="663">
        <f>AK202+AN202+AQ202</f>
        <v>-0.19999999999999996</v>
      </c>
      <c r="AT201" s="663">
        <f>SUM(AR202:AS202)</f>
        <v>3.3600000000000003</v>
      </c>
      <c r="AU201" s="490">
        <f>SUM(AV202:AZ202)</f>
        <v>465402545</v>
      </c>
      <c r="AV201" s="55"/>
      <c r="AW201" s="55"/>
      <c r="AX201" s="55"/>
      <c r="AY201" s="55"/>
      <c r="AZ201" s="55"/>
      <c r="BA201" s="491">
        <f>SUM(BB202:BC202)</f>
        <v>701.37880000000007</v>
      </c>
      <c r="BB201" s="93"/>
      <c r="BC201" s="93"/>
    </row>
    <row r="202" spans="1:55" s="95" customFormat="1" ht="12.95" customHeight="1" thickBot="1" x14ac:dyDescent="0.3">
      <c r="A202" s="339"/>
      <c r="D202" s="339"/>
      <c r="E202" s="340"/>
      <c r="F202" s="339"/>
      <c r="G202" s="341"/>
      <c r="H202" s="517" t="s">
        <v>0</v>
      </c>
      <c r="I202" s="146">
        <f t="shared" ref="I202:BC202" si="488">SUM(I203:I212)</f>
        <v>462706069</v>
      </c>
      <c r="J202" s="34">
        <f t="shared" si="488"/>
        <v>333894982</v>
      </c>
      <c r="K202" s="34">
        <f t="shared" si="488"/>
        <v>2342770</v>
      </c>
      <c r="L202" s="34">
        <f t="shared" si="488"/>
        <v>113648357</v>
      </c>
      <c r="M202" s="34">
        <f t="shared" si="488"/>
        <v>6677899</v>
      </c>
      <c r="N202" s="34">
        <f t="shared" si="488"/>
        <v>6142061</v>
      </c>
      <c r="O202" s="35">
        <f t="shared" si="488"/>
        <v>698.01879999999994</v>
      </c>
      <c r="P202" s="35">
        <f t="shared" si="488"/>
        <v>485.14540000000005</v>
      </c>
      <c r="Q202" s="155">
        <f t="shared" si="488"/>
        <v>212.87339999999998</v>
      </c>
      <c r="R202" s="146">
        <f t="shared" si="488"/>
        <v>0</v>
      </c>
      <c r="S202" s="34">
        <f t="shared" si="488"/>
        <v>-93911</v>
      </c>
      <c r="T202" s="34">
        <f t="shared" si="488"/>
        <v>2102947</v>
      </c>
      <c r="U202" s="34">
        <f t="shared" si="488"/>
        <v>-26730</v>
      </c>
      <c r="V202" s="34">
        <f t="shared" si="488"/>
        <v>-22091</v>
      </c>
      <c r="W202" s="34">
        <f t="shared" si="488"/>
        <v>0</v>
      </c>
      <c r="X202" s="34">
        <f t="shared" si="488"/>
        <v>1960215</v>
      </c>
      <c r="Y202" s="34">
        <f t="shared" si="488"/>
        <v>0</v>
      </c>
      <c r="Z202" s="34">
        <f t="shared" si="488"/>
        <v>0</v>
      </c>
      <c r="AA202" s="34">
        <f t="shared" si="488"/>
        <v>0</v>
      </c>
      <c r="AB202" s="34">
        <f t="shared" si="488"/>
        <v>0</v>
      </c>
      <c r="AC202" s="34">
        <f t="shared" si="488"/>
        <v>1960215</v>
      </c>
      <c r="AD202" s="34">
        <f t="shared" si="488"/>
        <v>662554</v>
      </c>
      <c r="AE202" s="34">
        <f t="shared" si="488"/>
        <v>39207</v>
      </c>
      <c r="AF202" s="34">
        <f t="shared" si="488"/>
        <v>4500</v>
      </c>
      <c r="AG202" s="34">
        <f t="shared" si="488"/>
        <v>30000</v>
      </c>
      <c r="AH202" s="34">
        <f t="shared" si="488"/>
        <v>34500</v>
      </c>
      <c r="AI202" s="34">
        <f t="shared" si="488"/>
        <v>2696476</v>
      </c>
      <c r="AJ202" s="35">
        <f t="shared" si="488"/>
        <v>0</v>
      </c>
      <c r="AK202" s="35">
        <f t="shared" si="488"/>
        <v>0</v>
      </c>
      <c r="AL202" s="35">
        <f t="shared" si="488"/>
        <v>-0.24</v>
      </c>
      <c r="AM202" s="35">
        <f t="shared" si="488"/>
        <v>3.8000000000000003</v>
      </c>
      <c r="AN202" s="35">
        <f t="shared" si="488"/>
        <v>-0.14999999999999994</v>
      </c>
      <c r="AO202" s="35">
        <f t="shared" si="488"/>
        <v>0</v>
      </c>
      <c r="AP202" s="35">
        <f t="shared" si="488"/>
        <v>0</v>
      </c>
      <c r="AQ202" s="35">
        <f t="shared" si="488"/>
        <v>-0.05</v>
      </c>
      <c r="AR202" s="35">
        <f t="shared" si="488"/>
        <v>3.5600000000000005</v>
      </c>
      <c r="AS202" s="35">
        <f t="shared" si="488"/>
        <v>-0.19999999999999996</v>
      </c>
      <c r="AT202" s="155">
        <f t="shared" si="488"/>
        <v>3.3600000000000003</v>
      </c>
      <c r="AU202" s="146">
        <f t="shared" si="488"/>
        <v>465402545</v>
      </c>
      <c r="AV202" s="34">
        <f t="shared" si="488"/>
        <v>335855197</v>
      </c>
      <c r="AW202" s="34">
        <f t="shared" si="488"/>
        <v>2342770</v>
      </c>
      <c r="AX202" s="34">
        <f t="shared" si="488"/>
        <v>114310911</v>
      </c>
      <c r="AY202" s="34">
        <f t="shared" si="488"/>
        <v>6717106</v>
      </c>
      <c r="AZ202" s="34">
        <f t="shared" si="488"/>
        <v>6176561</v>
      </c>
      <c r="BA202" s="35">
        <f t="shared" si="488"/>
        <v>701.37880000000007</v>
      </c>
      <c r="BB202" s="35">
        <f t="shared" si="488"/>
        <v>488.70540000000005</v>
      </c>
      <c r="BC202" s="36">
        <f t="shared" si="488"/>
        <v>212.67340000000002</v>
      </c>
    </row>
    <row r="203" spans="1:55" s="95" customFormat="1" ht="12.95" customHeight="1" x14ac:dyDescent="0.25">
      <c r="A203" s="339"/>
      <c r="D203" s="339"/>
      <c r="E203" s="431"/>
      <c r="F203" s="339"/>
      <c r="G203" s="341"/>
      <c r="H203" s="518">
        <v>3111</v>
      </c>
      <c r="I203" s="618">
        <f t="shared" ref="I203:BC203" si="489">SUMIF($F$12:$F$464,"=3111",I$12:I$464)</f>
        <v>104761251</v>
      </c>
      <c r="J203" s="619">
        <f t="shared" si="489"/>
        <v>76249033</v>
      </c>
      <c r="K203" s="619">
        <f t="shared" si="489"/>
        <v>361220</v>
      </c>
      <c r="L203" s="619">
        <f t="shared" si="489"/>
        <v>25894267</v>
      </c>
      <c r="M203" s="619">
        <f t="shared" si="489"/>
        <v>1524981</v>
      </c>
      <c r="N203" s="619">
        <f t="shared" si="489"/>
        <v>731750</v>
      </c>
      <c r="O203" s="624">
        <f t="shared" si="489"/>
        <v>173.00389999999999</v>
      </c>
      <c r="P203" s="624">
        <f t="shared" si="489"/>
        <v>133.16630000000001</v>
      </c>
      <c r="Q203" s="625">
        <f t="shared" si="489"/>
        <v>39.837599999999995</v>
      </c>
      <c r="R203" s="618">
        <f t="shared" si="489"/>
        <v>0</v>
      </c>
      <c r="S203" s="619">
        <f t="shared" si="489"/>
        <v>-41954</v>
      </c>
      <c r="T203" s="619">
        <f t="shared" si="489"/>
        <v>1219791</v>
      </c>
      <c r="U203" s="619">
        <f t="shared" si="489"/>
        <v>0</v>
      </c>
      <c r="V203" s="619">
        <f t="shared" si="489"/>
        <v>-22091</v>
      </c>
      <c r="W203" s="619">
        <f t="shared" si="489"/>
        <v>0</v>
      </c>
      <c r="X203" s="619">
        <f t="shared" si="489"/>
        <v>1155746</v>
      </c>
      <c r="Y203" s="619">
        <f t="shared" si="489"/>
        <v>0</v>
      </c>
      <c r="Z203" s="619">
        <f t="shared" si="489"/>
        <v>0</v>
      </c>
      <c r="AA203" s="619">
        <f t="shared" si="489"/>
        <v>0</v>
      </c>
      <c r="AB203" s="619">
        <f t="shared" si="489"/>
        <v>0</v>
      </c>
      <c r="AC203" s="619">
        <f t="shared" si="489"/>
        <v>1155746</v>
      </c>
      <c r="AD203" s="619">
        <f t="shared" si="489"/>
        <v>390643</v>
      </c>
      <c r="AE203" s="619">
        <f t="shared" si="489"/>
        <v>23115</v>
      </c>
      <c r="AF203" s="619">
        <f t="shared" si="489"/>
        <v>0</v>
      </c>
      <c r="AG203" s="619">
        <f t="shared" si="489"/>
        <v>30000</v>
      </c>
      <c r="AH203" s="619">
        <f t="shared" si="489"/>
        <v>30000</v>
      </c>
      <c r="AI203" s="619">
        <f t="shared" si="489"/>
        <v>1599504</v>
      </c>
      <c r="AJ203" s="624">
        <f t="shared" si="489"/>
        <v>0</v>
      </c>
      <c r="AK203" s="624">
        <f t="shared" si="489"/>
        <v>0</v>
      </c>
      <c r="AL203" s="624">
        <f t="shared" si="489"/>
        <v>-0.08</v>
      </c>
      <c r="AM203" s="624">
        <f t="shared" si="489"/>
        <v>2.4600000000000004</v>
      </c>
      <c r="AN203" s="624">
        <f t="shared" si="489"/>
        <v>0</v>
      </c>
      <c r="AO203" s="624">
        <f t="shared" si="489"/>
        <v>0</v>
      </c>
      <c r="AP203" s="624">
        <f t="shared" si="489"/>
        <v>0</v>
      </c>
      <c r="AQ203" s="624">
        <f t="shared" si="489"/>
        <v>0</v>
      </c>
      <c r="AR203" s="624">
        <f t="shared" si="489"/>
        <v>2.3800000000000003</v>
      </c>
      <c r="AS203" s="624">
        <f t="shared" si="489"/>
        <v>0</v>
      </c>
      <c r="AT203" s="625">
        <f t="shared" si="489"/>
        <v>2.3800000000000003</v>
      </c>
      <c r="AU203" s="618">
        <f t="shared" si="489"/>
        <v>106360755</v>
      </c>
      <c r="AV203" s="619">
        <f t="shared" si="489"/>
        <v>77404779</v>
      </c>
      <c r="AW203" s="619">
        <f t="shared" si="489"/>
        <v>361220</v>
      </c>
      <c r="AX203" s="619">
        <f t="shared" si="489"/>
        <v>26284910</v>
      </c>
      <c r="AY203" s="619">
        <f t="shared" si="489"/>
        <v>1548096</v>
      </c>
      <c r="AZ203" s="619">
        <f t="shared" si="489"/>
        <v>761750</v>
      </c>
      <c r="BA203" s="624">
        <f t="shared" si="489"/>
        <v>175.38390000000001</v>
      </c>
      <c r="BB203" s="624">
        <f t="shared" si="489"/>
        <v>135.5463</v>
      </c>
      <c r="BC203" s="627">
        <f t="shared" si="489"/>
        <v>39.837599999999995</v>
      </c>
    </row>
    <row r="204" spans="1:55" s="95" customFormat="1" ht="12.95" customHeight="1" x14ac:dyDescent="0.25">
      <c r="A204" s="339"/>
      <c r="D204" s="339"/>
      <c r="E204" s="431"/>
      <c r="F204" s="339"/>
      <c r="G204" s="341"/>
      <c r="H204" s="2">
        <v>3113</v>
      </c>
      <c r="I204" s="174">
        <f t="shared" ref="I204:BC204" si="490">SUMIF($F$12:$F$464,"=3113",I$12:I$464)</f>
        <v>193871039</v>
      </c>
      <c r="J204" s="16">
        <f t="shared" si="490"/>
        <v>139143345</v>
      </c>
      <c r="K204" s="16">
        <f t="shared" si="490"/>
        <v>819860</v>
      </c>
      <c r="L204" s="16">
        <f t="shared" si="490"/>
        <v>47307563</v>
      </c>
      <c r="M204" s="16">
        <f t="shared" si="490"/>
        <v>2782865</v>
      </c>
      <c r="N204" s="16">
        <f t="shared" si="490"/>
        <v>3817406</v>
      </c>
      <c r="O204" s="13">
        <f t="shared" si="490"/>
        <v>258.72119999999995</v>
      </c>
      <c r="P204" s="13">
        <f t="shared" si="490"/>
        <v>207.24259999999998</v>
      </c>
      <c r="Q204" s="176">
        <f t="shared" si="490"/>
        <v>51.478599999999986</v>
      </c>
      <c r="R204" s="174">
        <f t="shared" si="490"/>
        <v>0</v>
      </c>
      <c r="S204" s="16">
        <f t="shared" si="490"/>
        <v>-51957</v>
      </c>
      <c r="T204" s="16">
        <f t="shared" si="490"/>
        <v>466021</v>
      </c>
      <c r="U204" s="16">
        <f t="shared" si="490"/>
        <v>0</v>
      </c>
      <c r="V204" s="16">
        <f t="shared" si="490"/>
        <v>0</v>
      </c>
      <c r="W204" s="16">
        <f t="shared" si="490"/>
        <v>0</v>
      </c>
      <c r="X204" s="16">
        <f t="shared" si="490"/>
        <v>414064</v>
      </c>
      <c r="Y204" s="16">
        <f t="shared" si="490"/>
        <v>0</v>
      </c>
      <c r="Z204" s="16">
        <f t="shared" si="490"/>
        <v>0</v>
      </c>
      <c r="AA204" s="16">
        <f t="shared" si="490"/>
        <v>0</v>
      </c>
      <c r="AB204" s="16">
        <f t="shared" si="490"/>
        <v>0</v>
      </c>
      <c r="AC204" s="16">
        <f t="shared" si="490"/>
        <v>414064</v>
      </c>
      <c r="AD204" s="16">
        <f t="shared" si="490"/>
        <v>139955</v>
      </c>
      <c r="AE204" s="16">
        <f t="shared" si="490"/>
        <v>8281</v>
      </c>
      <c r="AF204" s="16">
        <f t="shared" si="490"/>
        <v>4500</v>
      </c>
      <c r="AG204" s="16">
        <f t="shared" si="490"/>
        <v>0</v>
      </c>
      <c r="AH204" s="16">
        <f t="shared" si="490"/>
        <v>4500</v>
      </c>
      <c r="AI204" s="16">
        <f t="shared" si="490"/>
        <v>566800</v>
      </c>
      <c r="AJ204" s="13">
        <f t="shared" si="490"/>
        <v>0</v>
      </c>
      <c r="AK204" s="13">
        <f t="shared" si="490"/>
        <v>0</v>
      </c>
      <c r="AL204" s="13">
        <f t="shared" si="490"/>
        <v>-0.16</v>
      </c>
      <c r="AM204" s="13">
        <f t="shared" si="490"/>
        <v>0.74</v>
      </c>
      <c r="AN204" s="13">
        <f t="shared" si="490"/>
        <v>0</v>
      </c>
      <c r="AO204" s="13">
        <f t="shared" si="490"/>
        <v>0</v>
      </c>
      <c r="AP204" s="13">
        <f t="shared" si="490"/>
        <v>0</v>
      </c>
      <c r="AQ204" s="13">
        <f t="shared" si="490"/>
        <v>0</v>
      </c>
      <c r="AR204" s="13">
        <f t="shared" si="490"/>
        <v>0.57999999999999996</v>
      </c>
      <c r="AS204" s="13">
        <f t="shared" si="490"/>
        <v>0</v>
      </c>
      <c r="AT204" s="176">
        <f t="shared" si="490"/>
        <v>0.57999999999999996</v>
      </c>
      <c r="AU204" s="174">
        <f t="shared" si="490"/>
        <v>194437839</v>
      </c>
      <c r="AV204" s="16">
        <f t="shared" si="490"/>
        <v>139557409</v>
      </c>
      <c r="AW204" s="16">
        <f t="shared" si="490"/>
        <v>819860</v>
      </c>
      <c r="AX204" s="16">
        <f t="shared" si="490"/>
        <v>47447518</v>
      </c>
      <c r="AY204" s="16">
        <f t="shared" si="490"/>
        <v>2791146</v>
      </c>
      <c r="AZ204" s="16">
        <f t="shared" si="490"/>
        <v>3821906</v>
      </c>
      <c r="BA204" s="13">
        <f t="shared" si="490"/>
        <v>259.30119999999999</v>
      </c>
      <c r="BB204" s="13">
        <f t="shared" si="490"/>
        <v>207.82259999999999</v>
      </c>
      <c r="BC204" s="17">
        <f t="shared" si="490"/>
        <v>51.478599999999986</v>
      </c>
    </row>
    <row r="205" spans="1:55" s="95" customFormat="1" ht="12.95" customHeight="1" x14ac:dyDescent="0.25">
      <c r="A205" s="339"/>
      <c r="D205" s="339"/>
      <c r="E205" s="431"/>
      <c r="F205" s="339"/>
      <c r="G205" s="341"/>
      <c r="H205" s="2">
        <v>3114</v>
      </c>
      <c r="I205" s="174">
        <f t="shared" ref="I205:BC205" si="491">SUMIF($F$12:$F$464,"=3114",I$12:I$464)</f>
        <v>24824871</v>
      </c>
      <c r="J205" s="16">
        <f t="shared" si="491"/>
        <v>18016652</v>
      </c>
      <c r="K205" s="16">
        <f t="shared" si="491"/>
        <v>120000</v>
      </c>
      <c r="L205" s="16">
        <f t="shared" si="491"/>
        <v>6130188</v>
      </c>
      <c r="M205" s="16">
        <f t="shared" si="491"/>
        <v>360331</v>
      </c>
      <c r="N205" s="16">
        <f t="shared" si="491"/>
        <v>197700</v>
      </c>
      <c r="O205" s="13">
        <f t="shared" si="491"/>
        <v>35.885899999999999</v>
      </c>
      <c r="P205" s="13">
        <f t="shared" si="491"/>
        <v>28.494900000000001</v>
      </c>
      <c r="Q205" s="176">
        <f t="shared" si="491"/>
        <v>7.391</v>
      </c>
      <c r="R205" s="174">
        <f t="shared" si="491"/>
        <v>0</v>
      </c>
      <c r="S205" s="16">
        <f t="shared" si="491"/>
        <v>0</v>
      </c>
      <c r="T205" s="16">
        <f t="shared" si="491"/>
        <v>-75642</v>
      </c>
      <c r="U205" s="16">
        <f t="shared" si="491"/>
        <v>0</v>
      </c>
      <c r="V205" s="16">
        <f t="shared" si="491"/>
        <v>0</v>
      </c>
      <c r="W205" s="16">
        <f t="shared" si="491"/>
        <v>0</v>
      </c>
      <c r="X205" s="16">
        <f t="shared" si="491"/>
        <v>-75642</v>
      </c>
      <c r="Y205" s="16">
        <f t="shared" si="491"/>
        <v>0</v>
      </c>
      <c r="Z205" s="16">
        <f t="shared" si="491"/>
        <v>0</v>
      </c>
      <c r="AA205" s="16">
        <f t="shared" si="491"/>
        <v>0</v>
      </c>
      <c r="AB205" s="16">
        <f t="shared" si="491"/>
        <v>0</v>
      </c>
      <c r="AC205" s="16">
        <f t="shared" si="491"/>
        <v>-75642</v>
      </c>
      <c r="AD205" s="16">
        <f t="shared" si="491"/>
        <v>-25567</v>
      </c>
      <c r="AE205" s="16">
        <f t="shared" si="491"/>
        <v>-1513</v>
      </c>
      <c r="AF205" s="16">
        <f t="shared" si="491"/>
        <v>0</v>
      </c>
      <c r="AG205" s="16">
        <f t="shared" si="491"/>
        <v>0</v>
      </c>
      <c r="AH205" s="16">
        <f t="shared" si="491"/>
        <v>0</v>
      </c>
      <c r="AI205" s="16">
        <f t="shared" si="491"/>
        <v>-102722</v>
      </c>
      <c r="AJ205" s="13">
        <f t="shared" si="491"/>
        <v>0</v>
      </c>
      <c r="AK205" s="13">
        <f t="shared" si="491"/>
        <v>0</v>
      </c>
      <c r="AL205" s="13">
        <f t="shared" si="491"/>
        <v>0</v>
      </c>
      <c r="AM205" s="13">
        <f t="shared" si="491"/>
        <v>-0.42</v>
      </c>
      <c r="AN205" s="13">
        <f t="shared" si="491"/>
        <v>0</v>
      </c>
      <c r="AO205" s="13">
        <f t="shared" si="491"/>
        <v>0</v>
      </c>
      <c r="AP205" s="13">
        <f t="shared" si="491"/>
        <v>0</v>
      </c>
      <c r="AQ205" s="13">
        <f t="shared" si="491"/>
        <v>0</v>
      </c>
      <c r="AR205" s="13">
        <f t="shared" si="491"/>
        <v>-0.42</v>
      </c>
      <c r="AS205" s="13">
        <f t="shared" si="491"/>
        <v>0</v>
      </c>
      <c r="AT205" s="176">
        <f t="shared" si="491"/>
        <v>-0.42</v>
      </c>
      <c r="AU205" s="174">
        <f t="shared" si="491"/>
        <v>24722149</v>
      </c>
      <c r="AV205" s="16">
        <f t="shared" si="491"/>
        <v>17941010</v>
      </c>
      <c r="AW205" s="16">
        <f t="shared" si="491"/>
        <v>120000</v>
      </c>
      <c r="AX205" s="16">
        <f t="shared" si="491"/>
        <v>6104621</v>
      </c>
      <c r="AY205" s="16">
        <f t="shared" si="491"/>
        <v>358818</v>
      </c>
      <c r="AZ205" s="16">
        <f t="shared" si="491"/>
        <v>197700</v>
      </c>
      <c r="BA205" s="13">
        <f t="shared" si="491"/>
        <v>35.465899999999998</v>
      </c>
      <c r="BB205" s="13">
        <f t="shared" si="491"/>
        <v>28.074900000000003</v>
      </c>
      <c r="BC205" s="17">
        <f t="shared" si="491"/>
        <v>7.391</v>
      </c>
    </row>
    <row r="206" spans="1:55" s="95" customFormat="1" ht="12.95" customHeight="1" x14ac:dyDescent="0.25">
      <c r="A206" s="339"/>
      <c r="D206" s="339"/>
      <c r="E206" s="431"/>
      <c r="F206" s="339"/>
      <c r="G206" s="341"/>
      <c r="H206" s="2">
        <v>3117</v>
      </c>
      <c r="I206" s="174">
        <f t="shared" ref="I206:BC206" si="492">SUMIF($F$12:$F$464,"=3117",I$12:I$464)</f>
        <v>52187679</v>
      </c>
      <c r="J206" s="16">
        <f t="shared" si="492"/>
        <v>37345844</v>
      </c>
      <c r="K206" s="16">
        <f t="shared" si="492"/>
        <v>360040</v>
      </c>
      <c r="L206" s="16">
        <f t="shared" si="492"/>
        <v>12744586</v>
      </c>
      <c r="M206" s="16">
        <f t="shared" si="492"/>
        <v>746919</v>
      </c>
      <c r="N206" s="16">
        <f t="shared" si="492"/>
        <v>990290</v>
      </c>
      <c r="O206" s="13">
        <f t="shared" si="492"/>
        <v>72.682799999999986</v>
      </c>
      <c r="P206" s="13">
        <f t="shared" si="492"/>
        <v>52.109699999999997</v>
      </c>
      <c r="Q206" s="176">
        <f t="shared" si="492"/>
        <v>20.5731</v>
      </c>
      <c r="R206" s="174">
        <f t="shared" si="492"/>
        <v>0</v>
      </c>
      <c r="S206" s="16">
        <f t="shared" si="492"/>
        <v>0</v>
      </c>
      <c r="T206" s="16">
        <f t="shared" si="492"/>
        <v>187333</v>
      </c>
      <c r="U206" s="16">
        <f t="shared" si="492"/>
        <v>-26730</v>
      </c>
      <c r="V206" s="16">
        <f t="shared" si="492"/>
        <v>0</v>
      </c>
      <c r="W206" s="16">
        <f t="shared" si="492"/>
        <v>0</v>
      </c>
      <c r="X206" s="16">
        <f t="shared" si="492"/>
        <v>160603</v>
      </c>
      <c r="Y206" s="16">
        <f t="shared" si="492"/>
        <v>0</v>
      </c>
      <c r="Z206" s="16">
        <f t="shared" si="492"/>
        <v>0</v>
      </c>
      <c r="AA206" s="16">
        <f t="shared" si="492"/>
        <v>0</v>
      </c>
      <c r="AB206" s="16">
        <f t="shared" si="492"/>
        <v>0</v>
      </c>
      <c r="AC206" s="16">
        <f t="shared" si="492"/>
        <v>160603</v>
      </c>
      <c r="AD206" s="16">
        <f t="shared" si="492"/>
        <v>54284</v>
      </c>
      <c r="AE206" s="16">
        <f t="shared" si="492"/>
        <v>3212</v>
      </c>
      <c r="AF206" s="16">
        <f t="shared" si="492"/>
        <v>0</v>
      </c>
      <c r="AG206" s="16">
        <f t="shared" si="492"/>
        <v>0</v>
      </c>
      <c r="AH206" s="16">
        <f t="shared" si="492"/>
        <v>0</v>
      </c>
      <c r="AI206" s="16">
        <f t="shared" si="492"/>
        <v>218099</v>
      </c>
      <c r="AJ206" s="13">
        <f t="shared" si="492"/>
        <v>0</v>
      </c>
      <c r="AK206" s="13">
        <f t="shared" si="492"/>
        <v>0</v>
      </c>
      <c r="AL206" s="13">
        <f t="shared" si="492"/>
        <v>0</v>
      </c>
      <c r="AM206" s="13">
        <f t="shared" si="492"/>
        <v>0.35</v>
      </c>
      <c r="AN206" s="13">
        <f t="shared" si="492"/>
        <v>0</v>
      </c>
      <c r="AO206" s="13">
        <f t="shared" si="492"/>
        <v>0</v>
      </c>
      <c r="AP206" s="13">
        <f t="shared" si="492"/>
        <v>0</v>
      </c>
      <c r="AQ206" s="13">
        <f t="shared" si="492"/>
        <v>-0.05</v>
      </c>
      <c r="AR206" s="13">
        <f t="shared" si="492"/>
        <v>0.35</v>
      </c>
      <c r="AS206" s="13">
        <f t="shared" si="492"/>
        <v>-0.05</v>
      </c>
      <c r="AT206" s="176">
        <f t="shared" si="492"/>
        <v>0.3</v>
      </c>
      <c r="AU206" s="174">
        <f t="shared" si="492"/>
        <v>52405778</v>
      </c>
      <c r="AV206" s="16">
        <f t="shared" si="492"/>
        <v>37506447</v>
      </c>
      <c r="AW206" s="16">
        <f t="shared" si="492"/>
        <v>360040</v>
      </c>
      <c r="AX206" s="16">
        <f t="shared" si="492"/>
        <v>12798870</v>
      </c>
      <c r="AY206" s="16">
        <f t="shared" si="492"/>
        <v>750131</v>
      </c>
      <c r="AZ206" s="16">
        <f t="shared" si="492"/>
        <v>990290</v>
      </c>
      <c r="BA206" s="13">
        <f t="shared" si="492"/>
        <v>72.982799999999997</v>
      </c>
      <c r="BB206" s="13">
        <f t="shared" si="492"/>
        <v>52.459699999999998</v>
      </c>
      <c r="BC206" s="17">
        <f t="shared" si="492"/>
        <v>20.523099999999999</v>
      </c>
    </row>
    <row r="207" spans="1:55" s="95" customFormat="1" ht="12.95" customHeight="1" x14ac:dyDescent="0.25">
      <c r="A207" s="339"/>
      <c r="D207" s="339"/>
      <c r="E207" s="431"/>
      <c r="F207" s="339"/>
      <c r="G207" s="341"/>
      <c r="H207" s="2">
        <v>3122</v>
      </c>
      <c r="I207" s="174">
        <f t="shared" ref="I207:BC207" si="493">SUMIF($F$12:$F$464,"=3122",I$12:I$464)</f>
        <v>0</v>
      </c>
      <c r="J207" s="16">
        <f t="shared" si="493"/>
        <v>0</v>
      </c>
      <c r="K207" s="16">
        <f t="shared" si="493"/>
        <v>0</v>
      </c>
      <c r="L207" s="16">
        <f t="shared" si="493"/>
        <v>0</v>
      </c>
      <c r="M207" s="16">
        <f t="shared" si="493"/>
        <v>0</v>
      </c>
      <c r="N207" s="16">
        <f t="shared" si="493"/>
        <v>0</v>
      </c>
      <c r="O207" s="13">
        <f t="shared" si="493"/>
        <v>0</v>
      </c>
      <c r="P207" s="13">
        <f t="shared" si="493"/>
        <v>0</v>
      </c>
      <c r="Q207" s="176">
        <f t="shared" si="493"/>
        <v>0</v>
      </c>
      <c r="R207" s="174">
        <f t="shared" si="493"/>
        <v>0</v>
      </c>
      <c r="S207" s="16">
        <f t="shared" si="493"/>
        <v>0</v>
      </c>
      <c r="T207" s="16">
        <f t="shared" si="493"/>
        <v>0</v>
      </c>
      <c r="U207" s="16">
        <f t="shared" si="493"/>
        <v>0</v>
      </c>
      <c r="V207" s="16">
        <f t="shared" si="493"/>
        <v>0</v>
      </c>
      <c r="W207" s="16">
        <f t="shared" si="493"/>
        <v>0</v>
      </c>
      <c r="X207" s="16">
        <f t="shared" si="493"/>
        <v>0</v>
      </c>
      <c r="Y207" s="16">
        <f t="shared" si="493"/>
        <v>0</v>
      </c>
      <c r="Z207" s="16">
        <f t="shared" si="493"/>
        <v>0</v>
      </c>
      <c r="AA207" s="16">
        <f t="shared" si="493"/>
        <v>0</v>
      </c>
      <c r="AB207" s="16">
        <f t="shared" si="493"/>
        <v>0</v>
      </c>
      <c r="AC207" s="16">
        <f t="shared" si="493"/>
        <v>0</v>
      </c>
      <c r="AD207" s="16">
        <f t="shared" si="493"/>
        <v>0</v>
      </c>
      <c r="AE207" s="16">
        <f t="shared" si="493"/>
        <v>0</v>
      </c>
      <c r="AF207" s="16">
        <f t="shared" si="493"/>
        <v>0</v>
      </c>
      <c r="AG207" s="16">
        <f t="shared" si="493"/>
        <v>0</v>
      </c>
      <c r="AH207" s="16">
        <f t="shared" si="493"/>
        <v>0</v>
      </c>
      <c r="AI207" s="16">
        <f t="shared" si="493"/>
        <v>0</v>
      </c>
      <c r="AJ207" s="13">
        <f t="shared" si="493"/>
        <v>0</v>
      </c>
      <c r="AK207" s="13">
        <f t="shared" si="493"/>
        <v>0</v>
      </c>
      <c r="AL207" s="13">
        <f t="shared" si="493"/>
        <v>0</v>
      </c>
      <c r="AM207" s="13">
        <f t="shared" si="493"/>
        <v>0</v>
      </c>
      <c r="AN207" s="13">
        <f t="shared" si="493"/>
        <v>0</v>
      </c>
      <c r="AO207" s="13">
        <f t="shared" si="493"/>
        <v>0</v>
      </c>
      <c r="AP207" s="13">
        <f t="shared" si="493"/>
        <v>0</v>
      </c>
      <c r="AQ207" s="13">
        <f t="shared" si="493"/>
        <v>0</v>
      </c>
      <c r="AR207" s="13">
        <f t="shared" si="493"/>
        <v>0</v>
      </c>
      <c r="AS207" s="13">
        <f t="shared" si="493"/>
        <v>0</v>
      </c>
      <c r="AT207" s="176">
        <f t="shared" si="493"/>
        <v>0</v>
      </c>
      <c r="AU207" s="174">
        <f t="shared" si="493"/>
        <v>0</v>
      </c>
      <c r="AV207" s="16">
        <f t="shared" si="493"/>
        <v>0</v>
      </c>
      <c r="AW207" s="16">
        <f t="shared" si="493"/>
        <v>0</v>
      </c>
      <c r="AX207" s="16">
        <f t="shared" si="493"/>
        <v>0</v>
      </c>
      <c r="AY207" s="16">
        <f t="shared" si="493"/>
        <v>0</v>
      </c>
      <c r="AZ207" s="16">
        <f t="shared" si="493"/>
        <v>0</v>
      </c>
      <c r="BA207" s="13">
        <f t="shared" si="493"/>
        <v>0</v>
      </c>
      <c r="BB207" s="13">
        <f t="shared" si="493"/>
        <v>0</v>
      </c>
      <c r="BC207" s="17">
        <f t="shared" si="493"/>
        <v>0</v>
      </c>
    </row>
    <row r="208" spans="1:55" s="95" customFormat="1" ht="12.95" customHeight="1" x14ac:dyDescent="0.25">
      <c r="A208" s="339"/>
      <c r="D208" s="339"/>
      <c r="E208" s="431"/>
      <c r="F208" s="339"/>
      <c r="G208" s="341"/>
      <c r="H208" s="2">
        <v>3124</v>
      </c>
      <c r="I208" s="174">
        <f t="shared" ref="I208:BC208" si="494">SUMIF($F$12:$F$464,"=3124",I$12:I$464)</f>
        <v>0</v>
      </c>
      <c r="J208" s="16">
        <f t="shared" si="494"/>
        <v>0</v>
      </c>
      <c r="K208" s="16">
        <f t="shared" si="494"/>
        <v>0</v>
      </c>
      <c r="L208" s="16">
        <f t="shared" si="494"/>
        <v>0</v>
      </c>
      <c r="M208" s="16">
        <f t="shared" si="494"/>
        <v>0</v>
      </c>
      <c r="N208" s="16">
        <f t="shared" si="494"/>
        <v>0</v>
      </c>
      <c r="O208" s="13">
        <f t="shared" si="494"/>
        <v>0</v>
      </c>
      <c r="P208" s="13">
        <f t="shared" si="494"/>
        <v>0</v>
      </c>
      <c r="Q208" s="176">
        <f t="shared" si="494"/>
        <v>0</v>
      </c>
      <c r="R208" s="174">
        <f t="shared" si="494"/>
        <v>0</v>
      </c>
      <c r="S208" s="16">
        <f t="shared" si="494"/>
        <v>0</v>
      </c>
      <c r="T208" s="16">
        <f t="shared" si="494"/>
        <v>0</v>
      </c>
      <c r="U208" s="16">
        <f t="shared" si="494"/>
        <v>0</v>
      </c>
      <c r="V208" s="16">
        <f t="shared" si="494"/>
        <v>0</v>
      </c>
      <c r="W208" s="16">
        <f t="shared" si="494"/>
        <v>0</v>
      </c>
      <c r="X208" s="16">
        <f t="shared" si="494"/>
        <v>0</v>
      </c>
      <c r="Y208" s="16">
        <f t="shared" si="494"/>
        <v>0</v>
      </c>
      <c r="Z208" s="16">
        <f t="shared" si="494"/>
        <v>0</v>
      </c>
      <c r="AA208" s="16">
        <f t="shared" si="494"/>
        <v>0</v>
      </c>
      <c r="AB208" s="16">
        <f t="shared" si="494"/>
        <v>0</v>
      </c>
      <c r="AC208" s="16">
        <f t="shared" si="494"/>
        <v>0</v>
      </c>
      <c r="AD208" s="16">
        <f t="shared" si="494"/>
        <v>0</v>
      </c>
      <c r="AE208" s="16">
        <f t="shared" si="494"/>
        <v>0</v>
      </c>
      <c r="AF208" s="16">
        <f t="shared" si="494"/>
        <v>0</v>
      </c>
      <c r="AG208" s="16">
        <f t="shared" si="494"/>
        <v>0</v>
      </c>
      <c r="AH208" s="16">
        <f t="shared" si="494"/>
        <v>0</v>
      </c>
      <c r="AI208" s="16">
        <f t="shared" si="494"/>
        <v>0</v>
      </c>
      <c r="AJ208" s="13">
        <f t="shared" si="494"/>
        <v>0</v>
      </c>
      <c r="AK208" s="13">
        <f t="shared" si="494"/>
        <v>0</v>
      </c>
      <c r="AL208" s="13">
        <f t="shared" si="494"/>
        <v>0</v>
      </c>
      <c r="AM208" s="13">
        <f t="shared" si="494"/>
        <v>0</v>
      </c>
      <c r="AN208" s="13">
        <f t="shared" si="494"/>
        <v>0</v>
      </c>
      <c r="AO208" s="13">
        <f t="shared" si="494"/>
        <v>0</v>
      </c>
      <c r="AP208" s="13">
        <f t="shared" si="494"/>
        <v>0</v>
      </c>
      <c r="AQ208" s="13">
        <f t="shared" si="494"/>
        <v>0</v>
      </c>
      <c r="AR208" s="13">
        <f t="shared" si="494"/>
        <v>0</v>
      </c>
      <c r="AS208" s="13">
        <f t="shared" si="494"/>
        <v>0</v>
      </c>
      <c r="AT208" s="176">
        <f t="shared" si="494"/>
        <v>0</v>
      </c>
      <c r="AU208" s="174">
        <f t="shared" si="494"/>
        <v>0</v>
      </c>
      <c r="AV208" s="16">
        <f t="shared" si="494"/>
        <v>0</v>
      </c>
      <c r="AW208" s="16">
        <f t="shared" si="494"/>
        <v>0</v>
      </c>
      <c r="AX208" s="16">
        <f t="shared" si="494"/>
        <v>0</v>
      </c>
      <c r="AY208" s="16">
        <f t="shared" si="494"/>
        <v>0</v>
      </c>
      <c r="AZ208" s="16">
        <f t="shared" si="494"/>
        <v>0</v>
      </c>
      <c r="BA208" s="13">
        <f t="shared" si="494"/>
        <v>0</v>
      </c>
      <c r="BB208" s="13">
        <f t="shared" si="494"/>
        <v>0</v>
      </c>
      <c r="BC208" s="17">
        <f t="shared" si="494"/>
        <v>0</v>
      </c>
    </row>
    <row r="209" spans="1:55" s="95" customFormat="1" ht="12.95" customHeight="1" x14ac:dyDescent="0.25">
      <c r="A209" s="339"/>
      <c r="D209" s="339"/>
      <c r="E209" s="431"/>
      <c r="F209" s="339"/>
      <c r="G209" s="341"/>
      <c r="H209" s="2">
        <v>3141</v>
      </c>
      <c r="I209" s="174">
        <f t="shared" ref="I209:BC209" si="495">SUMIF($F$12:$F$464,"=3141",I$12:I$464)</f>
        <v>36886553</v>
      </c>
      <c r="J209" s="16">
        <f t="shared" si="495"/>
        <v>26793989</v>
      </c>
      <c r="K209" s="16">
        <f t="shared" si="495"/>
        <v>184250</v>
      </c>
      <c r="L209" s="16">
        <f t="shared" si="495"/>
        <v>9118644</v>
      </c>
      <c r="M209" s="16">
        <f t="shared" si="495"/>
        <v>535880</v>
      </c>
      <c r="N209" s="16">
        <f t="shared" si="495"/>
        <v>253790</v>
      </c>
      <c r="O209" s="13">
        <f t="shared" si="495"/>
        <v>84.929999999999993</v>
      </c>
      <c r="P209" s="13">
        <f t="shared" si="495"/>
        <v>0</v>
      </c>
      <c r="Q209" s="176">
        <f t="shared" si="495"/>
        <v>84.929999999999993</v>
      </c>
      <c r="R209" s="174">
        <f t="shared" si="495"/>
        <v>0</v>
      </c>
      <c r="S209" s="16">
        <f t="shared" si="495"/>
        <v>0</v>
      </c>
      <c r="T209" s="16">
        <f t="shared" si="495"/>
        <v>-42147</v>
      </c>
      <c r="U209" s="16">
        <f t="shared" si="495"/>
        <v>0</v>
      </c>
      <c r="V209" s="16">
        <f t="shared" si="495"/>
        <v>0</v>
      </c>
      <c r="W209" s="16">
        <f t="shared" si="495"/>
        <v>0</v>
      </c>
      <c r="X209" s="16">
        <f t="shared" si="495"/>
        <v>-42147</v>
      </c>
      <c r="Y209" s="16">
        <f t="shared" si="495"/>
        <v>0</v>
      </c>
      <c r="Z209" s="16">
        <f t="shared" si="495"/>
        <v>0</v>
      </c>
      <c r="AA209" s="16">
        <f t="shared" si="495"/>
        <v>0</v>
      </c>
      <c r="AB209" s="16">
        <f t="shared" si="495"/>
        <v>0</v>
      </c>
      <c r="AC209" s="16">
        <f t="shared" si="495"/>
        <v>-42147</v>
      </c>
      <c r="AD209" s="16">
        <f t="shared" si="495"/>
        <v>-14247</v>
      </c>
      <c r="AE209" s="16">
        <f t="shared" si="495"/>
        <v>-840</v>
      </c>
      <c r="AF209" s="16">
        <f t="shared" si="495"/>
        <v>0</v>
      </c>
      <c r="AG209" s="16">
        <f t="shared" si="495"/>
        <v>0</v>
      </c>
      <c r="AH209" s="16">
        <f t="shared" si="495"/>
        <v>0</v>
      </c>
      <c r="AI209" s="16">
        <f t="shared" si="495"/>
        <v>-57234</v>
      </c>
      <c r="AJ209" s="13">
        <f t="shared" si="495"/>
        <v>0</v>
      </c>
      <c r="AK209" s="13">
        <f t="shared" si="495"/>
        <v>0</v>
      </c>
      <c r="AL209" s="13">
        <f t="shared" si="495"/>
        <v>0</v>
      </c>
      <c r="AM209" s="13">
        <f t="shared" si="495"/>
        <v>0</v>
      </c>
      <c r="AN209" s="13">
        <f t="shared" si="495"/>
        <v>-0.14999999999999994</v>
      </c>
      <c r="AO209" s="13">
        <f t="shared" si="495"/>
        <v>0</v>
      </c>
      <c r="AP209" s="13">
        <f t="shared" si="495"/>
        <v>0</v>
      </c>
      <c r="AQ209" s="13">
        <f t="shared" si="495"/>
        <v>0</v>
      </c>
      <c r="AR209" s="13">
        <f t="shared" si="495"/>
        <v>0</v>
      </c>
      <c r="AS209" s="13">
        <f t="shared" si="495"/>
        <v>-0.14999999999999994</v>
      </c>
      <c r="AT209" s="176">
        <f t="shared" si="495"/>
        <v>-0.14999999999999994</v>
      </c>
      <c r="AU209" s="174">
        <f t="shared" si="495"/>
        <v>36829319</v>
      </c>
      <c r="AV209" s="16">
        <f t="shared" si="495"/>
        <v>26751842</v>
      </c>
      <c r="AW209" s="16">
        <f t="shared" si="495"/>
        <v>184250</v>
      </c>
      <c r="AX209" s="16">
        <f t="shared" si="495"/>
        <v>9104397</v>
      </c>
      <c r="AY209" s="16">
        <f t="shared" si="495"/>
        <v>535040</v>
      </c>
      <c r="AZ209" s="16">
        <f t="shared" si="495"/>
        <v>253790</v>
      </c>
      <c r="BA209" s="13">
        <f t="shared" si="495"/>
        <v>84.780000000000015</v>
      </c>
      <c r="BB209" s="13">
        <f t="shared" si="495"/>
        <v>0</v>
      </c>
      <c r="BC209" s="17">
        <f t="shared" si="495"/>
        <v>84.780000000000015</v>
      </c>
    </row>
    <row r="210" spans="1:55" s="95" customFormat="1" ht="12.95" customHeight="1" x14ac:dyDescent="0.25">
      <c r="A210" s="339"/>
      <c r="D210" s="339"/>
      <c r="E210" s="431"/>
      <c r="F210" s="339"/>
      <c r="G210" s="341"/>
      <c r="H210" s="2">
        <v>3143</v>
      </c>
      <c r="I210" s="174">
        <f t="shared" ref="I210:BC210" si="496">SUMIF($F$12:$F$464,"=3143",I$12:I$464)</f>
        <v>23555138</v>
      </c>
      <c r="J210" s="16">
        <f t="shared" si="496"/>
        <v>17284180</v>
      </c>
      <c r="K210" s="16">
        <f t="shared" si="496"/>
        <v>37400</v>
      </c>
      <c r="L210" s="16">
        <f t="shared" si="496"/>
        <v>5854694</v>
      </c>
      <c r="M210" s="16">
        <f t="shared" si="496"/>
        <v>345684</v>
      </c>
      <c r="N210" s="16">
        <f t="shared" si="496"/>
        <v>33180</v>
      </c>
      <c r="O210" s="13">
        <f t="shared" si="496"/>
        <v>36.063700000000011</v>
      </c>
      <c r="P210" s="13">
        <f t="shared" si="496"/>
        <v>33.723700000000008</v>
      </c>
      <c r="Q210" s="176">
        <f t="shared" si="496"/>
        <v>2.3400000000000003</v>
      </c>
      <c r="R210" s="174">
        <f t="shared" si="496"/>
        <v>0</v>
      </c>
      <c r="S210" s="16">
        <f t="shared" si="496"/>
        <v>0</v>
      </c>
      <c r="T210" s="16">
        <f t="shared" si="496"/>
        <v>347591</v>
      </c>
      <c r="U210" s="16">
        <f t="shared" si="496"/>
        <v>0</v>
      </c>
      <c r="V210" s="16">
        <f t="shared" si="496"/>
        <v>0</v>
      </c>
      <c r="W210" s="16">
        <f t="shared" si="496"/>
        <v>0</v>
      </c>
      <c r="X210" s="16">
        <f t="shared" si="496"/>
        <v>347591</v>
      </c>
      <c r="Y210" s="16">
        <f t="shared" si="496"/>
        <v>0</v>
      </c>
      <c r="Z210" s="16">
        <f t="shared" si="496"/>
        <v>0</v>
      </c>
      <c r="AA210" s="16">
        <f t="shared" si="496"/>
        <v>0</v>
      </c>
      <c r="AB210" s="16">
        <f t="shared" si="496"/>
        <v>0</v>
      </c>
      <c r="AC210" s="16">
        <f t="shared" si="496"/>
        <v>347591</v>
      </c>
      <c r="AD210" s="16">
        <f t="shared" si="496"/>
        <v>117486</v>
      </c>
      <c r="AE210" s="16">
        <f t="shared" si="496"/>
        <v>6952</v>
      </c>
      <c r="AF210" s="16">
        <f t="shared" si="496"/>
        <v>0</v>
      </c>
      <c r="AG210" s="16">
        <f t="shared" si="496"/>
        <v>0</v>
      </c>
      <c r="AH210" s="16">
        <f t="shared" si="496"/>
        <v>0</v>
      </c>
      <c r="AI210" s="16">
        <f t="shared" si="496"/>
        <v>472029</v>
      </c>
      <c r="AJ210" s="13">
        <f t="shared" si="496"/>
        <v>0</v>
      </c>
      <c r="AK210" s="13">
        <f t="shared" si="496"/>
        <v>0</v>
      </c>
      <c r="AL210" s="13">
        <f t="shared" si="496"/>
        <v>0</v>
      </c>
      <c r="AM210" s="13">
        <f t="shared" si="496"/>
        <v>0.67</v>
      </c>
      <c r="AN210" s="13">
        <f t="shared" si="496"/>
        <v>0</v>
      </c>
      <c r="AO210" s="13">
        <f t="shared" si="496"/>
        <v>0</v>
      </c>
      <c r="AP210" s="13">
        <f t="shared" si="496"/>
        <v>0</v>
      </c>
      <c r="AQ210" s="13">
        <f t="shared" si="496"/>
        <v>0</v>
      </c>
      <c r="AR210" s="13">
        <f t="shared" si="496"/>
        <v>0.67</v>
      </c>
      <c r="AS210" s="13">
        <f t="shared" si="496"/>
        <v>0</v>
      </c>
      <c r="AT210" s="176">
        <f t="shared" si="496"/>
        <v>0.67</v>
      </c>
      <c r="AU210" s="174">
        <f t="shared" si="496"/>
        <v>24027167</v>
      </c>
      <c r="AV210" s="16">
        <f t="shared" si="496"/>
        <v>17631771</v>
      </c>
      <c r="AW210" s="16">
        <f t="shared" si="496"/>
        <v>37400</v>
      </c>
      <c r="AX210" s="16">
        <f t="shared" si="496"/>
        <v>5972180</v>
      </c>
      <c r="AY210" s="16">
        <f t="shared" si="496"/>
        <v>352636</v>
      </c>
      <c r="AZ210" s="16">
        <f t="shared" si="496"/>
        <v>33180</v>
      </c>
      <c r="BA210" s="13">
        <f t="shared" si="496"/>
        <v>36.733700000000006</v>
      </c>
      <c r="BB210" s="13">
        <f t="shared" si="496"/>
        <v>34.393700000000003</v>
      </c>
      <c r="BC210" s="17">
        <f t="shared" si="496"/>
        <v>2.3400000000000003</v>
      </c>
    </row>
    <row r="211" spans="1:55" s="95" customFormat="1" ht="12.95" customHeight="1" x14ac:dyDescent="0.25">
      <c r="A211" s="339"/>
      <c r="D211" s="339"/>
      <c r="E211" s="431"/>
      <c r="F211" s="339"/>
      <c r="G211" s="341"/>
      <c r="H211" s="2">
        <v>3231</v>
      </c>
      <c r="I211" s="174">
        <f t="shared" ref="I211:BC211" si="497">SUMIF($F$12:$F$464,"=3231",I$12:I$464)</f>
        <v>21917587</v>
      </c>
      <c r="J211" s="16">
        <f t="shared" si="497"/>
        <v>16088639</v>
      </c>
      <c r="K211" s="16">
        <f t="shared" si="497"/>
        <v>0</v>
      </c>
      <c r="L211" s="16">
        <f t="shared" si="497"/>
        <v>5437960</v>
      </c>
      <c r="M211" s="16">
        <f t="shared" si="497"/>
        <v>321773</v>
      </c>
      <c r="N211" s="16">
        <f t="shared" si="497"/>
        <v>69215</v>
      </c>
      <c r="O211" s="13">
        <f t="shared" si="497"/>
        <v>29.881300000000003</v>
      </c>
      <c r="P211" s="13">
        <f t="shared" si="497"/>
        <v>26.548200000000001</v>
      </c>
      <c r="Q211" s="176">
        <f t="shared" si="497"/>
        <v>3.3331</v>
      </c>
      <c r="R211" s="174">
        <f t="shared" si="497"/>
        <v>0</v>
      </c>
      <c r="S211" s="16">
        <f t="shared" si="497"/>
        <v>0</v>
      </c>
      <c r="T211" s="16">
        <f t="shared" si="497"/>
        <v>0</v>
      </c>
      <c r="U211" s="16">
        <f t="shared" si="497"/>
        <v>0</v>
      </c>
      <c r="V211" s="16">
        <f t="shared" si="497"/>
        <v>0</v>
      </c>
      <c r="W211" s="16">
        <f t="shared" si="497"/>
        <v>0</v>
      </c>
      <c r="X211" s="16">
        <f t="shared" si="497"/>
        <v>0</v>
      </c>
      <c r="Y211" s="16">
        <f t="shared" si="497"/>
        <v>0</v>
      </c>
      <c r="Z211" s="16">
        <f t="shared" si="497"/>
        <v>0</v>
      </c>
      <c r="AA211" s="16">
        <f t="shared" si="497"/>
        <v>0</v>
      </c>
      <c r="AB211" s="16">
        <f t="shared" si="497"/>
        <v>0</v>
      </c>
      <c r="AC211" s="16">
        <f t="shared" si="497"/>
        <v>0</v>
      </c>
      <c r="AD211" s="16">
        <f t="shared" si="497"/>
        <v>0</v>
      </c>
      <c r="AE211" s="16">
        <f t="shared" si="497"/>
        <v>0</v>
      </c>
      <c r="AF211" s="16">
        <f t="shared" si="497"/>
        <v>0</v>
      </c>
      <c r="AG211" s="16">
        <f t="shared" si="497"/>
        <v>0</v>
      </c>
      <c r="AH211" s="16">
        <f t="shared" si="497"/>
        <v>0</v>
      </c>
      <c r="AI211" s="16">
        <f t="shared" si="497"/>
        <v>0</v>
      </c>
      <c r="AJ211" s="13">
        <f t="shared" si="497"/>
        <v>0</v>
      </c>
      <c r="AK211" s="13">
        <f t="shared" si="497"/>
        <v>0</v>
      </c>
      <c r="AL211" s="13">
        <f t="shared" si="497"/>
        <v>0</v>
      </c>
      <c r="AM211" s="13">
        <f t="shared" si="497"/>
        <v>0</v>
      </c>
      <c r="AN211" s="13">
        <f t="shared" si="497"/>
        <v>0</v>
      </c>
      <c r="AO211" s="13">
        <f t="shared" si="497"/>
        <v>0</v>
      </c>
      <c r="AP211" s="13">
        <f t="shared" si="497"/>
        <v>0</v>
      </c>
      <c r="AQ211" s="13">
        <f t="shared" si="497"/>
        <v>0</v>
      </c>
      <c r="AR211" s="13">
        <f t="shared" si="497"/>
        <v>0</v>
      </c>
      <c r="AS211" s="13">
        <f t="shared" si="497"/>
        <v>0</v>
      </c>
      <c r="AT211" s="176">
        <f t="shared" si="497"/>
        <v>0</v>
      </c>
      <c r="AU211" s="174">
        <f t="shared" si="497"/>
        <v>21917587</v>
      </c>
      <c r="AV211" s="16">
        <f t="shared" si="497"/>
        <v>16088639</v>
      </c>
      <c r="AW211" s="16">
        <f t="shared" si="497"/>
        <v>0</v>
      </c>
      <c r="AX211" s="16">
        <f t="shared" si="497"/>
        <v>5437960</v>
      </c>
      <c r="AY211" s="16">
        <f t="shared" si="497"/>
        <v>321773</v>
      </c>
      <c r="AZ211" s="16">
        <f t="shared" si="497"/>
        <v>69215</v>
      </c>
      <c r="BA211" s="13">
        <f t="shared" si="497"/>
        <v>29.881300000000003</v>
      </c>
      <c r="BB211" s="13">
        <f t="shared" si="497"/>
        <v>26.548200000000001</v>
      </c>
      <c r="BC211" s="17">
        <f t="shared" si="497"/>
        <v>3.3331</v>
      </c>
    </row>
    <row r="212" spans="1:55" s="95" customFormat="1" ht="12.95" customHeight="1" thickBot="1" x14ac:dyDescent="0.3">
      <c r="A212" s="339"/>
      <c r="D212" s="339"/>
      <c r="E212" s="431"/>
      <c r="F212" s="339"/>
      <c r="G212" s="341"/>
      <c r="H212" s="158">
        <v>3233</v>
      </c>
      <c r="I212" s="177">
        <f t="shared" ref="I212:BC212" si="498">SUMIF($F$12:$F$464,"=3233",I$12:I$464)</f>
        <v>4701951</v>
      </c>
      <c r="J212" s="178">
        <f t="shared" si="498"/>
        <v>2973300</v>
      </c>
      <c r="K212" s="178">
        <f t="shared" si="498"/>
        <v>460000</v>
      </c>
      <c r="L212" s="178">
        <f t="shared" si="498"/>
        <v>1160455</v>
      </c>
      <c r="M212" s="178">
        <f t="shared" si="498"/>
        <v>59466</v>
      </c>
      <c r="N212" s="178">
        <f t="shared" si="498"/>
        <v>48730</v>
      </c>
      <c r="O212" s="179">
        <f t="shared" si="498"/>
        <v>6.85</v>
      </c>
      <c r="P212" s="179">
        <f t="shared" si="498"/>
        <v>3.8600000000000003</v>
      </c>
      <c r="Q212" s="182">
        <f t="shared" si="498"/>
        <v>2.9899999999999998</v>
      </c>
      <c r="R212" s="177">
        <f t="shared" si="498"/>
        <v>0</v>
      </c>
      <c r="S212" s="178">
        <f t="shared" si="498"/>
        <v>0</v>
      </c>
      <c r="T212" s="178">
        <f t="shared" si="498"/>
        <v>0</v>
      </c>
      <c r="U212" s="178">
        <f t="shared" si="498"/>
        <v>0</v>
      </c>
      <c r="V212" s="178">
        <f t="shared" si="498"/>
        <v>0</v>
      </c>
      <c r="W212" s="178">
        <f t="shared" si="498"/>
        <v>0</v>
      </c>
      <c r="X212" s="178">
        <f t="shared" si="498"/>
        <v>0</v>
      </c>
      <c r="Y212" s="178">
        <f t="shared" si="498"/>
        <v>0</v>
      </c>
      <c r="Z212" s="178">
        <f t="shared" si="498"/>
        <v>0</v>
      </c>
      <c r="AA212" s="178">
        <f t="shared" si="498"/>
        <v>0</v>
      </c>
      <c r="AB212" s="178">
        <f t="shared" si="498"/>
        <v>0</v>
      </c>
      <c r="AC212" s="178">
        <f t="shared" si="498"/>
        <v>0</v>
      </c>
      <c r="AD212" s="178">
        <f t="shared" si="498"/>
        <v>0</v>
      </c>
      <c r="AE212" s="178">
        <f t="shared" si="498"/>
        <v>0</v>
      </c>
      <c r="AF212" s="178">
        <f t="shared" si="498"/>
        <v>0</v>
      </c>
      <c r="AG212" s="178">
        <f t="shared" si="498"/>
        <v>0</v>
      </c>
      <c r="AH212" s="178">
        <f t="shared" si="498"/>
        <v>0</v>
      </c>
      <c r="AI212" s="178">
        <f t="shared" si="498"/>
        <v>0</v>
      </c>
      <c r="AJ212" s="179">
        <f t="shared" si="498"/>
        <v>0</v>
      </c>
      <c r="AK212" s="179">
        <f t="shared" si="498"/>
        <v>0</v>
      </c>
      <c r="AL212" s="179">
        <f t="shared" si="498"/>
        <v>0</v>
      </c>
      <c r="AM212" s="179">
        <f t="shared" si="498"/>
        <v>0</v>
      </c>
      <c r="AN212" s="179">
        <f t="shared" si="498"/>
        <v>0</v>
      </c>
      <c r="AO212" s="179">
        <f t="shared" si="498"/>
        <v>0</v>
      </c>
      <c r="AP212" s="179">
        <f t="shared" si="498"/>
        <v>0</v>
      </c>
      <c r="AQ212" s="179">
        <f t="shared" si="498"/>
        <v>0</v>
      </c>
      <c r="AR212" s="179">
        <f t="shared" si="498"/>
        <v>0</v>
      </c>
      <c r="AS212" s="179">
        <f t="shared" si="498"/>
        <v>0</v>
      </c>
      <c r="AT212" s="182">
        <f t="shared" si="498"/>
        <v>0</v>
      </c>
      <c r="AU212" s="177">
        <f t="shared" si="498"/>
        <v>4701951</v>
      </c>
      <c r="AV212" s="178">
        <f t="shared" si="498"/>
        <v>2973300</v>
      </c>
      <c r="AW212" s="178">
        <f t="shared" si="498"/>
        <v>460000</v>
      </c>
      <c r="AX212" s="178">
        <f t="shared" si="498"/>
        <v>1160455</v>
      </c>
      <c r="AY212" s="178">
        <f t="shared" si="498"/>
        <v>59466</v>
      </c>
      <c r="AZ212" s="178">
        <f t="shared" si="498"/>
        <v>48730</v>
      </c>
      <c r="BA212" s="179">
        <f t="shared" si="498"/>
        <v>6.85</v>
      </c>
      <c r="BB212" s="179">
        <f t="shared" si="498"/>
        <v>3.8600000000000003</v>
      </c>
      <c r="BC212" s="180">
        <f t="shared" si="498"/>
        <v>2.9899999999999998</v>
      </c>
    </row>
    <row r="213" spans="1:55" s="342" customFormat="1" ht="12.95" customHeight="1" x14ac:dyDescent="0.25">
      <c r="A213" s="429"/>
      <c r="B213" s="278"/>
      <c r="C213" s="278"/>
      <c r="D213" s="278"/>
      <c r="E213" s="278"/>
      <c r="F213" s="278"/>
      <c r="G213" s="278"/>
      <c r="H213" s="430"/>
      <c r="O213" s="343"/>
      <c r="P213" s="343"/>
      <c r="Q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  <c r="BA213" s="343"/>
      <c r="BB213" s="343"/>
      <c r="BC213" s="343"/>
    </row>
    <row r="214" spans="1:55" s="342" customFormat="1" ht="12.95" customHeight="1" x14ac:dyDescent="0.25">
      <c r="A214" s="429"/>
      <c r="B214" s="278"/>
      <c r="C214" s="278"/>
      <c r="D214" s="278"/>
      <c r="E214" s="278"/>
      <c r="F214" s="337"/>
      <c r="G214" s="278"/>
      <c r="H214" s="430"/>
      <c r="O214" s="343"/>
      <c r="P214" s="343"/>
      <c r="Q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  <c r="BA214" s="343"/>
      <c r="BB214" s="343"/>
      <c r="BC214" s="343"/>
    </row>
    <row r="215" spans="1:55" s="342" customFormat="1" x14ac:dyDescent="0.25">
      <c r="A215" s="429"/>
      <c r="B215" s="278"/>
      <c r="C215" s="278"/>
      <c r="D215" s="278"/>
      <c r="E215" s="278"/>
      <c r="F215" s="337"/>
      <c r="G215" s="278"/>
      <c r="H215" s="430"/>
      <c r="O215" s="343"/>
      <c r="P215" s="343"/>
      <c r="Q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  <c r="BA215" s="343"/>
      <c r="BB215" s="343"/>
      <c r="BC215" s="343"/>
    </row>
    <row r="216" spans="1:55" s="342" customFormat="1" x14ac:dyDescent="0.25">
      <c r="A216" s="429"/>
      <c r="B216" s="278"/>
      <c r="C216" s="278"/>
      <c r="D216" s="278"/>
      <c r="E216" s="278"/>
      <c r="F216" s="337"/>
      <c r="G216" s="278"/>
      <c r="H216" s="430"/>
      <c r="O216" s="343"/>
      <c r="P216" s="343"/>
      <c r="Q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  <c r="BA216" s="343"/>
      <c r="BB216" s="343"/>
      <c r="BC216" s="343"/>
    </row>
    <row r="217" spans="1:55" s="342" customFormat="1" x14ac:dyDescent="0.25">
      <c r="A217" s="429"/>
      <c r="B217" s="278"/>
      <c r="C217" s="278"/>
      <c r="D217" s="278"/>
      <c r="E217" s="278"/>
      <c r="F217" s="337"/>
      <c r="G217" s="278"/>
      <c r="H217" s="430"/>
      <c r="O217" s="343"/>
      <c r="P217" s="343"/>
      <c r="Q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  <c r="BA217" s="343"/>
      <c r="BB217" s="343"/>
      <c r="BC217" s="343"/>
    </row>
    <row r="218" spans="1:55" s="342" customFormat="1" x14ac:dyDescent="0.25">
      <c r="A218" s="429"/>
      <c r="B218" s="278"/>
      <c r="C218" s="278"/>
      <c r="D218" s="278"/>
      <c r="E218" s="278"/>
      <c r="F218" s="337"/>
      <c r="G218" s="278"/>
      <c r="H218" s="430"/>
      <c r="O218" s="343"/>
      <c r="P218" s="343"/>
      <c r="Q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  <c r="BA218" s="343"/>
      <c r="BB218" s="343"/>
      <c r="BC218" s="343"/>
    </row>
    <row r="219" spans="1:55" s="342" customFormat="1" x14ac:dyDescent="0.25">
      <c r="A219" s="429"/>
      <c r="B219" s="278"/>
      <c r="C219" s="278"/>
      <c r="D219" s="278"/>
      <c r="E219" s="278"/>
      <c r="F219" s="337"/>
      <c r="G219" s="278"/>
      <c r="H219" s="430"/>
      <c r="O219" s="343"/>
      <c r="P219" s="343"/>
      <c r="Q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  <c r="BA219" s="343"/>
      <c r="BB219" s="343"/>
      <c r="BC219" s="343"/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37"/>
  <sheetViews>
    <sheetView workbookViewId="0">
      <pane xSplit="1" ySplit="12" topLeftCell="U13" activePane="bottomRight" state="frozen"/>
      <selection sqref="A1:XFD1048576"/>
      <selection pane="topRight" sqref="A1:XFD1048576"/>
      <selection pane="bottomLeft" sqref="A1:XFD1048576"/>
      <selection pane="bottomRight" activeCell="Q30" sqref="Q30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7" width="11.85546875" style="8" customWidth="1"/>
    <col min="8" max="8" width="11.28515625" style="7" customWidth="1"/>
    <col min="9" max="10" width="10" style="7" customWidth="1"/>
    <col min="11" max="14" width="9.5703125" style="8" customWidth="1"/>
    <col min="15" max="15" width="10.140625" style="8" customWidth="1"/>
    <col min="16" max="16" width="9.7109375" style="15" customWidth="1"/>
    <col min="17" max="17" width="9.5703125" style="8" bestFit="1" customWidth="1"/>
    <col min="18" max="19" width="9.7109375" style="8" customWidth="1"/>
    <col min="20" max="20" width="9.5703125" style="8" bestFit="1" customWidth="1"/>
    <col min="21" max="21" width="9.140625" style="8"/>
    <col min="22" max="22" width="9.7109375" style="8" customWidth="1"/>
    <col min="23" max="24" width="9.140625" style="8"/>
    <col min="25" max="25" width="9.85546875" style="8" customWidth="1"/>
    <col min="26" max="26" width="9.140625" style="8"/>
    <col min="27" max="27" width="9.5703125" style="8" customWidth="1"/>
    <col min="28" max="28" width="10.140625" style="8" customWidth="1"/>
    <col min="29" max="30" width="9.140625" style="7"/>
    <col min="31" max="32" width="9.140625" style="7" customWidth="1"/>
    <col min="33" max="33" width="8.7109375" style="7" bestFit="1" customWidth="1"/>
    <col min="34" max="35" width="9.140625" style="7" customWidth="1"/>
    <col min="36" max="39" width="9.140625" style="7"/>
    <col min="40" max="41" width="11.7109375" style="8" bestFit="1" customWidth="1"/>
    <col min="42" max="42" width="10.85546875" style="8" bestFit="1" customWidth="1"/>
    <col min="43" max="43" width="12.42578125" style="8" bestFit="1" customWidth="1"/>
    <col min="44" max="45" width="10.85546875" style="8" bestFit="1" customWidth="1"/>
    <col min="46" max="46" width="11.85546875" style="7" customWidth="1"/>
    <col min="47" max="48" width="10.85546875" style="7" bestFit="1" customWidth="1"/>
    <col min="141" max="141" width="7.42578125" customWidth="1"/>
    <col min="142" max="143" width="10.85546875" bestFit="1" customWidth="1"/>
    <col min="144" max="145" width="10.85546875" customWidth="1"/>
    <col min="146" max="150" width="10" customWidth="1"/>
    <col min="154" max="155" width="10.85546875" bestFit="1" customWidth="1"/>
    <col min="156" max="156" width="10" bestFit="1" customWidth="1"/>
    <col min="157" max="158" width="9.28515625" bestFit="1" customWidth="1"/>
    <col min="397" max="397" width="7.42578125" customWidth="1"/>
    <col min="398" max="399" width="10.85546875" bestFit="1" customWidth="1"/>
    <col min="400" max="401" width="10.85546875" customWidth="1"/>
    <col min="402" max="406" width="10" customWidth="1"/>
    <col min="410" max="411" width="10.85546875" bestFit="1" customWidth="1"/>
    <col min="412" max="412" width="10" bestFit="1" customWidth="1"/>
    <col min="413" max="414" width="9.28515625" bestFit="1" customWidth="1"/>
    <col min="653" max="653" width="7.42578125" customWidth="1"/>
    <col min="654" max="655" width="10.85546875" bestFit="1" customWidth="1"/>
    <col min="656" max="657" width="10.85546875" customWidth="1"/>
    <col min="658" max="662" width="10" customWidth="1"/>
    <col min="666" max="667" width="10.85546875" bestFit="1" customWidth="1"/>
    <col min="668" max="668" width="10" bestFit="1" customWidth="1"/>
    <col min="669" max="670" width="9.28515625" bestFit="1" customWidth="1"/>
    <col min="909" max="909" width="7.42578125" customWidth="1"/>
    <col min="910" max="911" width="10.85546875" bestFit="1" customWidth="1"/>
    <col min="912" max="913" width="10.85546875" customWidth="1"/>
    <col min="914" max="918" width="10" customWidth="1"/>
    <col min="922" max="923" width="10.85546875" bestFit="1" customWidth="1"/>
    <col min="924" max="924" width="10" bestFit="1" customWidth="1"/>
    <col min="925" max="926" width="9.28515625" bestFit="1" customWidth="1"/>
    <col min="1165" max="1165" width="7.42578125" customWidth="1"/>
    <col min="1166" max="1167" width="10.85546875" bestFit="1" customWidth="1"/>
    <col min="1168" max="1169" width="10.85546875" customWidth="1"/>
    <col min="1170" max="1174" width="10" customWidth="1"/>
    <col min="1178" max="1179" width="10.85546875" bestFit="1" customWidth="1"/>
    <col min="1180" max="1180" width="10" bestFit="1" customWidth="1"/>
    <col min="1181" max="1182" width="9.28515625" bestFit="1" customWidth="1"/>
    <col min="1421" max="1421" width="7.42578125" customWidth="1"/>
    <col min="1422" max="1423" width="10.85546875" bestFit="1" customWidth="1"/>
    <col min="1424" max="1425" width="10.85546875" customWidth="1"/>
    <col min="1426" max="1430" width="10" customWidth="1"/>
    <col min="1434" max="1435" width="10.85546875" bestFit="1" customWidth="1"/>
    <col min="1436" max="1436" width="10" bestFit="1" customWidth="1"/>
    <col min="1437" max="1438" width="9.28515625" bestFit="1" customWidth="1"/>
    <col min="1677" max="1677" width="7.42578125" customWidth="1"/>
    <col min="1678" max="1679" width="10.85546875" bestFit="1" customWidth="1"/>
    <col min="1680" max="1681" width="10.85546875" customWidth="1"/>
    <col min="1682" max="1686" width="10" customWidth="1"/>
    <col min="1690" max="1691" width="10.85546875" bestFit="1" customWidth="1"/>
    <col min="1692" max="1692" width="10" bestFit="1" customWidth="1"/>
    <col min="1693" max="1694" width="9.28515625" bestFit="1" customWidth="1"/>
    <col min="1933" max="1933" width="7.42578125" customWidth="1"/>
    <col min="1934" max="1935" width="10.85546875" bestFit="1" customWidth="1"/>
    <col min="1936" max="1937" width="10.85546875" customWidth="1"/>
    <col min="1938" max="1942" width="10" customWidth="1"/>
    <col min="1946" max="1947" width="10.85546875" bestFit="1" customWidth="1"/>
    <col min="1948" max="1948" width="10" bestFit="1" customWidth="1"/>
    <col min="1949" max="1950" width="9.28515625" bestFit="1" customWidth="1"/>
    <col min="2189" max="2189" width="7.42578125" customWidth="1"/>
    <col min="2190" max="2191" width="10.85546875" bestFit="1" customWidth="1"/>
    <col min="2192" max="2193" width="10.85546875" customWidth="1"/>
    <col min="2194" max="2198" width="10" customWidth="1"/>
    <col min="2202" max="2203" width="10.85546875" bestFit="1" customWidth="1"/>
    <col min="2204" max="2204" width="10" bestFit="1" customWidth="1"/>
    <col min="2205" max="2206" width="9.28515625" bestFit="1" customWidth="1"/>
    <col min="2445" max="2445" width="7.42578125" customWidth="1"/>
    <col min="2446" max="2447" width="10.85546875" bestFit="1" customWidth="1"/>
    <col min="2448" max="2449" width="10.85546875" customWidth="1"/>
    <col min="2450" max="2454" width="10" customWidth="1"/>
    <col min="2458" max="2459" width="10.85546875" bestFit="1" customWidth="1"/>
    <col min="2460" max="2460" width="10" bestFit="1" customWidth="1"/>
    <col min="2461" max="2462" width="9.28515625" bestFit="1" customWidth="1"/>
    <col min="2701" max="2701" width="7.42578125" customWidth="1"/>
    <col min="2702" max="2703" width="10.85546875" bestFit="1" customWidth="1"/>
    <col min="2704" max="2705" width="10.85546875" customWidth="1"/>
    <col min="2706" max="2710" width="10" customWidth="1"/>
    <col min="2714" max="2715" width="10.85546875" bestFit="1" customWidth="1"/>
    <col min="2716" max="2716" width="10" bestFit="1" customWidth="1"/>
    <col min="2717" max="2718" width="9.28515625" bestFit="1" customWidth="1"/>
    <col min="2957" max="2957" width="7.42578125" customWidth="1"/>
    <col min="2958" max="2959" width="10.85546875" bestFit="1" customWidth="1"/>
    <col min="2960" max="2961" width="10.85546875" customWidth="1"/>
    <col min="2962" max="2966" width="10" customWidth="1"/>
    <col min="2970" max="2971" width="10.85546875" bestFit="1" customWidth="1"/>
    <col min="2972" max="2972" width="10" bestFit="1" customWidth="1"/>
    <col min="2973" max="2974" width="9.28515625" bestFit="1" customWidth="1"/>
    <col min="3213" max="3213" width="7.42578125" customWidth="1"/>
    <col min="3214" max="3215" width="10.85546875" bestFit="1" customWidth="1"/>
    <col min="3216" max="3217" width="10.85546875" customWidth="1"/>
    <col min="3218" max="3222" width="10" customWidth="1"/>
    <col min="3226" max="3227" width="10.85546875" bestFit="1" customWidth="1"/>
    <col min="3228" max="3228" width="10" bestFit="1" customWidth="1"/>
    <col min="3229" max="3230" width="9.28515625" bestFit="1" customWidth="1"/>
    <col min="3469" max="3469" width="7.42578125" customWidth="1"/>
    <col min="3470" max="3471" width="10.85546875" bestFit="1" customWidth="1"/>
    <col min="3472" max="3473" width="10.85546875" customWidth="1"/>
    <col min="3474" max="3478" width="10" customWidth="1"/>
    <col min="3482" max="3483" width="10.85546875" bestFit="1" customWidth="1"/>
    <col min="3484" max="3484" width="10" bestFit="1" customWidth="1"/>
    <col min="3485" max="3486" width="9.28515625" bestFit="1" customWidth="1"/>
    <col min="3725" max="3725" width="7.42578125" customWidth="1"/>
    <col min="3726" max="3727" width="10.85546875" bestFit="1" customWidth="1"/>
    <col min="3728" max="3729" width="10.85546875" customWidth="1"/>
    <col min="3730" max="3734" width="10" customWidth="1"/>
    <col min="3738" max="3739" width="10.85546875" bestFit="1" customWidth="1"/>
    <col min="3740" max="3740" width="10" bestFit="1" customWidth="1"/>
    <col min="3741" max="3742" width="9.28515625" bestFit="1" customWidth="1"/>
    <col min="3981" max="3981" width="7.42578125" customWidth="1"/>
    <col min="3982" max="3983" width="10.85546875" bestFit="1" customWidth="1"/>
    <col min="3984" max="3985" width="10.85546875" customWidth="1"/>
    <col min="3986" max="3990" width="10" customWidth="1"/>
    <col min="3994" max="3995" width="10.85546875" bestFit="1" customWidth="1"/>
    <col min="3996" max="3996" width="10" bestFit="1" customWidth="1"/>
    <col min="3997" max="3998" width="9.28515625" bestFit="1" customWidth="1"/>
    <col min="4237" max="4237" width="7.42578125" customWidth="1"/>
    <col min="4238" max="4239" width="10.85546875" bestFit="1" customWidth="1"/>
    <col min="4240" max="4241" width="10.85546875" customWidth="1"/>
    <col min="4242" max="4246" width="10" customWidth="1"/>
    <col min="4250" max="4251" width="10.85546875" bestFit="1" customWidth="1"/>
    <col min="4252" max="4252" width="10" bestFit="1" customWidth="1"/>
    <col min="4253" max="4254" width="9.28515625" bestFit="1" customWidth="1"/>
    <col min="4493" max="4493" width="7.42578125" customWidth="1"/>
    <col min="4494" max="4495" width="10.85546875" bestFit="1" customWidth="1"/>
    <col min="4496" max="4497" width="10.85546875" customWidth="1"/>
    <col min="4498" max="4502" width="10" customWidth="1"/>
    <col min="4506" max="4507" width="10.85546875" bestFit="1" customWidth="1"/>
    <col min="4508" max="4508" width="10" bestFit="1" customWidth="1"/>
    <col min="4509" max="4510" width="9.28515625" bestFit="1" customWidth="1"/>
    <col min="4749" max="4749" width="7.42578125" customWidth="1"/>
    <col min="4750" max="4751" width="10.85546875" bestFit="1" customWidth="1"/>
    <col min="4752" max="4753" width="10.85546875" customWidth="1"/>
    <col min="4754" max="4758" width="10" customWidth="1"/>
    <col min="4762" max="4763" width="10.85546875" bestFit="1" customWidth="1"/>
    <col min="4764" max="4764" width="10" bestFit="1" customWidth="1"/>
    <col min="4765" max="4766" width="9.28515625" bestFit="1" customWidth="1"/>
    <col min="5005" max="5005" width="7.42578125" customWidth="1"/>
    <col min="5006" max="5007" width="10.85546875" bestFit="1" customWidth="1"/>
    <col min="5008" max="5009" width="10.85546875" customWidth="1"/>
    <col min="5010" max="5014" width="10" customWidth="1"/>
    <col min="5018" max="5019" width="10.85546875" bestFit="1" customWidth="1"/>
    <col min="5020" max="5020" width="10" bestFit="1" customWidth="1"/>
    <col min="5021" max="5022" width="9.28515625" bestFit="1" customWidth="1"/>
    <col min="5261" max="5261" width="7.42578125" customWidth="1"/>
    <col min="5262" max="5263" width="10.85546875" bestFit="1" customWidth="1"/>
    <col min="5264" max="5265" width="10.85546875" customWidth="1"/>
    <col min="5266" max="5270" width="10" customWidth="1"/>
    <col min="5274" max="5275" width="10.85546875" bestFit="1" customWidth="1"/>
    <col min="5276" max="5276" width="10" bestFit="1" customWidth="1"/>
    <col min="5277" max="5278" width="9.28515625" bestFit="1" customWidth="1"/>
    <col min="5517" max="5517" width="7.42578125" customWidth="1"/>
    <col min="5518" max="5519" width="10.85546875" bestFit="1" customWidth="1"/>
    <col min="5520" max="5521" width="10.85546875" customWidth="1"/>
    <col min="5522" max="5526" width="10" customWidth="1"/>
    <col min="5530" max="5531" width="10.85546875" bestFit="1" customWidth="1"/>
    <col min="5532" max="5532" width="10" bestFit="1" customWidth="1"/>
    <col min="5533" max="5534" width="9.28515625" bestFit="1" customWidth="1"/>
    <col min="5773" max="5773" width="7.42578125" customWidth="1"/>
    <col min="5774" max="5775" width="10.85546875" bestFit="1" customWidth="1"/>
    <col min="5776" max="5777" width="10.85546875" customWidth="1"/>
    <col min="5778" max="5782" width="10" customWidth="1"/>
    <col min="5786" max="5787" width="10.85546875" bestFit="1" customWidth="1"/>
    <col min="5788" max="5788" width="10" bestFit="1" customWidth="1"/>
    <col min="5789" max="5790" width="9.28515625" bestFit="1" customWidth="1"/>
    <col min="6029" max="6029" width="7.42578125" customWidth="1"/>
    <col min="6030" max="6031" width="10.85546875" bestFit="1" customWidth="1"/>
    <col min="6032" max="6033" width="10.85546875" customWidth="1"/>
    <col min="6034" max="6038" width="10" customWidth="1"/>
    <col min="6042" max="6043" width="10.85546875" bestFit="1" customWidth="1"/>
    <col min="6044" max="6044" width="10" bestFit="1" customWidth="1"/>
    <col min="6045" max="6046" width="9.28515625" bestFit="1" customWidth="1"/>
    <col min="6285" max="6285" width="7.42578125" customWidth="1"/>
    <col min="6286" max="6287" width="10.85546875" bestFit="1" customWidth="1"/>
    <col min="6288" max="6289" width="10.85546875" customWidth="1"/>
    <col min="6290" max="6294" width="10" customWidth="1"/>
    <col min="6298" max="6299" width="10.85546875" bestFit="1" customWidth="1"/>
    <col min="6300" max="6300" width="10" bestFit="1" customWidth="1"/>
    <col min="6301" max="6302" width="9.28515625" bestFit="1" customWidth="1"/>
    <col min="6541" max="6541" width="7.42578125" customWidth="1"/>
    <col min="6542" max="6543" width="10.85546875" bestFit="1" customWidth="1"/>
    <col min="6544" max="6545" width="10.85546875" customWidth="1"/>
    <col min="6546" max="6550" width="10" customWidth="1"/>
    <col min="6554" max="6555" width="10.85546875" bestFit="1" customWidth="1"/>
    <col min="6556" max="6556" width="10" bestFit="1" customWidth="1"/>
    <col min="6557" max="6558" width="9.28515625" bestFit="1" customWidth="1"/>
    <col min="6797" max="6797" width="7.42578125" customWidth="1"/>
    <col min="6798" max="6799" width="10.85546875" bestFit="1" customWidth="1"/>
    <col min="6800" max="6801" width="10.85546875" customWidth="1"/>
    <col min="6802" max="6806" width="10" customWidth="1"/>
    <col min="6810" max="6811" width="10.85546875" bestFit="1" customWidth="1"/>
    <col min="6812" max="6812" width="10" bestFit="1" customWidth="1"/>
    <col min="6813" max="6814" width="9.28515625" bestFit="1" customWidth="1"/>
    <col min="7053" max="7053" width="7.42578125" customWidth="1"/>
    <col min="7054" max="7055" width="10.85546875" bestFit="1" customWidth="1"/>
    <col min="7056" max="7057" width="10.85546875" customWidth="1"/>
    <col min="7058" max="7062" width="10" customWidth="1"/>
    <col min="7066" max="7067" width="10.85546875" bestFit="1" customWidth="1"/>
    <col min="7068" max="7068" width="10" bestFit="1" customWidth="1"/>
    <col min="7069" max="7070" width="9.28515625" bestFit="1" customWidth="1"/>
    <col min="7309" max="7309" width="7.42578125" customWidth="1"/>
    <col min="7310" max="7311" width="10.85546875" bestFit="1" customWidth="1"/>
    <col min="7312" max="7313" width="10.85546875" customWidth="1"/>
    <col min="7314" max="7318" width="10" customWidth="1"/>
    <col min="7322" max="7323" width="10.85546875" bestFit="1" customWidth="1"/>
    <col min="7324" max="7324" width="10" bestFit="1" customWidth="1"/>
    <col min="7325" max="7326" width="9.28515625" bestFit="1" customWidth="1"/>
    <col min="7565" max="7565" width="7.42578125" customWidth="1"/>
    <col min="7566" max="7567" width="10.85546875" bestFit="1" customWidth="1"/>
    <col min="7568" max="7569" width="10.85546875" customWidth="1"/>
    <col min="7570" max="7574" width="10" customWidth="1"/>
    <col min="7578" max="7579" width="10.85546875" bestFit="1" customWidth="1"/>
    <col min="7580" max="7580" width="10" bestFit="1" customWidth="1"/>
    <col min="7581" max="7582" width="9.28515625" bestFit="1" customWidth="1"/>
    <col min="7821" max="7821" width="7.42578125" customWidth="1"/>
    <col min="7822" max="7823" width="10.85546875" bestFit="1" customWidth="1"/>
    <col min="7824" max="7825" width="10.85546875" customWidth="1"/>
    <col min="7826" max="7830" width="10" customWidth="1"/>
    <col min="7834" max="7835" width="10.85546875" bestFit="1" customWidth="1"/>
    <col min="7836" max="7836" width="10" bestFit="1" customWidth="1"/>
    <col min="7837" max="7838" width="9.28515625" bestFit="1" customWidth="1"/>
    <col min="8077" max="8077" width="7.42578125" customWidth="1"/>
    <col min="8078" max="8079" width="10.85546875" bestFit="1" customWidth="1"/>
    <col min="8080" max="8081" width="10.85546875" customWidth="1"/>
    <col min="8082" max="8086" width="10" customWidth="1"/>
    <col min="8090" max="8091" width="10.85546875" bestFit="1" customWidth="1"/>
    <col min="8092" max="8092" width="10" bestFit="1" customWidth="1"/>
    <col min="8093" max="8094" width="9.28515625" bestFit="1" customWidth="1"/>
    <col min="8333" max="8333" width="7.42578125" customWidth="1"/>
    <col min="8334" max="8335" width="10.85546875" bestFit="1" customWidth="1"/>
    <col min="8336" max="8337" width="10.85546875" customWidth="1"/>
    <col min="8338" max="8342" width="10" customWidth="1"/>
    <col min="8346" max="8347" width="10.85546875" bestFit="1" customWidth="1"/>
    <col min="8348" max="8348" width="10" bestFit="1" customWidth="1"/>
    <col min="8349" max="8350" width="9.28515625" bestFit="1" customWidth="1"/>
    <col min="8589" max="8589" width="7.42578125" customWidth="1"/>
    <col min="8590" max="8591" width="10.85546875" bestFit="1" customWidth="1"/>
    <col min="8592" max="8593" width="10.85546875" customWidth="1"/>
    <col min="8594" max="8598" width="10" customWidth="1"/>
    <col min="8602" max="8603" width="10.85546875" bestFit="1" customWidth="1"/>
    <col min="8604" max="8604" width="10" bestFit="1" customWidth="1"/>
    <col min="8605" max="8606" width="9.28515625" bestFit="1" customWidth="1"/>
    <col min="8845" max="8845" width="7.42578125" customWidth="1"/>
    <col min="8846" max="8847" width="10.85546875" bestFit="1" customWidth="1"/>
    <col min="8848" max="8849" width="10.85546875" customWidth="1"/>
    <col min="8850" max="8854" width="10" customWidth="1"/>
    <col min="8858" max="8859" width="10.85546875" bestFit="1" customWidth="1"/>
    <col min="8860" max="8860" width="10" bestFit="1" customWidth="1"/>
    <col min="8861" max="8862" width="9.28515625" bestFit="1" customWidth="1"/>
    <col min="9101" max="9101" width="7.42578125" customWidth="1"/>
    <col min="9102" max="9103" width="10.85546875" bestFit="1" customWidth="1"/>
    <col min="9104" max="9105" width="10.85546875" customWidth="1"/>
    <col min="9106" max="9110" width="10" customWidth="1"/>
    <col min="9114" max="9115" width="10.85546875" bestFit="1" customWidth="1"/>
    <col min="9116" max="9116" width="10" bestFit="1" customWidth="1"/>
    <col min="9117" max="9118" width="9.28515625" bestFit="1" customWidth="1"/>
    <col min="9357" max="9357" width="7.42578125" customWidth="1"/>
    <col min="9358" max="9359" width="10.85546875" bestFit="1" customWidth="1"/>
    <col min="9360" max="9361" width="10.85546875" customWidth="1"/>
    <col min="9362" max="9366" width="10" customWidth="1"/>
    <col min="9370" max="9371" width="10.85546875" bestFit="1" customWidth="1"/>
    <col min="9372" max="9372" width="10" bestFit="1" customWidth="1"/>
    <col min="9373" max="9374" width="9.28515625" bestFit="1" customWidth="1"/>
    <col min="9613" max="9613" width="7.42578125" customWidth="1"/>
    <col min="9614" max="9615" width="10.85546875" bestFit="1" customWidth="1"/>
    <col min="9616" max="9617" width="10.85546875" customWidth="1"/>
    <col min="9618" max="9622" width="10" customWidth="1"/>
    <col min="9626" max="9627" width="10.85546875" bestFit="1" customWidth="1"/>
    <col min="9628" max="9628" width="10" bestFit="1" customWidth="1"/>
    <col min="9629" max="9630" width="9.28515625" bestFit="1" customWidth="1"/>
    <col min="9869" max="9869" width="7.42578125" customWidth="1"/>
    <col min="9870" max="9871" width="10.85546875" bestFit="1" customWidth="1"/>
    <col min="9872" max="9873" width="10.85546875" customWidth="1"/>
    <col min="9874" max="9878" width="10" customWidth="1"/>
    <col min="9882" max="9883" width="10.85546875" bestFit="1" customWidth="1"/>
    <col min="9884" max="9884" width="10" bestFit="1" customWidth="1"/>
    <col min="9885" max="9886" width="9.28515625" bestFit="1" customWidth="1"/>
    <col min="10125" max="10125" width="7.42578125" customWidth="1"/>
    <col min="10126" max="10127" width="10.85546875" bestFit="1" customWidth="1"/>
    <col min="10128" max="10129" width="10.85546875" customWidth="1"/>
    <col min="10130" max="10134" width="10" customWidth="1"/>
    <col min="10138" max="10139" width="10.85546875" bestFit="1" customWidth="1"/>
    <col min="10140" max="10140" width="10" bestFit="1" customWidth="1"/>
    <col min="10141" max="10142" width="9.28515625" bestFit="1" customWidth="1"/>
    <col min="10381" max="10381" width="7.42578125" customWidth="1"/>
    <col min="10382" max="10383" width="10.85546875" bestFit="1" customWidth="1"/>
    <col min="10384" max="10385" width="10.85546875" customWidth="1"/>
    <col min="10386" max="10390" width="10" customWidth="1"/>
    <col min="10394" max="10395" width="10.85546875" bestFit="1" customWidth="1"/>
    <col min="10396" max="10396" width="10" bestFit="1" customWidth="1"/>
    <col min="10397" max="10398" width="9.28515625" bestFit="1" customWidth="1"/>
    <col min="10637" max="10637" width="7.42578125" customWidth="1"/>
    <col min="10638" max="10639" width="10.85546875" bestFit="1" customWidth="1"/>
    <col min="10640" max="10641" width="10.85546875" customWidth="1"/>
    <col min="10642" max="10646" width="10" customWidth="1"/>
    <col min="10650" max="10651" width="10.85546875" bestFit="1" customWidth="1"/>
    <col min="10652" max="10652" width="10" bestFit="1" customWidth="1"/>
    <col min="10653" max="10654" width="9.28515625" bestFit="1" customWidth="1"/>
    <col min="10893" max="10893" width="7.42578125" customWidth="1"/>
    <col min="10894" max="10895" width="10.85546875" bestFit="1" customWidth="1"/>
    <col min="10896" max="10897" width="10.85546875" customWidth="1"/>
    <col min="10898" max="10902" width="10" customWidth="1"/>
    <col min="10906" max="10907" width="10.85546875" bestFit="1" customWidth="1"/>
    <col min="10908" max="10908" width="10" bestFit="1" customWidth="1"/>
    <col min="10909" max="10910" width="9.28515625" bestFit="1" customWidth="1"/>
    <col min="11149" max="11149" width="7.42578125" customWidth="1"/>
    <col min="11150" max="11151" width="10.85546875" bestFit="1" customWidth="1"/>
    <col min="11152" max="11153" width="10.85546875" customWidth="1"/>
    <col min="11154" max="11158" width="10" customWidth="1"/>
    <col min="11162" max="11163" width="10.85546875" bestFit="1" customWidth="1"/>
    <col min="11164" max="11164" width="10" bestFit="1" customWidth="1"/>
    <col min="11165" max="11166" width="9.28515625" bestFit="1" customWidth="1"/>
    <col min="11405" max="11405" width="7.42578125" customWidth="1"/>
    <col min="11406" max="11407" width="10.85546875" bestFit="1" customWidth="1"/>
    <col min="11408" max="11409" width="10.85546875" customWidth="1"/>
    <col min="11410" max="11414" width="10" customWidth="1"/>
    <col min="11418" max="11419" width="10.85546875" bestFit="1" customWidth="1"/>
    <col min="11420" max="11420" width="10" bestFit="1" customWidth="1"/>
    <col min="11421" max="11422" width="9.28515625" bestFit="1" customWidth="1"/>
    <col min="11661" max="11661" width="7.42578125" customWidth="1"/>
    <col min="11662" max="11663" width="10.85546875" bestFit="1" customWidth="1"/>
    <col min="11664" max="11665" width="10.85546875" customWidth="1"/>
    <col min="11666" max="11670" width="10" customWidth="1"/>
    <col min="11674" max="11675" width="10.85546875" bestFit="1" customWidth="1"/>
    <col min="11676" max="11676" width="10" bestFit="1" customWidth="1"/>
    <col min="11677" max="11678" width="9.28515625" bestFit="1" customWidth="1"/>
    <col min="11917" max="11917" width="7.42578125" customWidth="1"/>
    <col min="11918" max="11919" width="10.85546875" bestFit="1" customWidth="1"/>
    <col min="11920" max="11921" width="10.85546875" customWidth="1"/>
    <col min="11922" max="11926" width="10" customWidth="1"/>
    <col min="11930" max="11931" width="10.85546875" bestFit="1" customWidth="1"/>
    <col min="11932" max="11932" width="10" bestFit="1" customWidth="1"/>
    <col min="11933" max="11934" width="9.28515625" bestFit="1" customWidth="1"/>
    <col min="12173" max="12173" width="7.42578125" customWidth="1"/>
    <col min="12174" max="12175" width="10.85546875" bestFit="1" customWidth="1"/>
    <col min="12176" max="12177" width="10.85546875" customWidth="1"/>
    <col min="12178" max="12182" width="10" customWidth="1"/>
    <col min="12186" max="12187" width="10.85546875" bestFit="1" customWidth="1"/>
    <col min="12188" max="12188" width="10" bestFit="1" customWidth="1"/>
    <col min="12189" max="12190" width="9.28515625" bestFit="1" customWidth="1"/>
    <col min="12429" max="12429" width="7.42578125" customWidth="1"/>
    <col min="12430" max="12431" width="10.85546875" bestFit="1" customWidth="1"/>
    <col min="12432" max="12433" width="10.85546875" customWidth="1"/>
    <col min="12434" max="12438" width="10" customWidth="1"/>
    <col min="12442" max="12443" width="10.85546875" bestFit="1" customWidth="1"/>
    <col min="12444" max="12444" width="10" bestFit="1" customWidth="1"/>
    <col min="12445" max="12446" width="9.28515625" bestFit="1" customWidth="1"/>
    <col min="12685" max="12685" width="7.42578125" customWidth="1"/>
    <col min="12686" max="12687" width="10.85546875" bestFit="1" customWidth="1"/>
    <col min="12688" max="12689" width="10.85546875" customWidth="1"/>
    <col min="12690" max="12694" width="10" customWidth="1"/>
    <col min="12698" max="12699" width="10.85546875" bestFit="1" customWidth="1"/>
    <col min="12700" max="12700" width="10" bestFit="1" customWidth="1"/>
    <col min="12701" max="12702" width="9.28515625" bestFit="1" customWidth="1"/>
    <col min="12941" max="12941" width="7.42578125" customWidth="1"/>
    <col min="12942" max="12943" width="10.85546875" bestFit="1" customWidth="1"/>
    <col min="12944" max="12945" width="10.85546875" customWidth="1"/>
    <col min="12946" max="12950" width="10" customWidth="1"/>
    <col min="12954" max="12955" width="10.85546875" bestFit="1" customWidth="1"/>
    <col min="12956" max="12956" width="10" bestFit="1" customWidth="1"/>
    <col min="12957" max="12958" width="9.28515625" bestFit="1" customWidth="1"/>
    <col min="13197" max="13197" width="7.42578125" customWidth="1"/>
    <col min="13198" max="13199" width="10.85546875" bestFit="1" customWidth="1"/>
    <col min="13200" max="13201" width="10.85546875" customWidth="1"/>
    <col min="13202" max="13206" width="10" customWidth="1"/>
    <col min="13210" max="13211" width="10.85546875" bestFit="1" customWidth="1"/>
    <col min="13212" max="13212" width="10" bestFit="1" customWidth="1"/>
    <col min="13213" max="13214" width="9.28515625" bestFit="1" customWidth="1"/>
    <col min="13453" max="13453" width="7.42578125" customWidth="1"/>
    <col min="13454" max="13455" width="10.85546875" bestFit="1" customWidth="1"/>
    <col min="13456" max="13457" width="10.85546875" customWidth="1"/>
    <col min="13458" max="13462" width="10" customWidth="1"/>
    <col min="13466" max="13467" width="10.85546875" bestFit="1" customWidth="1"/>
    <col min="13468" max="13468" width="10" bestFit="1" customWidth="1"/>
    <col min="13469" max="13470" width="9.28515625" bestFit="1" customWidth="1"/>
    <col min="13709" max="13709" width="7.42578125" customWidth="1"/>
    <col min="13710" max="13711" width="10.85546875" bestFit="1" customWidth="1"/>
    <col min="13712" max="13713" width="10.85546875" customWidth="1"/>
    <col min="13714" max="13718" width="10" customWidth="1"/>
    <col min="13722" max="13723" width="10.85546875" bestFit="1" customWidth="1"/>
    <col min="13724" max="13724" width="10" bestFit="1" customWidth="1"/>
    <col min="13725" max="13726" width="9.28515625" bestFit="1" customWidth="1"/>
    <col min="13965" max="13965" width="7.42578125" customWidth="1"/>
    <col min="13966" max="13967" width="10.85546875" bestFit="1" customWidth="1"/>
    <col min="13968" max="13969" width="10.85546875" customWidth="1"/>
    <col min="13970" max="13974" width="10" customWidth="1"/>
    <col min="13978" max="13979" width="10.85546875" bestFit="1" customWidth="1"/>
    <col min="13980" max="13980" width="10" bestFit="1" customWidth="1"/>
    <col min="13981" max="13982" width="9.28515625" bestFit="1" customWidth="1"/>
    <col min="14221" max="14221" width="7.42578125" customWidth="1"/>
    <col min="14222" max="14223" width="10.85546875" bestFit="1" customWidth="1"/>
    <col min="14224" max="14225" width="10.85546875" customWidth="1"/>
    <col min="14226" max="14230" width="10" customWidth="1"/>
    <col min="14234" max="14235" width="10.85546875" bestFit="1" customWidth="1"/>
    <col min="14236" max="14236" width="10" bestFit="1" customWidth="1"/>
    <col min="14237" max="14238" width="9.28515625" bestFit="1" customWidth="1"/>
    <col min="14477" max="14477" width="7.42578125" customWidth="1"/>
    <col min="14478" max="14479" width="10.85546875" bestFit="1" customWidth="1"/>
    <col min="14480" max="14481" width="10.85546875" customWidth="1"/>
    <col min="14482" max="14486" width="10" customWidth="1"/>
    <col min="14490" max="14491" width="10.85546875" bestFit="1" customWidth="1"/>
    <col min="14492" max="14492" width="10" bestFit="1" customWidth="1"/>
    <col min="14493" max="14494" width="9.28515625" bestFit="1" customWidth="1"/>
    <col min="14733" max="14733" width="7.42578125" customWidth="1"/>
    <col min="14734" max="14735" width="10.85546875" bestFit="1" customWidth="1"/>
    <col min="14736" max="14737" width="10.85546875" customWidth="1"/>
    <col min="14738" max="14742" width="10" customWidth="1"/>
    <col min="14746" max="14747" width="10.85546875" bestFit="1" customWidth="1"/>
    <col min="14748" max="14748" width="10" bestFit="1" customWidth="1"/>
    <col min="14749" max="14750" width="9.28515625" bestFit="1" customWidth="1"/>
    <col min="14989" max="14989" width="7.42578125" customWidth="1"/>
    <col min="14990" max="14991" width="10.85546875" bestFit="1" customWidth="1"/>
    <col min="14992" max="14993" width="10.85546875" customWidth="1"/>
    <col min="14994" max="14998" width="10" customWidth="1"/>
    <col min="15002" max="15003" width="10.85546875" bestFit="1" customWidth="1"/>
    <col min="15004" max="15004" width="10" bestFit="1" customWidth="1"/>
    <col min="15005" max="15006" width="9.28515625" bestFit="1" customWidth="1"/>
    <col min="15245" max="15245" width="7.42578125" customWidth="1"/>
    <col min="15246" max="15247" width="10.85546875" bestFit="1" customWidth="1"/>
    <col min="15248" max="15249" width="10.85546875" customWidth="1"/>
    <col min="15250" max="15254" width="10" customWidth="1"/>
    <col min="15258" max="15259" width="10.85546875" bestFit="1" customWidth="1"/>
    <col min="15260" max="15260" width="10" bestFit="1" customWidth="1"/>
    <col min="15261" max="15262" width="9.28515625" bestFit="1" customWidth="1"/>
    <col min="15501" max="15501" width="7.42578125" customWidth="1"/>
    <col min="15502" max="15503" width="10.85546875" bestFit="1" customWidth="1"/>
    <col min="15504" max="15505" width="10.85546875" customWidth="1"/>
    <col min="15506" max="15510" width="10" customWidth="1"/>
    <col min="15514" max="15515" width="10.85546875" bestFit="1" customWidth="1"/>
    <col min="15516" max="15516" width="10" bestFit="1" customWidth="1"/>
    <col min="15517" max="15518" width="9.28515625" bestFit="1" customWidth="1"/>
    <col min="15757" max="15757" width="7.42578125" customWidth="1"/>
    <col min="15758" max="15759" width="10.85546875" bestFit="1" customWidth="1"/>
    <col min="15760" max="15761" width="10.85546875" customWidth="1"/>
    <col min="15762" max="15766" width="10" customWidth="1"/>
    <col min="15770" max="15771" width="10.85546875" bestFit="1" customWidth="1"/>
    <col min="15772" max="15772" width="10" bestFit="1" customWidth="1"/>
    <col min="15773" max="15774" width="9.28515625" bestFit="1" customWidth="1"/>
  </cols>
  <sheetData>
    <row r="1" spans="1:48" x14ac:dyDescent="0.2">
      <c r="A1" s="45" t="s">
        <v>2</v>
      </c>
    </row>
    <row r="2" spans="1:48" x14ac:dyDescent="0.2">
      <c r="A2" s="45" t="s">
        <v>3</v>
      </c>
    </row>
    <row r="3" spans="1:48" x14ac:dyDescent="0.2">
      <c r="A3" s="864" t="s">
        <v>4</v>
      </c>
      <c r="B3" s="864"/>
      <c r="C3" s="864"/>
      <c r="D3" s="864"/>
      <c r="E3" s="864"/>
      <c r="F3" s="864"/>
      <c r="G3" s="864"/>
      <c r="H3" s="864"/>
      <c r="I3" s="864"/>
      <c r="J3" s="864"/>
    </row>
    <row r="4" spans="1:48" x14ac:dyDescent="0.2">
      <c r="A4" s="6"/>
      <c r="M4" s="699"/>
      <c r="N4" s="699"/>
    </row>
    <row r="5" spans="1:48" ht="16.5" customHeight="1" x14ac:dyDescent="0.25">
      <c r="A5" s="189" t="s">
        <v>856</v>
      </c>
      <c r="B5" s="53"/>
      <c r="C5" s="53"/>
      <c r="D5" s="53"/>
      <c r="E5" s="54"/>
      <c r="F5" s="437"/>
      <c r="H5" s="622"/>
      <c r="I5" s="188"/>
      <c r="J5" s="188"/>
      <c r="K5" s="121"/>
      <c r="L5" s="121"/>
      <c r="M5" s="698"/>
      <c r="N5" s="698"/>
      <c r="O5" s="121"/>
      <c r="P5" s="121"/>
    </row>
    <row r="6" spans="1:48" ht="16.5" customHeight="1" thickBot="1" x14ac:dyDescent="0.3">
      <c r="A6" s="51"/>
      <c r="B6" s="621"/>
      <c r="C6" s="15"/>
      <c r="D6" s="15"/>
      <c r="G6" s="644"/>
      <c r="H6" s="623"/>
      <c r="I6" s="11"/>
      <c r="J6" s="11"/>
      <c r="M6" s="698"/>
      <c r="N6" s="698"/>
    </row>
    <row r="7" spans="1:48" ht="16.5" customHeight="1" x14ac:dyDescent="0.25">
      <c r="A7" s="10"/>
      <c r="B7" s="827" t="s">
        <v>855</v>
      </c>
      <c r="C7" s="828"/>
      <c r="D7" s="828"/>
      <c r="E7" s="828"/>
      <c r="F7" s="828"/>
      <c r="G7" s="828"/>
      <c r="H7" s="828"/>
      <c r="I7" s="828"/>
      <c r="J7" s="829"/>
      <c r="K7" s="859" t="s">
        <v>830</v>
      </c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  <c r="AA7" s="833"/>
      <c r="AB7" s="833"/>
      <c r="AC7" s="833"/>
      <c r="AD7" s="833"/>
      <c r="AE7" s="833"/>
      <c r="AF7" s="833"/>
      <c r="AG7" s="833"/>
      <c r="AH7" s="833"/>
      <c r="AI7" s="833"/>
      <c r="AJ7" s="833"/>
      <c r="AK7" s="833"/>
      <c r="AL7" s="833"/>
      <c r="AM7" s="833"/>
      <c r="AN7" s="835" t="s">
        <v>857</v>
      </c>
      <c r="AO7" s="836"/>
      <c r="AP7" s="836"/>
      <c r="AQ7" s="836"/>
      <c r="AR7" s="836"/>
      <c r="AS7" s="836"/>
      <c r="AT7" s="836"/>
      <c r="AU7" s="836"/>
      <c r="AV7" s="837"/>
    </row>
    <row r="8" spans="1:48" ht="13.5" customHeight="1" thickBot="1" x14ac:dyDescent="0.25">
      <c r="B8" s="830"/>
      <c r="C8" s="831"/>
      <c r="D8" s="831"/>
      <c r="E8" s="831"/>
      <c r="F8" s="831"/>
      <c r="G8" s="831"/>
      <c r="H8" s="831"/>
      <c r="I8" s="831"/>
      <c r="J8" s="832"/>
      <c r="K8" s="860" t="s">
        <v>283</v>
      </c>
      <c r="L8" s="841"/>
      <c r="M8" s="841"/>
      <c r="N8" s="841"/>
      <c r="O8" s="841"/>
      <c r="P8" s="841"/>
      <c r="Q8" s="842"/>
      <c r="R8" s="847" t="s">
        <v>284</v>
      </c>
      <c r="S8" s="841"/>
      <c r="T8" s="841"/>
      <c r="U8" s="842"/>
      <c r="V8" s="790" t="s">
        <v>285</v>
      </c>
      <c r="W8" s="790" t="s">
        <v>5</v>
      </c>
      <c r="X8" s="790" t="s">
        <v>286</v>
      </c>
      <c r="Y8" s="850" t="s">
        <v>287</v>
      </c>
      <c r="Z8" s="851"/>
      <c r="AA8" s="852"/>
      <c r="AB8" s="790" t="s">
        <v>309</v>
      </c>
      <c r="AC8" s="793" t="s">
        <v>288</v>
      </c>
      <c r="AD8" s="794"/>
      <c r="AE8" s="794"/>
      <c r="AF8" s="794"/>
      <c r="AG8" s="794"/>
      <c r="AH8" s="794"/>
      <c r="AI8" s="794"/>
      <c r="AJ8" s="794"/>
      <c r="AK8" s="794"/>
      <c r="AL8" s="794"/>
      <c r="AM8" s="794"/>
      <c r="AN8" s="838"/>
      <c r="AO8" s="839"/>
      <c r="AP8" s="839"/>
      <c r="AQ8" s="839"/>
      <c r="AR8" s="839"/>
      <c r="AS8" s="839"/>
      <c r="AT8" s="839"/>
      <c r="AU8" s="839"/>
      <c r="AV8" s="840"/>
    </row>
    <row r="9" spans="1:48" ht="12.75" customHeight="1" x14ac:dyDescent="0.2">
      <c r="B9" s="796" t="s">
        <v>6</v>
      </c>
      <c r="C9" s="799" t="s">
        <v>816</v>
      </c>
      <c r="D9" s="800"/>
      <c r="E9" s="800"/>
      <c r="F9" s="800"/>
      <c r="G9" s="801"/>
      <c r="H9" s="805" t="s">
        <v>280</v>
      </c>
      <c r="I9" s="808" t="s">
        <v>817</v>
      </c>
      <c r="J9" s="809"/>
      <c r="K9" s="861"/>
      <c r="L9" s="843"/>
      <c r="M9" s="843"/>
      <c r="N9" s="843"/>
      <c r="O9" s="843"/>
      <c r="P9" s="843"/>
      <c r="Q9" s="844"/>
      <c r="R9" s="848"/>
      <c r="S9" s="843"/>
      <c r="T9" s="843"/>
      <c r="U9" s="844"/>
      <c r="V9" s="791"/>
      <c r="W9" s="791"/>
      <c r="X9" s="791"/>
      <c r="Y9" s="853"/>
      <c r="Z9" s="854"/>
      <c r="AA9" s="855"/>
      <c r="AB9" s="791"/>
      <c r="AC9" s="812" t="s">
        <v>289</v>
      </c>
      <c r="AD9" s="813"/>
      <c r="AE9" s="816" t="s">
        <v>290</v>
      </c>
      <c r="AF9" s="818" t="s">
        <v>837</v>
      </c>
      <c r="AG9" s="819"/>
      <c r="AH9" s="816" t="s">
        <v>839</v>
      </c>
      <c r="AI9" s="812" t="s">
        <v>291</v>
      </c>
      <c r="AJ9" s="813"/>
      <c r="AK9" s="821" t="s">
        <v>292</v>
      </c>
      <c r="AL9" s="822"/>
      <c r="AM9" s="822"/>
      <c r="AN9" s="796" t="s">
        <v>6</v>
      </c>
      <c r="AO9" s="799" t="s">
        <v>816</v>
      </c>
      <c r="AP9" s="800"/>
      <c r="AQ9" s="800"/>
      <c r="AR9" s="800"/>
      <c r="AS9" s="801"/>
      <c r="AT9" s="805" t="s">
        <v>280</v>
      </c>
      <c r="AU9" s="808" t="s">
        <v>818</v>
      </c>
      <c r="AV9" s="809"/>
    </row>
    <row r="10" spans="1:48" ht="20.25" customHeight="1" x14ac:dyDescent="0.2">
      <c r="A10"/>
      <c r="B10" s="797"/>
      <c r="C10" s="802"/>
      <c r="D10" s="803"/>
      <c r="E10" s="803"/>
      <c r="F10" s="803"/>
      <c r="G10" s="804"/>
      <c r="H10" s="806"/>
      <c r="I10" s="810"/>
      <c r="J10" s="811"/>
      <c r="K10" s="862"/>
      <c r="L10" s="845"/>
      <c r="M10" s="845"/>
      <c r="N10" s="845"/>
      <c r="O10" s="845"/>
      <c r="P10" s="845"/>
      <c r="Q10" s="846"/>
      <c r="R10" s="849"/>
      <c r="S10" s="845"/>
      <c r="T10" s="845"/>
      <c r="U10" s="846"/>
      <c r="V10" s="791"/>
      <c r="W10" s="791"/>
      <c r="X10" s="791"/>
      <c r="Y10" s="856"/>
      <c r="Z10" s="857"/>
      <c r="AA10" s="858"/>
      <c r="AB10" s="791"/>
      <c r="AC10" s="814"/>
      <c r="AD10" s="815"/>
      <c r="AE10" s="817"/>
      <c r="AF10" s="704" t="s">
        <v>835</v>
      </c>
      <c r="AG10" s="704" t="s">
        <v>836</v>
      </c>
      <c r="AH10" s="817"/>
      <c r="AI10" s="814"/>
      <c r="AJ10" s="815"/>
      <c r="AK10" s="824"/>
      <c r="AL10" s="825"/>
      <c r="AM10" s="825"/>
      <c r="AN10" s="797"/>
      <c r="AO10" s="802"/>
      <c r="AP10" s="803"/>
      <c r="AQ10" s="803"/>
      <c r="AR10" s="803"/>
      <c r="AS10" s="804"/>
      <c r="AT10" s="806"/>
      <c r="AU10" s="810"/>
      <c r="AV10" s="811"/>
    </row>
    <row r="11" spans="1:48" s="5" customFormat="1" ht="45.75" thickBot="1" x14ac:dyDescent="0.25">
      <c r="A11" s="12" t="s">
        <v>250</v>
      </c>
      <c r="B11" s="798"/>
      <c r="C11" s="454" t="s">
        <v>274</v>
      </c>
      <c r="D11" s="454" t="s">
        <v>284</v>
      </c>
      <c r="E11" s="445" t="s">
        <v>5</v>
      </c>
      <c r="F11" s="445" t="s">
        <v>1</v>
      </c>
      <c r="G11" s="445" t="s">
        <v>7</v>
      </c>
      <c r="H11" s="807"/>
      <c r="I11" s="448" t="s">
        <v>281</v>
      </c>
      <c r="J11" s="449" t="s">
        <v>282</v>
      </c>
      <c r="K11" s="450" t="s">
        <v>293</v>
      </c>
      <c r="L11" s="447" t="s">
        <v>290</v>
      </c>
      <c r="M11" s="447" t="s">
        <v>838</v>
      </c>
      <c r="N11" s="447" t="s">
        <v>839</v>
      </c>
      <c r="O11" s="447" t="s">
        <v>832</v>
      </c>
      <c r="P11" s="447" t="s">
        <v>291</v>
      </c>
      <c r="Q11" s="447" t="s">
        <v>840</v>
      </c>
      <c r="R11" s="446" t="s">
        <v>294</v>
      </c>
      <c r="S11" s="447" t="s">
        <v>815</v>
      </c>
      <c r="T11" s="446" t="s">
        <v>295</v>
      </c>
      <c r="U11" s="447" t="s">
        <v>782</v>
      </c>
      <c r="V11" s="792"/>
      <c r="W11" s="792"/>
      <c r="X11" s="792"/>
      <c r="Y11" s="447" t="s">
        <v>290</v>
      </c>
      <c r="Z11" s="447" t="s">
        <v>296</v>
      </c>
      <c r="AA11" s="447" t="s">
        <v>783</v>
      </c>
      <c r="AB11" s="792"/>
      <c r="AC11" s="451" t="s">
        <v>281</v>
      </c>
      <c r="AD11" s="452" t="s">
        <v>282</v>
      </c>
      <c r="AE11" s="451" t="s">
        <v>281</v>
      </c>
      <c r="AF11" s="451" t="s">
        <v>281</v>
      </c>
      <c r="AG11" s="452" t="s">
        <v>282</v>
      </c>
      <c r="AH11" s="451" t="s">
        <v>281</v>
      </c>
      <c r="AI11" s="451" t="s">
        <v>281</v>
      </c>
      <c r="AJ11" s="452" t="s">
        <v>282</v>
      </c>
      <c r="AK11" s="451" t="s">
        <v>281</v>
      </c>
      <c r="AL11" s="452" t="s">
        <v>282</v>
      </c>
      <c r="AM11" s="452" t="s">
        <v>305</v>
      </c>
      <c r="AN11" s="798"/>
      <c r="AO11" s="38" t="s">
        <v>274</v>
      </c>
      <c r="AP11" s="454" t="s">
        <v>284</v>
      </c>
      <c r="AQ11" s="445" t="s">
        <v>5</v>
      </c>
      <c r="AR11" s="445" t="s">
        <v>1</v>
      </c>
      <c r="AS11" s="445" t="s">
        <v>7</v>
      </c>
      <c r="AT11" s="807"/>
      <c r="AU11" s="448" t="s">
        <v>281</v>
      </c>
      <c r="AV11" s="449" t="s">
        <v>282</v>
      </c>
    </row>
    <row r="12" spans="1:48" s="5" customFormat="1" ht="12" customHeight="1" thickBot="1" x14ac:dyDescent="0.25">
      <c r="A12" s="464" t="s">
        <v>251</v>
      </c>
      <c r="B12" s="147" t="s">
        <v>268</v>
      </c>
      <c r="C12" s="148" t="s">
        <v>269</v>
      </c>
      <c r="D12" s="148" t="s">
        <v>275</v>
      </c>
      <c r="E12" s="148" t="s">
        <v>270</v>
      </c>
      <c r="F12" s="148" t="s">
        <v>271</v>
      </c>
      <c r="G12" s="148" t="s">
        <v>272</v>
      </c>
      <c r="H12" s="443" t="s">
        <v>273</v>
      </c>
      <c r="I12" s="149" t="s">
        <v>563</v>
      </c>
      <c r="J12" s="187" t="s">
        <v>564</v>
      </c>
      <c r="K12" s="713" t="s">
        <v>297</v>
      </c>
      <c r="L12" s="148" t="s">
        <v>297</v>
      </c>
      <c r="M12" s="148" t="s">
        <v>297</v>
      </c>
      <c r="N12" s="148" t="s">
        <v>297</v>
      </c>
      <c r="O12" s="148" t="s">
        <v>297</v>
      </c>
      <c r="P12" s="148" t="s">
        <v>297</v>
      </c>
      <c r="Q12" s="148" t="s">
        <v>297</v>
      </c>
      <c r="R12" s="713" t="s">
        <v>298</v>
      </c>
      <c r="S12" s="148" t="s">
        <v>298</v>
      </c>
      <c r="T12" s="148" t="s">
        <v>299</v>
      </c>
      <c r="U12" s="148" t="s">
        <v>298</v>
      </c>
      <c r="V12" s="148" t="s">
        <v>300</v>
      </c>
      <c r="W12" s="148" t="s">
        <v>301</v>
      </c>
      <c r="X12" s="148" t="s">
        <v>302</v>
      </c>
      <c r="Y12" s="148" t="s">
        <v>304</v>
      </c>
      <c r="Z12" s="148" t="s">
        <v>303</v>
      </c>
      <c r="AA12" s="148" t="s">
        <v>303</v>
      </c>
      <c r="AB12" s="148" t="s">
        <v>310</v>
      </c>
      <c r="AC12" s="149" t="s">
        <v>306</v>
      </c>
      <c r="AD12" s="149" t="s">
        <v>307</v>
      </c>
      <c r="AE12" s="149" t="s">
        <v>306</v>
      </c>
      <c r="AF12" s="149" t="s">
        <v>306</v>
      </c>
      <c r="AG12" s="149" t="s">
        <v>307</v>
      </c>
      <c r="AH12" s="149" t="s">
        <v>306</v>
      </c>
      <c r="AI12" s="149" t="s">
        <v>306</v>
      </c>
      <c r="AJ12" s="149" t="s">
        <v>307</v>
      </c>
      <c r="AK12" s="149" t="s">
        <v>306</v>
      </c>
      <c r="AL12" s="149" t="s">
        <v>307</v>
      </c>
      <c r="AM12" s="150" t="s">
        <v>308</v>
      </c>
      <c r="AN12" s="147" t="s">
        <v>268</v>
      </c>
      <c r="AO12" s="148" t="s">
        <v>269</v>
      </c>
      <c r="AP12" s="148" t="s">
        <v>275</v>
      </c>
      <c r="AQ12" s="148" t="s">
        <v>270</v>
      </c>
      <c r="AR12" s="148" t="s">
        <v>271</v>
      </c>
      <c r="AS12" s="148" t="s">
        <v>272</v>
      </c>
      <c r="AT12" s="149" t="s">
        <v>273</v>
      </c>
      <c r="AU12" s="149" t="s">
        <v>563</v>
      </c>
      <c r="AV12" s="187" t="s">
        <v>564</v>
      </c>
    </row>
    <row r="13" spans="1:48" x14ac:dyDescent="0.2">
      <c r="A13" s="184" t="s">
        <v>252</v>
      </c>
      <c r="B13" s="455">
        <f>LB!I466</f>
        <v>1823576362</v>
      </c>
      <c r="C13" s="456">
        <f>LB!J466</f>
        <v>1314242428</v>
      </c>
      <c r="D13" s="456">
        <f>LB!K466</f>
        <v>9205206</v>
      </c>
      <c r="E13" s="456">
        <f>LB!L466</f>
        <v>447175501</v>
      </c>
      <c r="F13" s="456">
        <f>LB!M466</f>
        <v>26284841</v>
      </c>
      <c r="G13" s="456">
        <f>LB!N466</f>
        <v>26668386</v>
      </c>
      <c r="H13" s="457">
        <f>LB!O466</f>
        <v>2710.8421000000008</v>
      </c>
      <c r="I13" s="457">
        <f>LB!P466</f>
        <v>1965.9391000000005</v>
      </c>
      <c r="J13" s="626">
        <f>LB!Q466</f>
        <v>744.90300000000025</v>
      </c>
      <c r="K13" s="617">
        <f>LB!R466</f>
        <v>-28502</v>
      </c>
      <c r="L13" s="456">
        <f>LB!S466</f>
        <v>193177</v>
      </c>
      <c r="M13" s="456">
        <f>LB!T466</f>
        <v>4129034</v>
      </c>
      <c r="N13" s="456">
        <f>LB!U466</f>
        <v>79002</v>
      </c>
      <c r="O13" s="456">
        <f>LB!V466</f>
        <v>-1058911</v>
      </c>
      <c r="P13" s="456">
        <f>LB!W466</f>
        <v>0</v>
      </c>
      <c r="Q13" s="456">
        <f>LB!X466</f>
        <v>3313800</v>
      </c>
      <c r="R13" s="456">
        <f>LB!Y466</f>
        <v>28502</v>
      </c>
      <c r="S13" s="456">
        <f>LB!Z466</f>
        <v>0</v>
      </c>
      <c r="T13" s="456">
        <f>LB!AA466</f>
        <v>0</v>
      </c>
      <c r="U13" s="456">
        <f>LB!AB466</f>
        <v>28502</v>
      </c>
      <c r="V13" s="456">
        <f>LB!AC466</f>
        <v>3342302</v>
      </c>
      <c r="W13" s="456">
        <f>LB!AD466</f>
        <v>1129693</v>
      </c>
      <c r="X13" s="456">
        <f>LB!AE466</f>
        <v>66277</v>
      </c>
      <c r="Y13" s="456">
        <f>LB!AF466</f>
        <v>43200</v>
      </c>
      <c r="Z13" s="456">
        <f>LB!AG466</f>
        <v>1438004</v>
      </c>
      <c r="AA13" s="456">
        <f>LB!AH466</f>
        <v>1481204</v>
      </c>
      <c r="AB13" s="456">
        <f>LB!AI466</f>
        <v>6019476</v>
      </c>
      <c r="AC13" s="457">
        <f>LB!AJ466</f>
        <v>-0.05</v>
      </c>
      <c r="AD13" s="457">
        <f>LB!AK466</f>
        <v>0</v>
      </c>
      <c r="AE13" s="457">
        <f>LB!AL466</f>
        <v>0.73999999999999977</v>
      </c>
      <c r="AF13" s="457">
        <f>LB!AM466</f>
        <v>7.1899999999999995</v>
      </c>
      <c r="AG13" s="457">
        <f>LB!AN466</f>
        <v>9.9999999999992872E-3</v>
      </c>
      <c r="AH13" s="457">
        <f>LB!AO466</f>
        <v>0.13</v>
      </c>
      <c r="AI13" s="457">
        <f>LB!AP466</f>
        <v>0</v>
      </c>
      <c r="AJ13" s="457">
        <f>LB!AQ466</f>
        <v>0</v>
      </c>
      <c r="AK13" s="457">
        <f>LB!AR466</f>
        <v>8.01</v>
      </c>
      <c r="AL13" s="457">
        <f>LB!AS466</f>
        <v>9.9999999999992872E-3</v>
      </c>
      <c r="AM13" s="482">
        <f>LB!AT466</f>
        <v>8.0200000000000067</v>
      </c>
      <c r="AN13" s="455">
        <f>LB!AU466</f>
        <v>1829595838</v>
      </c>
      <c r="AO13" s="456">
        <f>LB!AV466</f>
        <v>1317556228</v>
      </c>
      <c r="AP13" s="456">
        <f>LB!AW466</f>
        <v>9233708</v>
      </c>
      <c r="AQ13" s="456">
        <f>LB!AX466</f>
        <v>448305194</v>
      </c>
      <c r="AR13" s="456">
        <f>LB!AY466</f>
        <v>26351118</v>
      </c>
      <c r="AS13" s="456">
        <f>LB!AZ466</f>
        <v>28149590</v>
      </c>
      <c r="AT13" s="457">
        <f>LB!BA466</f>
        <v>2718.8621000000016</v>
      </c>
      <c r="AU13" s="457">
        <f>LB!BB466</f>
        <v>1973.949100000001</v>
      </c>
      <c r="AV13" s="626">
        <f>LB!BC466</f>
        <v>744.91300000000001</v>
      </c>
    </row>
    <row r="14" spans="1:48" x14ac:dyDescent="0.2">
      <c r="A14" s="185" t="s">
        <v>253</v>
      </c>
      <c r="B14" s="477">
        <f>FR!I131</f>
        <v>330750844</v>
      </c>
      <c r="C14" s="472">
        <f>FR!J131</f>
        <v>238076592</v>
      </c>
      <c r="D14" s="472">
        <f>FR!K131</f>
        <v>2367028</v>
      </c>
      <c r="E14" s="472">
        <f>FR!L131</f>
        <v>81216785</v>
      </c>
      <c r="F14" s="472">
        <f>FR!M131</f>
        <v>4761532</v>
      </c>
      <c r="G14" s="472">
        <f>FR!N131</f>
        <v>4328907</v>
      </c>
      <c r="H14" s="473">
        <f>FR!O131</f>
        <v>510.04560000000004</v>
      </c>
      <c r="I14" s="473">
        <f>FR!P131</f>
        <v>370.34770000000003</v>
      </c>
      <c r="J14" s="727">
        <f>FR!Q131</f>
        <v>139.6979</v>
      </c>
      <c r="K14" s="728">
        <f>FR!R131</f>
        <v>-10000</v>
      </c>
      <c r="L14" s="472">
        <f>FR!S131</f>
        <v>31070</v>
      </c>
      <c r="M14" s="472">
        <f>FR!T131</f>
        <v>679076</v>
      </c>
      <c r="N14" s="472">
        <f>FR!U131</f>
        <v>0</v>
      </c>
      <c r="O14" s="472">
        <f>FR!V131</f>
        <v>0</v>
      </c>
      <c r="P14" s="472">
        <f>FR!W131</f>
        <v>0</v>
      </c>
      <c r="Q14" s="472">
        <f>FR!X131</f>
        <v>700146</v>
      </c>
      <c r="R14" s="472">
        <f>FR!Y131</f>
        <v>10000</v>
      </c>
      <c r="S14" s="472">
        <f>FR!Z131</f>
        <v>0</v>
      </c>
      <c r="T14" s="472">
        <f>FR!AA131</f>
        <v>0</v>
      </c>
      <c r="U14" s="472">
        <f>FR!AB131</f>
        <v>10000</v>
      </c>
      <c r="V14" s="472">
        <f>FR!AC131</f>
        <v>710146</v>
      </c>
      <c r="W14" s="472">
        <f>FR!AD131</f>
        <v>240031</v>
      </c>
      <c r="X14" s="472">
        <f>FR!AE131</f>
        <v>14005</v>
      </c>
      <c r="Y14" s="472">
        <f>FR!AF131</f>
        <v>19200</v>
      </c>
      <c r="Z14" s="472">
        <f>FR!AG131</f>
        <v>0</v>
      </c>
      <c r="AA14" s="472">
        <f>FR!AH131</f>
        <v>19200</v>
      </c>
      <c r="AB14" s="472">
        <f>FR!AI131</f>
        <v>983382</v>
      </c>
      <c r="AC14" s="473">
        <f>FR!AJ131</f>
        <v>-0.02</v>
      </c>
      <c r="AD14" s="473">
        <f>FR!AK131</f>
        <v>0</v>
      </c>
      <c r="AE14" s="473">
        <f>FR!AL131</f>
        <v>4.0000000000000008E-2</v>
      </c>
      <c r="AF14" s="473">
        <f>FR!AM131</f>
        <v>1.52</v>
      </c>
      <c r="AG14" s="473">
        <f>FR!AN131</f>
        <v>-0.63000000000000012</v>
      </c>
      <c r="AH14" s="473">
        <f>FR!AO131</f>
        <v>0</v>
      </c>
      <c r="AI14" s="473">
        <f>FR!AP131</f>
        <v>0</v>
      </c>
      <c r="AJ14" s="473">
        <f>FR!AQ131</f>
        <v>0</v>
      </c>
      <c r="AK14" s="473">
        <f>FR!AR131</f>
        <v>1.54</v>
      </c>
      <c r="AL14" s="473">
        <f>FR!AS131</f>
        <v>-0.63000000000000012</v>
      </c>
      <c r="AM14" s="483">
        <f>FR!AT131</f>
        <v>0.91</v>
      </c>
      <c r="AN14" s="477">
        <f>FR!AU131</f>
        <v>331734226</v>
      </c>
      <c r="AO14" s="472">
        <f>FR!AV131</f>
        <v>238776738</v>
      </c>
      <c r="AP14" s="472">
        <f>FR!AW131</f>
        <v>2377028</v>
      </c>
      <c r="AQ14" s="472">
        <f>FR!AX131</f>
        <v>81456816</v>
      </c>
      <c r="AR14" s="472">
        <f>FR!AY131</f>
        <v>4775537</v>
      </c>
      <c r="AS14" s="472">
        <f>FR!AZ131</f>
        <v>4348107</v>
      </c>
      <c r="AT14" s="473">
        <f>FR!BA131</f>
        <v>510.95560000000006</v>
      </c>
      <c r="AU14" s="473">
        <f>FR!BB131</f>
        <v>371.8877</v>
      </c>
      <c r="AV14" s="727">
        <f>FR!BC131</f>
        <v>139.06789999999998</v>
      </c>
    </row>
    <row r="15" spans="1:48" s="3" customFormat="1" x14ac:dyDescent="0.2">
      <c r="A15" s="185" t="s">
        <v>254</v>
      </c>
      <c r="B15" s="477">
        <f>JN!I188</f>
        <v>668084305</v>
      </c>
      <c r="C15" s="472">
        <f>JN!J188</f>
        <v>483294193</v>
      </c>
      <c r="D15" s="472">
        <f>JN!K188</f>
        <v>2041220</v>
      </c>
      <c r="E15" s="472">
        <f>JN!L188</f>
        <v>164043373</v>
      </c>
      <c r="F15" s="472">
        <f>JN!M188</f>
        <v>9665886</v>
      </c>
      <c r="G15" s="472">
        <f>JN!N188</f>
        <v>9039633</v>
      </c>
      <c r="H15" s="473">
        <f>JN!O188</f>
        <v>1018.197</v>
      </c>
      <c r="I15" s="473">
        <f>JN!P188</f>
        <v>709.76940000000002</v>
      </c>
      <c r="J15" s="727">
        <f>JN!Q188</f>
        <v>308.42759999999998</v>
      </c>
      <c r="K15" s="728">
        <f>JN!R188</f>
        <v>-49500</v>
      </c>
      <c r="L15" s="472">
        <f>JN!S188</f>
        <v>58667</v>
      </c>
      <c r="M15" s="472">
        <f>JN!T188</f>
        <v>-515448</v>
      </c>
      <c r="N15" s="472">
        <f>JN!U188</f>
        <v>80784</v>
      </c>
      <c r="O15" s="472">
        <f>JN!V188</f>
        <v>-76141</v>
      </c>
      <c r="P15" s="472">
        <f>JN!W188</f>
        <v>0</v>
      </c>
      <c r="Q15" s="472">
        <f>JN!X188</f>
        <v>-501638</v>
      </c>
      <c r="R15" s="472">
        <f>JN!Y188</f>
        <v>49500</v>
      </c>
      <c r="S15" s="472">
        <f>JN!Z188</f>
        <v>0</v>
      </c>
      <c r="T15" s="472">
        <f>JN!AA188</f>
        <v>0</v>
      </c>
      <c r="U15" s="472">
        <f>JN!AB188</f>
        <v>49500</v>
      </c>
      <c r="V15" s="472">
        <f>JN!AC188</f>
        <v>-452138</v>
      </c>
      <c r="W15" s="472">
        <f>JN!AD188</f>
        <v>-152820</v>
      </c>
      <c r="X15" s="472">
        <f>JN!AE188</f>
        <v>-10032</v>
      </c>
      <c r="Y15" s="472">
        <f>JN!AF188</f>
        <v>9000</v>
      </c>
      <c r="Z15" s="472">
        <f>JN!AG188</f>
        <v>103399</v>
      </c>
      <c r="AA15" s="472">
        <f>JN!AH188</f>
        <v>112399</v>
      </c>
      <c r="AB15" s="472">
        <f>JN!AI188</f>
        <v>-502591</v>
      </c>
      <c r="AC15" s="473">
        <f>JN!AJ188</f>
        <v>-0.05</v>
      </c>
      <c r="AD15" s="473">
        <f>JN!AK188</f>
        <v>-0.12</v>
      </c>
      <c r="AE15" s="473">
        <f>JN!AL188</f>
        <v>0.25</v>
      </c>
      <c r="AF15" s="473">
        <f>JN!AM188</f>
        <v>-0.92</v>
      </c>
      <c r="AG15" s="473">
        <f>JN!AN188</f>
        <v>-0.57999999999999996</v>
      </c>
      <c r="AH15" s="473">
        <f>JN!AO188</f>
        <v>0.13</v>
      </c>
      <c r="AI15" s="473">
        <f>JN!AP188</f>
        <v>0</v>
      </c>
      <c r="AJ15" s="473">
        <f>JN!AQ188</f>
        <v>0</v>
      </c>
      <c r="AK15" s="473">
        <f>JN!AR188</f>
        <v>-0.59000000000000019</v>
      </c>
      <c r="AL15" s="473">
        <f>JN!AS188</f>
        <v>-0.7</v>
      </c>
      <c r="AM15" s="483">
        <f>JN!AT188</f>
        <v>-1.29</v>
      </c>
      <c r="AN15" s="477">
        <f>JN!AU188</f>
        <v>667581714</v>
      </c>
      <c r="AO15" s="472">
        <f>JN!AV188</f>
        <v>482792555</v>
      </c>
      <c r="AP15" s="472">
        <f>JN!AW188</f>
        <v>2090720</v>
      </c>
      <c r="AQ15" s="472">
        <f>JN!AX188</f>
        <v>163890553</v>
      </c>
      <c r="AR15" s="472">
        <f>JN!AY188</f>
        <v>9655854</v>
      </c>
      <c r="AS15" s="472">
        <f>JN!AZ188</f>
        <v>9152032</v>
      </c>
      <c r="AT15" s="473">
        <f>JN!BA188</f>
        <v>1016.907</v>
      </c>
      <c r="AU15" s="473">
        <f>JN!BB188</f>
        <v>709.17939999999999</v>
      </c>
      <c r="AV15" s="727">
        <f>JN!BC188</f>
        <v>307.72759999999994</v>
      </c>
    </row>
    <row r="16" spans="1:48" x14ac:dyDescent="0.2">
      <c r="A16" s="185" t="s">
        <v>255</v>
      </c>
      <c r="B16" s="477">
        <f>TA!I100</f>
        <v>263296804</v>
      </c>
      <c r="C16" s="472">
        <f>TA!J100</f>
        <v>189632836</v>
      </c>
      <c r="D16" s="472">
        <f>TA!K100</f>
        <v>1587200</v>
      </c>
      <c r="E16" s="472">
        <f>TA!L100</f>
        <v>64632370</v>
      </c>
      <c r="F16" s="472">
        <f>TA!M100</f>
        <v>3792658</v>
      </c>
      <c r="G16" s="472">
        <f>TA!N100</f>
        <v>3651740</v>
      </c>
      <c r="H16" s="473">
        <f>TA!O100</f>
        <v>406.39419999999996</v>
      </c>
      <c r="I16" s="473">
        <f>TA!P100</f>
        <v>299.233</v>
      </c>
      <c r="J16" s="727">
        <f>TA!Q100</f>
        <v>107.16120000000001</v>
      </c>
      <c r="K16" s="728">
        <f>TA!R100</f>
        <v>0</v>
      </c>
      <c r="L16" s="472">
        <f>TA!S100</f>
        <v>86300</v>
      </c>
      <c r="M16" s="472">
        <f>TA!T100</f>
        <v>609212</v>
      </c>
      <c r="N16" s="472">
        <f>TA!U100</f>
        <v>44520</v>
      </c>
      <c r="O16" s="472">
        <f>TA!V100</f>
        <v>0</v>
      </c>
      <c r="P16" s="472">
        <f>TA!W100</f>
        <v>0</v>
      </c>
      <c r="Q16" s="472">
        <f>TA!X100</f>
        <v>740032</v>
      </c>
      <c r="R16" s="472">
        <f>TA!Y100</f>
        <v>0</v>
      </c>
      <c r="S16" s="472">
        <f>TA!Z100</f>
        <v>0</v>
      </c>
      <c r="T16" s="472">
        <f>TA!AA100</f>
        <v>0</v>
      </c>
      <c r="U16" s="472">
        <f>TA!AB100</f>
        <v>0</v>
      </c>
      <c r="V16" s="472">
        <f>TA!AC100</f>
        <v>740032</v>
      </c>
      <c r="W16" s="472">
        <f>TA!AD100</f>
        <v>250130</v>
      </c>
      <c r="X16" s="472">
        <f>TA!AE100</f>
        <v>14800</v>
      </c>
      <c r="Y16" s="472">
        <f>TA!AF100</f>
        <v>6500</v>
      </c>
      <c r="Z16" s="472">
        <f>TA!AG100</f>
        <v>0</v>
      </c>
      <c r="AA16" s="472">
        <f>TA!AH100</f>
        <v>6500</v>
      </c>
      <c r="AB16" s="472">
        <f>TA!AI100</f>
        <v>1011462</v>
      </c>
      <c r="AC16" s="473">
        <f>TA!AJ100</f>
        <v>0</v>
      </c>
      <c r="AD16" s="473">
        <f>TA!AK100</f>
        <v>0</v>
      </c>
      <c r="AE16" s="473">
        <f>TA!AL100</f>
        <v>0.09</v>
      </c>
      <c r="AF16" s="473">
        <f>TA!AM100</f>
        <v>1.3499999999999999</v>
      </c>
      <c r="AG16" s="473">
        <f>TA!AN100</f>
        <v>-0.42</v>
      </c>
      <c r="AH16" s="473">
        <f>TA!AO100</f>
        <v>7.0000000000000007E-2</v>
      </c>
      <c r="AI16" s="473">
        <f>TA!AP100</f>
        <v>0</v>
      </c>
      <c r="AJ16" s="473">
        <f>TA!AQ100</f>
        <v>0</v>
      </c>
      <c r="AK16" s="473">
        <f>TA!AR100</f>
        <v>1.5099999999999998</v>
      </c>
      <c r="AL16" s="473">
        <f>TA!AS100</f>
        <v>-0.42</v>
      </c>
      <c r="AM16" s="483">
        <f>TA!AT100</f>
        <v>1.0899999999999994</v>
      </c>
      <c r="AN16" s="477">
        <f>TA!AU100</f>
        <v>264308266</v>
      </c>
      <c r="AO16" s="472">
        <f>TA!AV100</f>
        <v>190372868</v>
      </c>
      <c r="AP16" s="472">
        <f>TA!AW100</f>
        <v>1587200</v>
      </c>
      <c r="AQ16" s="472">
        <f>TA!AX100</f>
        <v>64882500</v>
      </c>
      <c r="AR16" s="472">
        <f>TA!AY100</f>
        <v>3807458</v>
      </c>
      <c r="AS16" s="472">
        <f>TA!AZ100</f>
        <v>3658240</v>
      </c>
      <c r="AT16" s="473">
        <f>TA!BA100</f>
        <v>407.48419999999999</v>
      </c>
      <c r="AU16" s="473">
        <f>TA!BB100</f>
        <v>300.74299999999999</v>
      </c>
      <c r="AV16" s="727">
        <f>TA!BC100</f>
        <v>106.74120000000001</v>
      </c>
    </row>
    <row r="17" spans="1:48" x14ac:dyDescent="0.2">
      <c r="A17" s="185" t="s">
        <v>256</v>
      </c>
      <c r="B17" s="477">
        <f>ŽB!I74</f>
        <v>148620573</v>
      </c>
      <c r="C17" s="472">
        <f>ŽB!J74</f>
        <v>107108565</v>
      </c>
      <c r="D17" s="472">
        <f>ŽB!K74</f>
        <v>892400</v>
      </c>
      <c r="E17" s="472">
        <f>ŽB!L74</f>
        <v>36504326</v>
      </c>
      <c r="F17" s="472">
        <f>ŽB!M74</f>
        <v>2142168</v>
      </c>
      <c r="G17" s="472">
        <f>ŽB!N74</f>
        <v>1973114</v>
      </c>
      <c r="H17" s="473">
        <f>ŽB!O74</f>
        <v>222.73679999999999</v>
      </c>
      <c r="I17" s="473">
        <f>ŽB!P74</f>
        <v>155.05420000000001</v>
      </c>
      <c r="J17" s="727">
        <f>ŽB!Q74</f>
        <v>67.682599999999994</v>
      </c>
      <c r="K17" s="728">
        <f>ŽB!R74</f>
        <v>0</v>
      </c>
      <c r="L17" s="472">
        <f>ŽB!S74</f>
        <v>-26003</v>
      </c>
      <c r="M17" s="472">
        <f>ŽB!T74</f>
        <v>105501</v>
      </c>
      <c r="N17" s="472">
        <f>ŽB!U74</f>
        <v>0</v>
      </c>
      <c r="O17" s="472">
        <f>ŽB!V74</f>
        <v>-132547</v>
      </c>
      <c r="P17" s="472">
        <f>ŽB!W74</f>
        <v>0</v>
      </c>
      <c r="Q17" s="472">
        <f>ŽB!X74</f>
        <v>-53049</v>
      </c>
      <c r="R17" s="472">
        <f>ŽB!Y74</f>
        <v>0</v>
      </c>
      <c r="S17" s="472">
        <f>ŽB!Z74</f>
        <v>0</v>
      </c>
      <c r="T17" s="472">
        <f>ŽB!AA74</f>
        <v>0</v>
      </c>
      <c r="U17" s="472">
        <f>ŽB!AB74</f>
        <v>0</v>
      </c>
      <c r="V17" s="472">
        <f>ŽB!AC74</f>
        <v>-53049</v>
      </c>
      <c r="W17" s="472">
        <f>ŽB!AD74</f>
        <v>-17930</v>
      </c>
      <c r="X17" s="472">
        <f>ŽB!AE74</f>
        <v>-1060</v>
      </c>
      <c r="Y17" s="472">
        <f>ŽB!AF74</f>
        <v>0</v>
      </c>
      <c r="Z17" s="472">
        <f>ŽB!AG74</f>
        <v>179999</v>
      </c>
      <c r="AA17" s="472">
        <f>ŽB!AH74</f>
        <v>179999</v>
      </c>
      <c r="AB17" s="472">
        <f>ŽB!AI74</f>
        <v>107960</v>
      </c>
      <c r="AC17" s="473">
        <f>ŽB!AJ74</f>
        <v>0</v>
      </c>
      <c r="AD17" s="473">
        <f>ŽB!AK74</f>
        <v>0</v>
      </c>
      <c r="AE17" s="473">
        <f>ŽB!AL74</f>
        <v>-7.0000000000000007E-2</v>
      </c>
      <c r="AF17" s="473">
        <f>ŽB!AM74</f>
        <v>0.23</v>
      </c>
      <c r="AG17" s="473">
        <f>ŽB!AN74</f>
        <v>-0.10299999999999999</v>
      </c>
      <c r="AH17" s="473">
        <f>ŽB!AO74</f>
        <v>0</v>
      </c>
      <c r="AI17" s="473">
        <f>ŽB!AP74</f>
        <v>0</v>
      </c>
      <c r="AJ17" s="473">
        <f>ŽB!AQ74</f>
        <v>0</v>
      </c>
      <c r="AK17" s="473">
        <f>ŽB!AR74</f>
        <v>0.16</v>
      </c>
      <c r="AL17" s="473">
        <f>ŽB!AS74</f>
        <v>-0.10299999999999999</v>
      </c>
      <c r="AM17" s="483">
        <f>ŽB!AT74</f>
        <v>5.7000000000000009E-2</v>
      </c>
      <c r="AN17" s="477">
        <f>ŽB!AU74</f>
        <v>148728533</v>
      </c>
      <c r="AO17" s="472">
        <f>ŽB!AV74</f>
        <v>107055516</v>
      </c>
      <c r="AP17" s="472">
        <f>ŽB!AW74</f>
        <v>892400</v>
      </c>
      <c r="AQ17" s="472">
        <f>ŽB!AX74</f>
        <v>36486396</v>
      </c>
      <c r="AR17" s="472">
        <f>ŽB!AY74</f>
        <v>2141108</v>
      </c>
      <c r="AS17" s="472">
        <f>ŽB!AZ74</f>
        <v>2153113</v>
      </c>
      <c r="AT17" s="473">
        <f>ŽB!BA74</f>
        <v>222.79379999999998</v>
      </c>
      <c r="AU17" s="473">
        <f>ŽB!BB74</f>
        <v>155.21420000000003</v>
      </c>
      <c r="AV17" s="727">
        <f>ŽB!BC74</f>
        <v>67.579600000000013</v>
      </c>
    </row>
    <row r="18" spans="1:48" s="3" customFormat="1" x14ac:dyDescent="0.2">
      <c r="A18" s="185" t="s">
        <v>257</v>
      </c>
      <c r="B18" s="477">
        <f>ČL!I301</f>
        <v>1026807362</v>
      </c>
      <c r="C18" s="472">
        <f>ČL!J301</f>
        <v>741166239</v>
      </c>
      <c r="D18" s="472">
        <f>ČL!K301</f>
        <v>4163229</v>
      </c>
      <c r="E18" s="472">
        <f>ČL!L301</f>
        <v>251914337</v>
      </c>
      <c r="F18" s="472">
        <f>ČL!M301</f>
        <v>14823317</v>
      </c>
      <c r="G18" s="472">
        <f>ČL!N301</f>
        <v>14740240</v>
      </c>
      <c r="H18" s="473">
        <f>ČL!O301</f>
        <v>1554.1068</v>
      </c>
      <c r="I18" s="473">
        <f>ČL!P301</f>
        <v>1111.3028000000002</v>
      </c>
      <c r="J18" s="727">
        <f>ČL!Q301</f>
        <v>442.80399999999992</v>
      </c>
      <c r="K18" s="728">
        <f>ČL!R301</f>
        <v>-10000</v>
      </c>
      <c r="L18" s="472">
        <f>ČL!S301</f>
        <v>-240065</v>
      </c>
      <c r="M18" s="472">
        <f>ČL!T301</f>
        <v>1632852</v>
      </c>
      <c r="N18" s="472">
        <f>ČL!U301</f>
        <v>-12412</v>
      </c>
      <c r="O18" s="472">
        <f>ČL!V301</f>
        <v>-51546</v>
      </c>
      <c r="P18" s="472">
        <f>ČL!W301</f>
        <v>0</v>
      </c>
      <c r="Q18" s="472">
        <f>ČL!X301</f>
        <v>1318829</v>
      </c>
      <c r="R18" s="472">
        <f>ČL!Y301</f>
        <v>10000</v>
      </c>
      <c r="S18" s="472">
        <f>ČL!Z301</f>
        <v>0</v>
      </c>
      <c r="T18" s="472">
        <f>ČL!AA301</f>
        <v>0</v>
      </c>
      <c r="U18" s="472">
        <f>ČL!AB301</f>
        <v>10000</v>
      </c>
      <c r="V18" s="472">
        <f>ČL!AC301</f>
        <v>1328829</v>
      </c>
      <c r="W18" s="472">
        <f>ČL!AD301</f>
        <v>449144</v>
      </c>
      <c r="X18" s="472">
        <f>ČL!AE301</f>
        <v>26378</v>
      </c>
      <c r="Y18" s="472">
        <f>ČL!AF301</f>
        <v>51250</v>
      </c>
      <c r="Z18" s="472">
        <f>ČL!AG301</f>
        <v>70000</v>
      </c>
      <c r="AA18" s="472">
        <f>ČL!AH301</f>
        <v>121250</v>
      </c>
      <c r="AB18" s="472">
        <f>ČL!AI301</f>
        <v>1925601</v>
      </c>
      <c r="AC18" s="473">
        <f>ČL!AJ301</f>
        <v>-0.02</v>
      </c>
      <c r="AD18" s="473">
        <f>ČL!AK301</f>
        <v>0</v>
      </c>
      <c r="AE18" s="473">
        <f>ČL!AL301</f>
        <v>-0.64000000000000012</v>
      </c>
      <c r="AF18" s="473">
        <f>ČL!AM301</f>
        <v>3.7099999999999995</v>
      </c>
      <c r="AG18" s="473">
        <f>ČL!AN301</f>
        <v>-0.72</v>
      </c>
      <c r="AH18" s="473">
        <f>ČL!AO301</f>
        <v>1.0000000000000002E-2</v>
      </c>
      <c r="AI18" s="473">
        <f>ČL!AP301</f>
        <v>0</v>
      </c>
      <c r="AJ18" s="473">
        <f>ČL!AQ301</f>
        <v>0</v>
      </c>
      <c r="AK18" s="473">
        <f>ČL!AR301</f>
        <v>3.0600000000000014</v>
      </c>
      <c r="AL18" s="473">
        <f>ČL!AS301</f>
        <v>-0.72</v>
      </c>
      <c r="AM18" s="483">
        <f>ČL!AT301</f>
        <v>2.3400000000000003</v>
      </c>
      <c r="AN18" s="477">
        <f>ČL!AU301</f>
        <v>1028732963</v>
      </c>
      <c r="AO18" s="472">
        <f>ČL!AV301</f>
        <v>742485068</v>
      </c>
      <c r="AP18" s="472">
        <f>ČL!AW301</f>
        <v>4173229</v>
      </c>
      <c r="AQ18" s="472">
        <f>ČL!AX301</f>
        <v>252363481</v>
      </c>
      <c r="AR18" s="472">
        <f>ČL!AY301</f>
        <v>14849695</v>
      </c>
      <c r="AS18" s="472">
        <f>ČL!AZ301</f>
        <v>14861490</v>
      </c>
      <c r="AT18" s="473">
        <f>ČL!BA301</f>
        <v>1556.4467999999999</v>
      </c>
      <c r="AU18" s="473">
        <f>ČL!BB301</f>
        <v>1114.3627999999999</v>
      </c>
      <c r="AV18" s="727">
        <f>ČL!BC301</f>
        <v>442.08399999999989</v>
      </c>
    </row>
    <row r="19" spans="1:48" x14ac:dyDescent="0.2">
      <c r="A19" s="185" t="s">
        <v>258</v>
      </c>
      <c r="B19" s="477">
        <f>NB!I123</f>
        <v>339438715</v>
      </c>
      <c r="C19" s="472">
        <f>NB!J123</f>
        <v>244764209</v>
      </c>
      <c r="D19" s="472">
        <f>NB!K123</f>
        <v>1885500</v>
      </c>
      <c r="E19" s="472">
        <f>NB!L123</f>
        <v>83367600</v>
      </c>
      <c r="F19" s="472">
        <f>NB!M123</f>
        <v>4895281</v>
      </c>
      <c r="G19" s="472">
        <f>NB!N123</f>
        <v>4526125</v>
      </c>
      <c r="H19" s="473">
        <f>NB!O123</f>
        <v>515.35739999999998</v>
      </c>
      <c r="I19" s="473">
        <f>NB!P123</f>
        <v>363.58749999999998</v>
      </c>
      <c r="J19" s="727">
        <f>NB!Q123</f>
        <v>151.76990000000004</v>
      </c>
      <c r="K19" s="728">
        <f>NB!R123</f>
        <v>0</v>
      </c>
      <c r="L19" s="472">
        <f>NB!S123</f>
        <v>43306</v>
      </c>
      <c r="M19" s="472">
        <f>NB!T123</f>
        <v>-1504033</v>
      </c>
      <c r="N19" s="472">
        <f>NB!U123</f>
        <v>0</v>
      </c>
      <c r="O19" s="472">
        <f>NB!V123</f>
        <v>-370105</v>
      </c>
      <c r="P19" s="472">
        <f>NB!W123</f>
        <v>0</v>
      </c>
      <c r="Q19" s="472">
        <f>NB!X123</f>
        <v>-1830832</v>
      </c>
      <c r="R19" s="472">
        <f>NB!Y123</f>
        <v>0</v>
      </c>
      <c r="S19" s="472">
        <f>NB!Z123</f>
        <v>0</v>
      </c>
      <c r="T19" s="472">
        <f>NB!AA123</f>
        <v>0</v>
      </c>
      <c r="U19" s="472">
        <f>NB!AB123</f>
        <v>0</v>
      </c>
      <c r="V19" s="472">
        <f>NB!AC123</f>
        <v>-1830832</v>
      </c>
      <c r="W19" s="472">
        <f>NB!AD123</f>
        <v>-618823</v>
      </c>
      <c r="X19" s="472">
        <f>NB!AE123</f>
        <v>-36617</v>
      </c>
      <c r="Y19" s="472">
        <f>NB!AF123</f>
        <v>3000</v>
      </c>
      <c r="Z19" s="472">
        <f>NB!AG123</f>
        <v>502604</v>
      </c>
      <c r="AA19" s="472">
        <f>NB!AH123</f>
        <v>505604</v>
      </c>
      <c r="AB19" s="472">
        <f>NB!AI123</f>
        <v>-1980668</v>
      </c>
      <c r="AC19" s="473">
        <f>NB!AJ123</f>
        <v>0</v>
      </c>
      <c r="AD19" s="473">
        <f>NB!AK123</f>
        <v>0</v>
      </c>
      <c r="AE19" s="473">
        <f>NB!AL123</f>
        <v>0.13</v>
      </c>
      <c r="AF19" s="473">
        <f>NB!AM123</f>
        <v>-2.29</v>
      </c>
      <c r="AG19" s="473">
        <f>NB!AN123</f>
        <v>-0.5</v>
      </c>
      <c r="AH19" s="473">
        <f>NB!AO123</f>
        <v>0</v>
      </c>
      <c r="AI19" s="473">
        <f>NB!AP123</f>
        <v>0</v>
      </c>
      <c r="AJ19" s="473">
        <f>NB!AQ123</f>
        <v>0</v>
      </c>
      <c r="AK19" s="473">
        <f>NB!AR123</f>
        <v>-2.16</v>
      </c>
      <c r="AL19" s="473">
        <f>NB!AS123</f>
        <v>-0.5</v>
      </c>
      <c r="AM19" s="483">
        <f>NB!AT123</f>
        <v>-2.66</v>
      </c>
      <c r="AN19" s="477">
        <f>NB!AU123</f>
        <v>337458047</v>
      </c>
      <c r="AO19" s="472">
        <f>NB!AV123</f>
        <v>242933377</v>
      </c>
      <c r="AP19" s="472">
        <f>NB!AW123</f>
        <v>1885500</v>
      </c>
      <c r="AQ19" s="472">
        <f>NB!AX123</f>
        <v>82748777</v>
      </c>
      <c r="AR19" s="472">
        <f>NB!AY123</f>
        <v>4858664</v>
      </c>
      <c r="AS19" s="472">
        <f>NB!AZ123</f>
        <v>5031729</v>
      </c>
      <c r="AT19" s="473">
        <f>NB!BA123</f>
        <v>512.69740000000002</v>
      </c>
      <c r="AU19" s="473">
        <f>NB!BB123</f>
        <v>361.42750000000001</v>
      </c>
      <c r="AV19" s="727">
        <f>NB!BC123</f>
        <v>151.26989999999998</v>
      </c>
    </row>
    <row r="20" spans="1:48" x14ac:dyDescent="0.2">
      <c r="A20" s="185" t="s">
        <v>259</v>
      </c>
      <c r="B20" s="477">
        <f>SM!I165</f>
        <v>354582386</v>
      </c>
      <c r="C20" s="472">
        <f>SM!J165</f>
        <v>255725780</v>
      </c>
      <c r="D20" s="472">
        <f>SM!K165</f>
        <v>1851400</v>
      </c>
      <c r="E20" s="472">
        <f>SM!L165</f>
        <v>87061086</v>
      </c>
      <c r="F20" s="472">
        <f>SM!M165</f>
        <v>5114514</v>
      </c>
      <c r="G20" s="472">
        <f>SM!N165</f>
        <v>4829606</v>
      </c>
      <c r="H20" s="473">
        <f>SM!O165</f>
        <v>529.72509999999988</v>
      </c>
      <c r="I20" s="473">
        <f>SM!P165</f>
        <v>364.78100000000001</v>
      </c>
      <c r="J20" s="727">
        <f>SM!Q165</f>
        <v>164.94409999999999</v>
      </c>
      <c r="K20" s="728">
        <f>SM!R165</f>
        <v>0</v>
      </c>
      <c r="L20" s="472">
        <f>SM!S165</f>
        <v>222177</v>
      </c>
      <c r="M20" s="472">
        <f>SM!T165</f>
        <v>-33961</v>
      </c>
      <c r="N20" s="472">
        <f>SM!U165</f>
        <v>0</v>
      </c>
      <c r="O20" s="472">
        <f>SM!V165</f>
        <v>-198823</v>
      </c>
      <c r="P20" s="472">
        <f>SM!W165</f>
        <v>0</v>
      </c>
      <c r="Q20" s="472">
        <f>SM!X165</f>
        <v>-10607</v>
      </c>
      <c r="R20" s="472">
        <f>SM!Y165</f>
        <v>0</v>
      </c>
      <c r="S20" s="472">
        <f>SM!Z165</f>
        <v>0</v>
      </c>
      <c r="T20" s="472">
        <f>SM!AA165</f>
        <v>0</v>
      </c>
      <c r="U20" s="472">
        <f>SM!AB165</f>
        <v>0</v>
      </c>
      <c r="V20" s="472">
        <f>SM!AC165</f>
        <v>-10607</v>
      </c>
      <c r="W20" s="472">
        <f>SM!AD165</f>
        <v>-3585</v>
      </c>
      <c r="X20" s="472">
        <f>SM!AE165</f>
        <v>-215</v>
      </c>
      <c r="Y20" s="472">
        <f>SM!AF165</f>
        <v>24250</v>
      </c>
      <c r="Z20" s="472">
        <f>SM!AG165</f>
        <v>270003</v>
      </c>
      <c r="AA20" s="472">
        <f>SM!AH165</f>
        <v>294253</v>
      </c>
      <c r="AB20" s="472">
        <f>SM!AI165</f>
        <v>279846</v>
      </c>
      <c r="AC20" s="473">
        <f>SM!AJ165</f>
        <v>0</v>
      </c>
      <c r="AD20" s="473">
        <f>SM!AK165</f>
        <v>0</v>
      </c>
      <c r="AE20" s="473">
        <f>SM!AL165</f>
        <v>0.85000000000000009</v>
      </c>
      <c r="AF20" s="473">
        <f>SM!AM165</f>
        <v>0.19000000000000006</v>
      </c>
      <c r="AG20" s="473">
        <f>SM!AN165</f>
        <v>-0.21000000000000008</v>
      </c>
      <c r="AH20" s="473">
        <f>SM!AO165</f>
        <v>0</v>
      </c>
      <c r="AI20" s="473">
        <f>SM!AP165</f>
        <v>0</v>
      </c>
      <c r="AJ20" s="473">
        <f>SM!AQ165</f>
        <v>0</v>
      </c>
      <c r="AK20" s="473">
        <f>SM!AR165</f>
        <v>1.0399999999999998</v>
      </c>
      <c r="AL20" s="473">
        <f>SM!AS165</f>
        <v>-0.21000000000000008</v>
      </c>
      <c r="AM20" s="483">
        <f>SM!AT165</f>
        <v>0.83000000000000007</v>
      </c>
      <c r="AN20" s="477">
        <f>SM!AU165</f>
        <v>354862232</v>
      </c>
      <c r="AO20" s="472">
        <f>SM!AV165</f>
        <v>255715173</v>
      </c>
      <c r="AP20" s="472">
        <f>SM!AW165</f>
        <v>1851400</v>
      </c>
      <c r="AQ20" s="472">
        <f>SM!AX165</f>
        <v>87057501</v>
      </c>
      <c r="AR20" s="472">
        <f>SM!AY165</f>
        <v>5114299</v>
      </c>
      <c r="AS20" s="472">
        <f>SM!AZ165</f>
        <v>5123859</v>
      </c>
      <c r="AT20" s="473">
        <f>SM!BA165</f>
        <v>530.55510000000004</v>
      </c>
      <c r="AU20" s="473">
        <f>SM!BB165</f>
        <v>365.82100000000003</v>
      </c>
      <c r="AV20" s="727">
        <f>SM!BC165</f>
        <v>164.73409999999998</v>
      </c>
    </row>
    <row r="21" spans="1:48" s="3" customFormat="1" x14ac:dyDescent="0.2">
      <c r="A21" s="185" t="s">
        <v>260</v>
      </c>
      <c r="B21" s="477">
        <f>JI!I146</f>
        <v>291774328</v>
      </c>
      <c r="C21" s="472">
        <f>JI!J146</f>
        <v>210894987</v>
      </c>
      <c r="D21" s="472">
        <f>JI!K146</f>
        <v>1350100</v>
      </c>
      <c r="E21" s="472">
        <f>JI!L146</f>
        <v>71738843</v>
      </c>
      <c r="F21" s="472">
        <f>JI!M146</f>
        <v>4217900</v>
      </c>
      <c r="G21" s="472">
        <f>JI!N146</f>
        <v>3572498</v>
      </c>
      <c r="H21" s="473">
        <f>JI!O146</f>
        <v>439.5601999999999</v>
      </c>
      <c r="I21" s="473">
        <f>JI!P146</f>
        <v>309.70639999999997</v>
      </c>
      <c r="J21" s="727">
        <f>JI!Q146</f>
        <v>129.85380000000004</v>
      </c>
      <c r="K21" s="728">
        <f>JI!R146</f>
        <v>0</v>
      </c>
      <c r="L21" s="472">
        <f>JI!S146</f>
        <v>71211</v>
      </c>
      <c r="M21" s="472">
        <f>JI!T146</f>
        <v>-102047</v>
      </c>
      <c r="N21" s="472">
        <f>JI!U146</f>
        <v>0</v>
      </c>
      <c r="O21" s="472">
        <f>JI!V146</f>
        <v>0</v>
      </c>
      <c r="P21" s="472">
        <f>JI!W146</f>
        <v>0</v>
      </c>
      <c r="Q21" s="472">
        <f>JI!X146</f>
        <v>-30836</v>
      </c>
      <c r="R21" s="472">
        <f>JI!Y146</f>
        <v>0</v>
      </c>
      <c r="S21" s="472">
        <f>JI!Z146</f>
        <v>0</v>
      </c>
      <c r="T21" s="472">
        <f>JI!AA146</f>
        <v>0</v>
      </c>
      <c r="U21" s="472">
        <f>JI!AB146</f>
        <v>0</v>
      </c>
      <c r="V21" s="472">
        <f>JI!AC146</f>
        <v>-30836</v>
      </c>
      <c r="W21" s="472">
        <f>JI!AD146</f>
        <v>-10424</v>
      </c>
      <c r="X21" s="472">
        <f>JI!AE146</f>
        <v>-619</v>
      </c>
      <c r="Y21" s="472">
        <f>JI!AF146</f>
        <v>2000</v>
      </c>
      <c r="Z21" s="472">
        <f>JI!AG146</f>
        <v>0</v>
      </c>
      <c r="AA21" s="472">
        <f>JI!AH146</f>
        <v>2000</v>
      </c>
      <c r="AB21" s="472">
        <f>JI!AI146</f>
        <v>-39879</v>
      </c>
      <c r="AC21" s="473">
        <f>JI!AJ146</f>
        <v>0</v>
      </c>
      <c r="AD21" s="473">
        <f>JI!AK146</f>
        <v>0</v>
      </c>
      <c r="AE21" s="473">
        <f>JI!AL146</f>
        <v>0.26</v>
      </c>
      <c r="AF21" s="473">
        <f>JI!AM146</f>
        <v>9.2999999999999999E-2</v>
      </c>
      <c r="AG21" s="473">
        <f>JI!AN146</f>
        <v>-0.39000000000000007</v>
      </c>
      <c r="AH21" s="473">
        <f>JI!AO146</f>
        <v>0</v>
      </c>
      <c r="AI21" s="473">
        <f>JI!AP146</f>
        <v>0</v>
      </c>
      <c r="AJ21" s="473">
        <f>JI!AQ146</f>
        <v>0</v>
      </c>
      <c r="AK21" s="473">
        <f>JI!AR146</f>
        <v>0.35299999999999998</v>
      </c>
      <c r="AL21" s="473">
        <f>JI!AS146</f>
        <v>-0.39000000000000007</v>
      </c>
      <c r="AM21" s="483">
        <f>JI!AT146</f>
        <v>-3.7000000000000033E-2</v>
      </c>
      <c r="AN21" s="477">
        <f>JI!AU146</f>
        <v>291734449</v>
      </c>
      <c r="AO21" s="472">
        <f>JI!AV146</f>
        <v>210864151</v>
      </c>
      <c r="AP21" s="472">
        <f>JI!AW146</f>
        <v>1350100</v>
      </c>
      <c r="AQ21" s="472">
        <f>JI!AX146</f>
        <v>71728419</v>
      </c>
      <c r="AR21" s="472">
        <f>JI!AY146</f>
        <v>4217281</v>
      </c>
      <c r="AS21" s="472">
        <f>JI!AZ146</f>
        <v>3574498</v>
      </c>
      <c r="AT21" s="473">
        <f>JI!BA146</f>
        <v>439.52319999999997</v>
      </c>
      <c r="AU21" s="473">
        <f>JI!BB146</f>
        <v>310.05939999999993</v>
      </c>
      <c r="AV21" s="727">
        <f>JI!BC146</f>
        <v>129.46379999999999</v>
      </c>
    </row>
    <row r="22" spans="1:48" ht="13.5" thickBot="1" x14ac:dyDescent="0.25">
      <c r="A22" s="438" t="s">
        <v>261</v>
      </c>
      <c r="B22" s="778">
        <f>TU!I199</f>
        <v>462706069</v>
      </c>
      <c r="C22" s="779">
        <f>TU!J199</f>
        <v>333894982</v>
      </c>
      <c r="D22" s="779">
        <f>TU!K199</f>
        <v>2342770</v>
      </c>
      <c r="E22" s="779">
        <f>TU!L199</f>
        <v>113648357</v>
      </c>
      <c r="F22" s="779">
        <f>TU!M199</f>
        <v>6677899</v>
      </c>
      <c r="G22" s="779">
        <f>TU!N199</f>
        <v>6142061</v>
      </c>
      <c r="H22" s="780">
        <f>TU!O199</f>
        <v>698.01880000000017</v>
      </c>
      <c r="I22" s="780">
        <f>TU!P199</f>
        <v>485.1454</v>
      </c>
      <c r="J22" s="781">
        <f>TU!Q199</f>
        <v>212.87339999999995</v>
      </c>
      <c r="K22" s="782">
        <f>TU!R199</f>
        <v>0</v>
      </c>
      <c r="L22" s="779">
        <f>TU!S199</f>
        <v>-93911</v>
      </c>
      <c r="M22" s="779">
        <f>TU!T199</f>
        <v>2102947</v>
      </c>
      <c r="N22" s="779">
        <f>TU!U199</f>
        <v>-26730</v>
      </c>
      <c r="O22" s="779">
        <f>TU!V199</f>
        <v>-22091</v>
      </c>
      <c r="P22" s="779">
        <f>TU!W199</f>
        <v>0</v>
      </c>
      <c r="Q22" s="779">
        <f>TU!X199</f>
        <v>1960215</v>
      </c>
      <c r="R22" s="779">
        <f>TU!Y199</f>
        <v>0</v>
      </c>
      <c r="S22" s="779">
        <f>TU!Z199</f>
        <v>0</v>
      </c>
      <c r="T22" s="779">
        <f>TU!AA199</f>
        <v>0</v>
      </c>
      <c r="U22" s="779">
        <f>TU!AB199</f>
        <v>0</v>
      </c>
      <c r="V22" s="779">
        <f>TU!AC199</f>
        <v>1960215</v>
      </c>
      <c r="W22" s="779">
        <f>TU!AD199</f>
        <v>662554</v>
      </c>
      <c r="X22" s="779">
        <f>TU!AE199</f>
        <v>39207</v>
      </c>
      <c r="Y22" s="779">
        <f>TU!AF199</f>
        <v>4500</v>
      </c>
      <c r="Z22" s="779">
        <f>TU!AG199</f>
        <v>30000</v>
      </c>
      <c r="AA22" s="779">
        <f>TU!AH199</f>
        <v>34500</v>
      </c>
      <c r="AB22" s="779">
        <f>TU!AI199</f>
        <v>2696476</v>
      </c>
      <c r="AC22" s="780">
        <f>TU!AJ199</f>
        <v>0</v>
      </c>
      <c r="AD22" s="780">
        <f>TU!AK199</f>
        <v>0</v>
      </c>
      <c r="AE22" s="780">
        <f>TU!AL199</f>
        <v>-0.24</v>
      </c>
      <c r="AF22" s="780">
        <f>TU!AM199</f>
        <v>3.8</v>
      </c>
      <c r="AG22" s="780">
        <f>TU!AN199</f>
        <v>-0.15</v>
      </c>
      <c r="AH22" s="780">
        <f>TU!AO199</f>
        <v>0</v>
      </c>
      <c r="AI22" s="780">
        <f>TU!AP199</f>
        <v>0</v>
      </c>
      <c r="AJ22" s="780">
        <f>TU!AQ199</f>
        <v>-0.05</v>
      </c>
      <c r="AK22" s="780">
        <f>TU!AR199</f>
        <v>3.5599999999999996</v>
      </c>
      <c r="AL22" s="780">
        <f>TU!AS199</f>
        <v>-0.2</v>
      </c>
      <c r="AM22" s="783">
        <f>TU!AT199</f>
        <v>3.3600000000000003</v>
      </c>
      <c r="AN22" s="778">
        <f>TU!AU199</f>
        <v>465402545</v>
      </c>
      <c r="AO22" s="779">
        <f>TU!AV199</f>
        <v>335855197</v>
      </c>
      <c r="AP22" s="779">
        <f>TU!AW199</f>
        <v>2342770</v>
      </c>
      <c r="AQ22" s="779">
        <f>TU!AX199</f>
        <v>114310911</v>
      </c>
      <c r="AR22" s="779">
        <f>TU!AY199</f>
        <v>6717106</v>
      </c>
      <c r="AS22" s="779">
        <f>TU!AZ199</f>
        <v>6176561</v>
      </c>
      <c r="AT22" s="780">
        <f>TU!BA199</f>
        <v>701.37880000000018</v>
      </c>
      <c r="AU22" s="780">
        <f>TU!BB199</f>
        <v>488.7054</v>
      </c>
      <c r="AV22" s="781">
        <f>TU!BC199</f>
        <v>212.67339999999999</v>
      </c>
    </row>
    <row r="23" spans="1:48" s="3" customFormat="1" ht="13.5" thickBot="1" x14ac:dyDescent="0.25">
      <c r="A23" s="186" t="s">
        <v>262</v>
      </c>
      <c r="B23" s="784">
        <f>SUM(B13:B22)</f>
        <v>5709637748</v>
      </c>
      <c r="C23" s="785">
        <f t="shared" ref="C23:AV23" si="0">SUM(C13:C22)</f>
        <v>4118800811</v>
      </c>
      <c r="D23" s="785">
        <f t="shared" si="0"/>
        <v>27686053</v>
      </c>
      <c r="E23" s="785">
        <f t="shared" si="0"/>
        <v>1401302578</v>
      </c>
      <c r="F23" s="785">
        <f t="shared" si="0"/>
        <v>82375996</v>
      </c>
      <c r="G23" s="785">
        <f t="shared" si="0"/>
        <v>79472310</v>
      </c>
      <c r="H23" s="786">
        <f t="shared" si="0"/>
        <v>8604.9840000000004</v>
      </c>
      <c r="I23" s="786">
        <f t="shared" si="0"/>
        <v>6134.866500000001</v>
      </c>
      <c r="J23" s="787">
        <f t="shared" si="0"/>
        <v>2470.1175000000003</v>
      </c>
      <c r="K23" s="788">
        <f t="shared" si="0"/>
        <v>-98002</v>
      </c>
      <c r="L23" s="785">
        <f t="shared" si="0"/>
        <v>345929</v>
      </c>
      <c r="M23" s="785">
        <f t="shared" si="0"/>
        <v>7103133</v>
      </c>
      <c r="N23" s="785">
        <f t="shared" si="0"/>
        <v>165164</v>
      </c>
      <c r="O23" s="785">
        <f t="shared" si="0"/>
        <v>-1910164</v>
      </c>
      <c r="P23" s="785">
        <f t="shared" si="0"/>
        <v>0</v>
      </c>
      <c r="Q23" s="785">
        <f t="shared" si="0"/>
        <v>5606060</v>
      </c>
      <c r="R23" s="785">
        <f t="shared" si="0"/>
        <v>98002</v>
      </c>
      <c r="S23" s="785">
        <f t="shared" si="0"/>
        <v>0</v>
      </c>
      <c r="T23" s="785">
        <f t="shared" si="0"/>
        <v>0</v>
      </c>
      <c r="U23" s="785">
        <f t="shared" si="0"/>
        <v>98002</v>
      </c>
      <c r="V23" s="785">
        <f t="shared" si="0"/>
        <v>5704062</v>
      </c>
      <c r="W23" s="785">
        <f t="shared" si="0"/>
        <v>1927970</v>
      </c>
      <c r="X23" s="785">
        <f t="shared" si="0"/>
        <v>112124</v>
      </c>
      <c r="Y23" s="785">
        <f t="shared" si="0"/>
        <v>162900</v>
      </c>
      <c r="Z23" s="785">
        <f t="shared" si="0"/>
        <v>2594009</v>
      </c>
      <c r="AA23" s="785">
        <f t="shared" si="0"/>
        <v>2756909</v>
      </c>
      <c r="AB23" s="785">
        <f t="shared" si="0"/>
        <v>10501065</v>
      </c>
      <c r="AC23" s="786">
        <f t="shared" si="0"/>
        <v>-0.14000000000000001</v>
      </c>
      <c r="AD23" s="786">
        <f t="shared" si="0"/>
        <v>-0.12</v>
      </c>
      <c r="AE23" s="786">
        <f t="shared" si="0"/>
        <v>1.4099999999999997</v>
      </c>
      <c r="AF23" s="786">
        <f t="shared" si="0"/>
        <v>14.872999999999998</v>
      </c>
      <c r="AG23" s="786">
        <f t="shared" si="0"/>
        <v>-3.6930000000000005</v>
      </c>
      <c r="AH23" s="786">
        <f t="shared" si="0"/>
        <v>0.34</v>
      </c>
      <c r="AI23" s="786">
        <f t="shared" si="0"/>
        <v>0</v>
      </c>
      <c r="AJ23" s="786">
        <f t="shared" si="0"/>
        <v>-0.05</v>
      </c>
      <c r="AK23" s="786">
        <f t="shared" si="0"/>
        <v>16.483000000000001</v>
      </c>
      <c r="AL23" s="786">
        <f t="shared" si="0"/>
        <v>-3.8630000000000009</v>
      </c>
      <c r="AM23" s="789">
        <f t="shared" si="0"/>
        <v>12.620000000000005</v>
      </c>
      <c r="AN23" s="784">
        <f t="shared" si="0"/>
        <v>5720138813</v>
      </c>
      <c r="AO23" s="785">
        <f t="shared" si="0"/>
        <v>4124406871</v>
      </c>
      <c r="AP23" s="785">
        <f t="shared" si="0"/>
        <v>27784055</v>
      </c>
      <c r="AQ23" s="785">
        <f t="shared" si="0"/>
        <v>1403230548</v>
      </c>
      <c r="AR23" s="785">
        <f t="shared" si="0"/>
        <v>82488120</v>
      </c>
      <c r="AS23" s="785">
        <f t="shared" si="0"/>
        <v>82229219</v>
      </c>
      <c r="AT23" s="786">
        <f t="shared" si="0"/>
        <v>8617.6040000000012</v>
      </c>
      <c r="AU23" s="786">
        <f t="shared" si="0"/>
        <v>6151.3495000000003</v>
      </c>
      <c r="AV23" s="787">
        <f t="shared" si="0"/>
        <v>2466.2545</v>
      </c>
    </row>
    <row r="24" spans="1:48" x14ac:dyDescent="0.2">
      <c r="A24" s="20" t="s">
        <v>263</v>
      </c>
      <c r="B24" s="490">
        <f>SUM(C23:G23)</f>
        <v>5709637748</v>
      </c>
      <c r="C24" s="490"/>
      <c r="D24" s="490"/>
      <c r="E24" s="490"/>
      <c r="F24" s="490"/>
      <c r="G24" s="490"/>
      <c r="H24" s="491">
        <f>SUM(I23:J23)</f>
        <v>8604.9840000000004</v>
      </c>
      <c r="I24" s="491"/>
      <c r="J24" s="491"/>
      <c r="K24" s="490">
        <f>R23</f>
        <v>98002</v>
      </c>
      <c r="L24" s="491"/>
      <c r="M24" s="491"/>
      <c r="N24" s="491"/>
      <c r="O24" s="491"/>
      <c r="P24" s="491"/>
      <c r="Q24" s="497">
        <f>SUM(K23:P23)</f>
        <v>5606060</v>
      </c>
      <c r="R24" s="497">
        <f>K23</f>
        <v>-98002</v>
      </c>
      <c r="S24" s="498"/>
      <c r="T24" s="498"/>
      <c r="U24" s="497">
        <f>SUM(R23:T23)</f>
        <v>98002</v>
      </c>
      <c r="V24" s="497">
        <f>Q23+U23</f>
        <v>5704062</v>
      </c>
      <c r="W24" s="499"/>
      <c r="X24" s="499"/>
      <c r="Y24" s="498"/>
      <c r="Z24" s="498"/>
      <c r="AA24" s="497">
        <f>SUM(Y23:Z23)</f>
        <v>2756909</v>
      </c>
      <c r="AB24" s="497">
        <f>V23+W23+X23+AA23</f>
        <v>10501065</v>
      </c>
      <c r="AC24" s="500"/>
      <c r="AD24" s="500"/>
      <c r="AE24" s="500"/>
      <c r="AF24" s="500"/>
      <c r="AG24" s="500"/>
      <c r="AH24" s="500"/>
      <c r="AI24" s="500"/>
      <c r="AJ24" s="500"/>
      <c r="AK24" s="706">
        <f>AC23+AE23+AF23+AH23+AI23</f>
        <v>16.482999999999997</v>
      </c>
      <c r="AL24" s="706">
        <f>AD23+AG23+AJ23</f>
        <v>-3.8630000000000004</v>
      </c>
      <c r="AM24" s="706">
        <f>SUM(AK23:AL23)</f>
        <v>12.62</v>
      </c>
      <c r="AN24" s="490">
        <f>SUM(AO23:AS23)</f>
        <v>5720138813</v>
      </c>
      <c r="AO24" s="55"/>
      <c r="AP24" s="55"/>
      <c r="AQ24" s="55"/>
      <c r="AR24" s="55"/>
      <c r="AS24" s="55"/>
      <c r="AT24" s="491">
        <f>SUM(AU23:AV23)</f>
        <v>8617.6039999999994</v>
      </c>
      <c r="AU24" s="93"/>
      <c r="AV24" s="93"/>
    </row>
    <row r="25" spans="1:48" ht="13.5" thickBot="1" x14ac:dyDescent="0.25">
      <c r="A25" s="20"/>
      <c r="B25" s="91">
        <f>SUM(C26:G26)</f>
        <v>5709637748</v>
      </c>
      <c r="C25" s="53"/>
      <c r="D25" s="53"/>
      <c r="E25" s="496"/>
      <c r="F25" s="496"/>
      <c r="G25" s="53"/>
      <c r="H25" s="92">
        <f>SUM(I26:J26)</f>
        <v>8604.9839999999986</v>
      </c>
      <c r="I25" s="183"/>
      <c r="J25" s="183"/>
      <c r="K25" s="491"/>
      <c r="L25" s="491"/>
      <c r="M25" s="491"/>
      <c r="N25" s="491"/>
      <c r="O25" s="491"/>
      <c r="P25" s="491"/>
      <c r="Q25" s="497">
        <f>SUM(K26:P26)</f>
        <v>5606060</v>
      </c>
      <c r="R25" s="498"/>
      <c r="S25" s="498"/>
      <c r="T25" s="498"/>
      <c r="U25" s="497">
        <f>SUM(R26:T26)</f>
        <v>98002</v>
      </c>
      <c r="V25" s="497">
        <f>Q26+U26</f>
        <v>5704062</v>
      </c>
      <c r="W25" s="499"/>
      <c r="X25" s="499"/>
      <c r="Y25" s="498"/>
      <c r="Z25" s="498"/>
      <c r="AA25" s="497">
        <f>SUM(Y26:Z26)</f>
        <v>2756909</v>
      </c>
      <c r="AB25" s="497">
        <f>V26+W26+X26+AA26</f>
        <v>10501065</v>
      </c>
      <c r="AC25" s="500"/>
      <c r="AD25" s="500"/>
      <c r="AE25" s="500"/>
      <c r="AF25" s="500"/>
      <c r="AG25" s="500"/>
      <c r="AH25" s="500"/>
      <c r="AI25" s="500"/>
      <c r="AJ25" s="500"/>
      <c r="AK25" s="706">
        <f>AC26+AE26+AF26+AH26+AI26</f>
        <v>16.483000000000001</v>
      </c>
      <c r="AL25" s="706">
        <f>AD26+AG26+AJ26</f>
        <v>-3.8630000000000004</v>
      </c>
      <c r="AM25" s="706">
        <f>SUM(AK26:AL26)</f>
        <v>12.620000000000001</v>
      </c>
      <c r="AN25" s="490">
        <f>SUM(AO26:AS26)</f>
        <v>5720138813</v>
      </c>
      <c r="AO25" s="55"/>
      <c r="AP25" s="55"/>
      <c r="AQ25" s="55"/>
      <c r="AR25" s="55"/>
      <c r="AS25" s="55"/>
      <c r="AT25" s="491">
        <f>SUM(AU26:AV26)</f>
        <v>8617.6040000000012</v>
      </c>
      <c r="AU25" s="93"/>
      <c r="AV25" s="93"/>
    </row>
    <row r="26" spans="1:48" ht="13.5" thickBot="1" x14ac:dyDescent="0.25">
      <c r="A26" s="22" t="s">
        <v>0</v>
      </c>
      <c r="B26" s="146">
        <f>SUM(B27:B36)</f>
        <v>5709637748</v>
      </c>
      <c r="C26" s="34">
        <f t="shared" ref="C26:AV26" si="1">SUM(C27:C36)</f>
        <v>4118800811</v>
      </c>
      <c r="D26" s="34">
        <f t="shared" ref="D26" si="2">SUM(D27:D36)</f>
        <v>27686053</v>
      </c>
      <c r="E26" s="34">
        <f t="shared" si="1"/>
        <v>1401302578</v>
      </c>
      <c r="F26" s="34">
        <f t="shared" si="1"/>
        <v>82375996</v>
      </c>
      <c r="G26" s="34">
        <f t="shared" si="1"/>
        <v>79472310</v>
      </c>
      <c r="H26" s="35">
        <f t="shared" si="1"/>
        <v>8604.9840000000004</v>
      </c>
      <c r="I26" s="35">
        <f t="shared" si="1"/>
        <v>6134.8664999999992</v>
      </c>
      <c r="J26" s="36">
        <f t="shared" si="1"/>
        <v>2470.1174999999998</v>
      </c>
      <c r="K26" s="156">
        <f t="shared" si="1"/>
        <v>-98002</v>
      </c>
      <c r="L26" s="34">
        <f t="shared" si="1"/>
        <v>345929</v>
      </c>
      <c r="M26" s="34">
        <f t="shared" ref="M26:N26" si="3">SUM(M27:M36)</f>
        <v>7103133</v>
      </c>
      <c r="N26" s="34">
        <f t="shared" si="3"/>
        <v>165164</v>
      </c>
      <c r="O26" s="34">
        <f t="shared" si="1"/>
        <v>-1910164</v>
      </c>
      <c r="P26" s="34">
        <f t="shared" si="1"/>
        <v>0</v>
      </c>
      <c r="Q26" s="34">
        <f t="shared" si="1"/>
        <v>5606060</v>
      </c>
      <c r="R26" s="34">
        <f t="shared" si="1"/>
        <v>98002</v>
      </c>
      <c r="S26" s="34">
        <f t="shared" si="1"/>
        <v>0</v>
      </c>
      <c r="T26" s="34">
        <f t="shared" si="1"/>
        <v>0</v>
      </c>
      <c r="U26" s="34">
        <f t="shared" si="1"/>
        <v>98002</v>
      </c>
      <c r="V26" s="34">
        <f t="shared" si="1"/>
        <v>5704062</v>
      </c>
      <c r="W26" s="34">
        <f t="shared" si="1"/>
        <v>1927970</v>
      </c>
      <c r="X26" s="34">
        <f t="shared" si="1"/>
        <v>112124</v>
      </c>
      <c r="Y26" s="34">
        <f t="shared" si="1"/>
        <v>162900</v>
      </c>
      <c r="Z26" s="34">
        <f t="shared" si="1"/>
        <v>2594009</v>
      </c>
      <c r="AA26" s="34">
        <f t="shared" si="1"/>
        <v>2756909</v>
      </c>
      <c r="AB26" s="34">
        <f t="shared" si="1"/>
        <v>10501065</v>
      </c>
      <c r="AC26" s="35">
        <f t="shared" si="1"/>
        <v>-0.14000000000000001</v>
      </c>
      <c r="AD26" s="35">
        <f t="shared" si="1"/>
        <v>-0.12</v>
      </c>
      <c r="AE26" s="35">
        <f t="shared" si="1"/>
        <v>1.4099999999999988</v>
      </c>
      <c r="AF26" s="35">
        <f t="shared" ref="AF26:AG26" si="4">SUM(AF27:AF36)</f>
        <v>14.873000000000001</v>
      </c>
      <c r="AG26" s="35">
        <f t="shared" si="4"/>
        <v>-3.6930000000000005</v>
      </c>
      <c r="AH26" s="35">
        <f t="shared" ref="AH26" si="5">SUM(AH27:AH36)</f>
        <v>0.34</v>
      </c>
      <c r="AI26" s="35">
        <f t="shared" si="1"/>
        <v>0</v>
      </c>
      <c r="AJ26" s="35">
        <f t="shared" si="1"/>
        <v>-0.05</v>
      </c>
      <c r="AK26" s="35">
        <f t="shared" si="1"/>
        <v>16.483000000000001</v>
      </c>
      <c r="AL26" s="35">
        <f t="shared" si="1"/>
        <v>-3.8630000000000004</v>
      </c>
      <c r="AM26" s="155">
        <f t="shared" si="1"/>
        <v>12.62</v>
      </c>
      <c r="AN26" s="146">
        <f t="shared" si="1"/>
        <v>5720138813</v>
      </c>
      <c r="AO26" s="34">
        <f t="shared" si="1"/>
        <v>4124406871</v>
      </c>
      <c r="AP26" s="34">
        <f t="shared" si="1"/>
        <v>27784055</v>
      </c>
      <c r="AQ26" s="34">
        <f t="shared" si="1"/>
        <v>1403230548</v>
      </c>
      <c r="AR26" s="34">
        <f t="shared" si="1"/>
        <v>82488120</v>
      </c>
      <c r="AS26" s="34">
        <f t="shared" si="1"/>
        <v>82229219</v>
      </c>
      <c r="AT26" s="35">
        <f t="shared" ref="AT26" si="6">SUM(AT27:AT36)</f>
        <v>8617.6040000000012</v>
      </c>
      <c r="AU26" s="35">
        <f t="shared" si="1"/>
        <v>6151.3495000000012</v>
      </c>
      <c r="AV26" s="36">
        <f t="shared" si="1"/>
        <v>2466.2545</v>
      </c>
    </row>
    <row r="27" spans="1:48" x14ac:dyDescent="0.2">
      <c r="A27" s="1">
        <v>3111</v>
      </c>
      <c r="B27" s="618">
        <f>LB!I470+FR!I135+JN!I192+TA!I104+ŽB!I78+ČL!I305+NB!I127+SM!I169+JI!I150+TU!I203</f>
        <v>1195847140</v>
      </c>
      <c r="C27" s="619">
        <f>LB!J470+FR!J135+JN!J192+TA!J104+ŽB!J78+ČL!J305+NB!J127+SM!J169+JI!J150+TU!J203</f>
        <v>869873567</v>
      </c>
      <c r="D27" s="619">
        <f>LB!K470+FR!K135+JN!K192+TA!K104+ŽB!K78+ČL!K305+NB!K127+SM!K169+JI!K150+TU!K203</f>
        <v>4649688</v>
      </c>
      <c r="E27" s="619">
        <f>LB!L470+FR!L135+JN!L192+TA!L104+ŽB!L78+ČL!L305+NB!L127+SM!L169+JI!L150+TU!L203</f>
        <v>295557306</v>
      </c>
      <c r="F27" s="619">
        <f>LB!M470+FR!M135+JN!M192+TA!M104+ŽB!M78+ČL!M305+NB!M127+SM!M169+JI!M150+TU!M203</f>
        <v>17397470</v>
      </c>
      <c r="G27" s="619">
        <f>LB!N470+FR!N135+JN!N192+TA!N104+ŽB!N78+ČL!N305+NB!N127+SM!N169+JI!N150+TU!N203</f>
        <v>8369109</v>
      </c>
      <c r="H27" s="624">
        <f>LB!O470+FR!O135+JN!O192+TA!O104+ŽB!O78+ČL!O305+NB!O127+SM!O169+JI!O150+TU!O203</f>
        <v>1962.9744999999994</v>
      </c>
      <c r="I27" s="624">
        <f>LB!P470+FR!P135+JN!P192+TA!P104+ŽB!P78+ČL!P305+NB!P127+SM!P169+JI!P150+TU!P203</f>
        <v>1512.3697999999999</v>
      </c>
      <c r="J27" s="627">
        <f>LB!Q470+FR!Q135+JN!Q192+TA!Q104+ŽB!Q78+ČL!Q305+NB!Q127+SM!Q169+JI!Q150+TU!Q203</f>
        <v>450.60469999999998</v>
      </c>
      <c r="K27" s="620">
        <f>LB!R470+FR!R135+JN!R192+TA!R104+ŽB!R78+ČL!R305+NB!R127+SM!R169+JI!R150+TU!R203</f>
        <v>10</v>
      </c>
      <c r="L27" s="619">
        <f>LB!S470+FR!S135+JN!S192+TA!S104+ŽB!S78+ČL!S305+NB!S127+SM!S169+JI!S150+TU!S203</f>
        <v>59092</v>
      </c>
      <c r="M27" s="619">
        <f>LB!T470+FR!T135+JN!T192+TA!T104+ŽB!T78+ČL!T305+NB!T127+SM!T169+JI!T150+TU!T203</f>
        <v>2069358</v>
      </c>
      <c r="N27" s="619">
        <f>LB!U470+FR!U135+JN!U192+TA!U104+ŽB!U78+ČL!U305+NB!U127+SM!U169+JI!U150+TU!U203</f>
        <v>0</v>
      </c>
      <c r="O27" s="619">
        <f>LB!V470+FR!V135+JN!V192+TA!V104+ŽB!V78+ČL!V305+NB!V127+SM!V169+JI!V150+TU!V203</f>
        <v>-899412</v>
      </c>
      <c r="P27" s="619">
        <f>LB!W470+FR!W135+JN!W192+TA!W104+ŽB!W78+ČL!W305+NB!W127+SM!W169+JI!W150+TU!W203</f>
        <v>0</v>
      </c>
      <c r="Q27" s="619">
        <f>LB!X470+FR!X135+JN!X192+TA!X104+ŽB!X78+ČL!X305+NB!X127+SM!X169+JI!X150+TU!X203</f>
        <v>1229048</v>
      </c>
      <c r="R27" s="619">
        <f>LB!Y470+FR!Y135+JN!Y192+TA!Y104+ŽB!Y78+ČL!Y305+NB!Y127+SM!Y169+JI!Y150+TU!Y203</f>
        <v>-10</v>
      </c>
      <c r="S27" s="619">
        <f>LB!Z470+FR!Z135+JN!Z192+TA!Z104+ŽB!Z78+ČL!Z305+NB!Z127+SM!Z169+JI!Z150+TU!Z203</f>
        <v>0</v>
      </c>
      <c r="T27" s="619">
        <f>LB!AA470+FR!AA135+JN!AA192+TA!AA104+ŽB!AA78+ČL!AA305+NB!AA127+SM!AA169+JI!AA150+TU!AA203</f>
        <v>0</v>
      </c>
      <c r="U27" s="619">
        <f>LB!AB470+FR!AB135+JN!AB192+TA!AB104+ŽB!AB78+ČL!AB305+NB!AB127+SM!AB169+JI!AB150+TU!AB203</f>
        <v>-10</v>
      </c>
      <c r="V27" s="619">
        <f>LB!AC470+FR!AC135+JN!AC192+TA!AC104+ŽB!AC78+ČL!AC305+NB!AC127+SM!AC169+JI!AC150+TU!AC203</f>
        <v>1229038</v>
      </c>
      <c r="W27" s="619">
        <f>LB!AD470+FR!AD135+JN!AD192+TA!AD104+ŽB!AD78+ČL!AD305+NB!AD127+SM!AD169+JI!AD150+TU!AD203</f>
        <v>415413</v>
      </c>
      <c r="X27" s="619">
        <f>LB!AE470+FR!AE135+JN!AE192+TA!AE104+ŽB!AE78+ČL!AE305+NB!AE127+SM!AE169+JI!AE150+TU!AE203</f>
        <v>24579</v>
      </c>
      <c r="Y27" s="619">
        <f>LB!AF470+FR!AF135+JN!AF192+TA!AF104+ŽB!AF78+ČL!AF305+NB!AF127+SM!AF169+JI!AF150+TU!AF203</f>
        <v>11750</v>
      </c>
      <c r="Z27" s="619">
        <f>LB!AG470+FR!AG135+JN!AG192+TA!AG104+ŽB!AG78+ČL!AG305+NB!AG127+SM!AG169+JI!AG150+TU!AG203</f>
        <v>1221406</v>
      </c>
      <c r="AA27" s="619">
        <f>LB!AH470+FR!AH135+JN!AH192+TA!AH104+ŽB!AH78+ČL!AH305+NB!AH127+SM!AH169+JI!AH150+TU!AH203</f>
        <v>1233156</v>
      </c>
      <c r="AB27" s="619">
        <f>LB!AI470+FR!AI135+JN!AI192+TA!AI104+ŽB!AI78+ČL!AI305+NB!AI127+SM!AI169+JI!AI150+TU!AI203</f>
        <v>2902186</v>
      </c>
      <c r="AC27" s="624">
        <f>LB!AJ470+FR!AJ135+JN!AJ192+TA!AJ104+ŽB!AJ78+ČL!AJ305+NB!AJ127+SM!AJ169+JI!AJ150+TU!AJ203</f>
        <v>0</v>
      </c>
      <c r="AD27" s="624">
        <f>LB!AK470+FR!AK135+JN!AK192+TA!AK104+ŽB!AK78+ČL!AK305+NB!AK127+SM!AK169+JI!AK150+TU!AK203</f>
        <v>0</v>
      </c>
      <c r="AE27" s="624">
        <f>LB!AL470+FR!AL135+JN!AL192+TA!AL104+ŽB!AL78+ČL!AL305+NB!AL127+SM!AL169+JI!AL150+TU!AL203</f>
        <v>0.21999999999999992</v>
      </c>
      <c r="AF27" s="624">
        <f>LB!AM470+FR!AM135+JN!AM192+TA!AM104+ŽB!AM78+ČL!AM305+NB!AM127+SM!AM169+JI!AM150+TU!AM203</f>
        <v>4.1530000000000005</v>
      </c>
      <c r="AG27" s="624">
        <f>LB!AN470+FR!AN135+JN!AN192+TA!AN104+ŽB!AN78+ČL!AN305+NB!AN127+SM!AN169+JI!AN150+TU!AN203</f>
        <v>-0.17</v>
      </c>
      <c r="AH27" s="624">
        <f>LB!AO470+FR!AO135+JN!AO192+TA!AO104+ŽB!AO78+ČL!AO305+NB!AO127+SM!AO169+JI!AO150+TU!AO203</f>
        <v>0</v>
      </c>
      <c r="AI27" s="624">
        <f>LB!AP470+FR!AP135+JN!AP192+TA!AP104+ŽB!AP78+ČL!AP305+NB!AP127+SM!AP169+JI!AP150+TU!AP203</f>
        <v>0</v>
      </c>
      <c r="AJ27" s="624">
        <f>LB!AQ470+FR!AQ135+JN!AQ192+TA!AQ104+ŽB!AQ78+ČL!AQ305+NB!AQ127+SM!AQ169+JI!AQ150+TU!AQ203</f>
        <v>0</v>
      </c>
      <c r="AK27" s="624">
        <f>LB!AR470+FR!AR135+JN!AR192+TA!AR104+ŽB!AR78+ČL!AR305+NB!AR127+SM!AR169+JI!AR150+TU!AR203</f>
        <v>4.3730000000000011</v>
      </c>
      <c r="AL27" s="624">
        <f>LB!AS470+FR!AS135+JN!AS192+TA!AS104+ŽB!AS78+ČL!AS305+NB!AS127+SM!AS169+JI!AS150+TU!AS203</f>
        <v>-0.17</v>
      </c>
      <c r="AM27" s="625">
        <f>LB!AT470+FR!AT135+JN!AT192+TA!AT104+ŽB!AT78+ČL!AT305+NB!AT127+SM!AT169+JI!AT150+TU!AT203</f>
        <v>4.2030000000000012</v>
      </c>
      <c r="AN27" s="618">
        <f>LB!AU470+FR!AU135+JN!AU192+TA!AU104+ŽB!AU78+ČL!AU305+NB!AU127+SM!AU169+JI!AU150+TU!AU203</f>
        <v>1198749326</v>
      </c>
      <c r="AO27" s="619">
        <f>LB!AV470+FR!AV135+JN!AV192+TA!AV104+ŽB!AV78+ČL!AV305+NB!AV127+SM!AV169+JI!AV150+TU!AV203</f>
        <v>871102615</v>
      </c>
      <c r="AP27" s="619">
        <f>LB!AW470+FR!AW135+JN!AW192+TA!AW104+ŽB!AW78+ČL!AW305+NB!AW127+SM!AW169+JI!AW150+TU!AW203</f>
        <v>4649678</v>
      </c>
      <c r="AQ27" s="619">
        <f>LB!AX470+FR!AX135+JN!AX192+TA!AX104+ŽB!AX78+ČL!AX305+NB!AX127+SM!AX169+JI!AX150+TU!AX203</f>
        <v>295972719</v>
      </c>
      <c r="AR27" s="619">
        <f>LB!AY470+FR!AY135+JN!AY192+TA!AY104+ŽB!AY78+ČL!AY305+NB!AY127+SM!AY169+JI!AY150+TU!AY203</f>
        <v>17422049</v>
      </c>
      <c r="AS27" s="619">
        <f>LB!AZ470+FR!AZ135+JN!AZ192+TA!AZ104+ŽB!AZ78+ČL!AZ305+NB!AZ127+SM!AZ169+JI!AZ150+TU!AZ203</f>
        <v>9602265</v>
      </c>
      <c r="AT27" s="624">
        <f>LB!BA470+FR!BA135+JN!BA192+TA!BA104+ŽB!BA78+ČL!BA305+NB!BA127+SM!BA169+JI!BA150+TU!BA203</f>
        <v>1967.1774999999996</v>
      </c>
      <c r="AU27" s="624">
        <f>LB!BB470+FR!BB135+JN!BB192+TA!BB104+ŽB!BB78+ČL!BB305+NB!BB127+SM!BB169+JI!BB150+TU!BB203</f>
        <v>1516.7428</v>
      </c>
      <c r="AV27" s="627">
        <f>LB!BC470+FR!BC135+JN!BC192+TA!BC104+ŽB!BC78+ČL!BC305+NB!BC127+SM!BC169+JI!BC150+TU!BC203</f>
        <v>450.43469999999996</v>
      </c>
    </row>
    <row r="28" spans="1:48" x14ac:dyDescent="0.2">
      <c r="A28" s="2">
        <v>3113</v>
      </c>
      <c r="B28" s="174">
        <f>LB!I471+FR!I136+JN!I193+TA!I105+ŽB!I79+ČL!I306+NB!I128+SM!I170+JI!I151+TU!I204</f>
        <v>2950146695</v>
      </c>
      <c r="C28" s="16">
        <f>LB!J471+FR!J136+JN!J193+TA!J105+ŽB!J79+ČL!J306+NB!J128+SM!J170+JI!J151+TU!J204</f>
        <v>2118023553</v>
      </c>
      <c r="D28" s="16">
        <f>LB!K471+FR!K136+JN!K193+TA!K105+ŽB!K79+ČL!K306+NB!K128+SM!K170+JI!K151+TU!K204</f>
        <v>11129105</v>
      </c>
      <c r="E28" s="16">
        <f>LB!L471+FR!L136+JN!L193+TA!L105+ŽB!L79+ČL!L306+NB!L128+SM!L170+JI!L151+TU!L204</f>
        <v>719604900</v>
      </c>
      <c r="F28" s="16">
        <f>LB!M471+FR!M136+JN!M193+TA!M105+ŽB!M79+ČL!M306+NB!M128+SM!M170+JI!M151+TU!M204</f>
        <v>42360460</v>
      </c>
      <c r="G28" s="16">
        <f>LB!N471+FR!N136+JN!N193+TA!N105+ŽB!N79+ČL!N306+NB!N128+SM!N170+JI!N151+TU!N204</f>
        <v>59028677</v>
      </c>
      <c r="H28" s="13">
        <f>LB!O471+FR!O136+JN!O193+TA!O105+ŽB!O79+ČL!O306+NB!O128+SM!O170+JI!O151+TU!O204</f>
        <v>4015.4794000000002</v>
      </c>
      <c r="I28" s="13">
        <f>LB!P471+FR!P136+JN!P193+TA!P105+ŽB!P79+ČL!P306+NB!P128+SM!P170+JI!P151+TU!P204</f>
        <v>3223.9934999999991</v>
      </c>
      <c r="J28" s="17">
        <f>LB!Q471+FR!Q136+JN!Q193+TA!Q105+ŽB!Q79+ČL!Q306+NB!Q128+SM!Q170+JI!Q151+TU!Q204</f>
        <v>791.4858999999999</v>
      </c>
      <c r="K28" s="175">
        <f>LB!R471+FR!R136+JN!R193+TA!R105+ŽB!R79+ČL!R306+NB!R128+SM!R170+JI!R151+TU!R204</f>
        <v>-78012</v>
      </c>
      <c r="L28" s="16">
        <f>LB!S471+FR!S136+JN!S193+TA!S105+ŽB!S79+ČL!S306+NB!S128+SM!S170+JI!S151+TU!S204</f>
        <v>1007237</v>
      </c>
      <c r="M28" s="16">
        <f>LB!T471+FR!T136+JN!T193+TA!T105+ŽB!T79+ČL!T306+NB!T128+SM!T170+JI!T151+TU!T204</f>
        <v>2806332</v>
      </c>
      <c r="N28" s="16">
        <f>LB!U471+FR!U136+JN!U193+TA!U105+ŽB!U79+ČL!U306+NB!U128+SM!U170+JI!U151+TU!U204</f>
        <v>191894</v>
      </c>
      <c r="O28" s="16">
        <f>LB!V471+FR!V136+JN!V193+TA!V105+ŽB!V79+ČL!V306+NB!V128+SM!V170+JI!V151+TU!V204</f>
        <v>-565244</v>
      </c>
      <c r="P28" s="16">
        <f>LB!W471+FR!W136+JN!W193+TA!W105+ŽB!W79+ČL!W306+NB!W128+SM!W170+JI!W151+TU!W204</f>
        <v>0</v>
      </c>
      <c r="Q28" s="16">
        <f>LB!X471+FR!X136+JN!X193+TA!X105+ŽB!X79+ČL!X306+NB!X128+SM!X170+JI!X151+TU!X204</f>
        <v>3362207</v>
      </c>
      <c r="R28" s="16">
        <f>LB!Y471+FR!Y136+JN!Y193+TA!Y105+ŽB!Y79+ČL!Y306+NB!Y128+SM!Y170+JI!Y151+TU!Y204</f>
        <v>78012</v>
      </c>
      <c r="S28" s="16">
        <f>LB!Z471+FR!Z136+JN!Z193+TA!Z105+ŽB!Z79+ČL!Z306+NB!Z128+SM!Z170+JI!Z151+TU!Z204</f>
        <v>0</v>
      </c>
      <c r="T28" s="16">
        <f>LB!AA471+FR!AA136+JN!AA193+TA!AA105+ŽB!AA79+ČL!AA306+NB!AA128+SM!AA170+JI!AA151+TU!AA204</f>
        <v>0</v>
      </c>
      <c r="U28" s="16">
        <f>LB!AB471+FR!AB136+JN!AB193+TA!AB105+ŽB!AB79+ČL!AB306+NB!AB128+SM!AB170+JI!AB151+TU!AB204</f>
        <v>78012</v>
      </c>
      <c r="V28" s="16">
        <f>LB!AC471+FR!AC136+JN!AC193+TA!AC105+ŽB!AC79+ČL!AC306+NB!AC128+SM!AC170+JI!AC151+TU!AC204</f>
        <v>3440219</v>
      </c>
      <c r="W28" s="16">
        <f>LB!AD471+FR!AD136+JN!AD193+TA!AD105+ŽB!AD79+ČL!AD306+NB!AD128+SM!AD170+JI!AD151+TU!AD204</f>
        <v>1162793</v>
      </c>
      <c r="X28" s="16">
        <f>LB!AE471+FR!AE136+JN!AE193+TA!AE105+ŽB!AE79+ČL!AE306+NB!AE128+SM!AE170+JI!AE151+TU!AE204</f>
        <v>67243</v>
      </c>
      <c r="Y28" s="16">
        <f>LB!AF471+FR!AF136+JN!AF193+TA!AF105+ŽB!AF79+ČL!AF306+NB!AF128+SM!AF170+JI!AF151+TU!AF204</f>
        <v>120700</v>
      </c>
      <c r="Z28" s="16">
        <f>LB!AG471+FR!AG136+JN!AG193+TA!AG105+ŽB!AG79+ČL!AG306+NB!AG128+SM!AG170+JI!AG151+TU!AG204</f>
        <v>767602</v>
      </c>
      <c r="AA28" s="16">
        <f>LB!AH471+FR!AH136+JN!AH193+TA!AH105+ŽB!AH79+ČL!AH306+NB!AH128+SM!AH170+JI!AH151+TU!AH204</f>
        <v>888302</v>
      </c>
      <c r="AB28" s="16">
        <f>LB!AI471+FR!AI136+JN!AI193+TA!AI105+ŽB!AI79+ČL!AI306+NB!AI128+SM!AI170+JI!AI151+TU!AI204</f>
        <v>5558557</v>
      </c>
      <c r="AC28" s="13">
        <f>LB!AJ471+FR!AJ136+JN!AJ193+TA!AJ105+ŽB!AJ79+ČL!AJ306+NB!AJ128+SM!AJ170+JI!AJ151+TU!AJ204</f>
        <v>-0.1</v>
      </c>
      <c r="AD28" s="13">
        <f>LB!AK471+FR!AK136+JN!AK193+TA!AK105+ŽB!AK79+ČL!AK306+NB!AK128+SM!AK170+JI!AK151+TU!AK204</f>
        <v>-0.12</v>
      </c>
      <c r="AE28" s="13">
        <f>LB!AL471+FR!AL136+JN!AL193+TA!AL105+ŽB!AL79+ČL!AL306+NB!AL128+SM!AL170+JI!AL151+TU!AL204</f>
        <v>3.2399999999999993</v>
      </c>
      <c r="AF28" s="13">
        <f>LB!AM471+FR!AM136+JN!AM193+TA!AM105+ŽB!AM79+ČL!AM306+NB!AM128+SM!AM170+JI!AM151+TU!AM204</f>
        <v>4.3499999999999996</v>
      </c>
      <c r="AG28" s="13">
        <f>LB!AN471+FR!AN136+JN!AN193+TA!AN105+ŽB!AN79+ČL!AN306+NB!AN128+SM!AN170+JI!AN151+TU!AN204</f>
        <v>0</v>
      </c>
      <c r="AH28" s="13">
        <f>LB!AO471+FR!AO136+JN!AO193+TA!AO105+ŽB!AO79+ČL!AO306+NB!AO128+SM!AO170+JI!AO151+TU!AO204</f>
        <v>0.34</v>
      </c>
      <c r="AI28" s="13">
        <f>LB!AP471+FR!AP136+JN!AP193+TA!AP105+ŽB!AP79+ČL!AP306+NB!AP128+SM!AP170+JI!AP151+TU!AP204</f>
        <v>0</v>
      </c>
      <c r="AJ28" s="13">
        <f>LB!AQ471+FR!AQ136+JN!AQ193+TA!AQ105+ŽB!AQ79+ČL!AQ306+NB!AQ128+SM!AQ170+JI!AQ151+TU!AQ204</f>
        <v>0</v>
      </c>
      <c r="AK28" s="13">
        <f>LB!AR471+FR!AR136+JN!AR193+TA!AR105+ŽB!AR79+ČL!AR306+NB!AR128+SM!AR170+JI!AR151+TU!AR204</f>
        <v>7.8299999999999983</v>
      </c>
      <c r="AL28" s="13">
        <f>LB!AS471+FR!AS136+JN!AS193+TA!AS105+ŽB!AS79+ČL!AS306+NB!AS128+SM!AS170+JI!AS151+TU!AS204</f>
        <v>-0.12</v>
      </c>
      <c r="AM28" s="176">
        <f>LB!AT471+FR!AT136+JN!AT193+TA!AT105+ŽB!AT79+ČL!AT306+NB!AT128+SM!AT170+JI!AT151+TU!AT204</f>
        <v>7.7099999999999991</v>
      </c>
      <c r="AN28" s="174">
        <f>LB!AU471+FR!AU136+JN!AU193+TA!AU105+ŽB!AU79+ČL!AU306+NB!AU128+SM!AU170+JI!AU151+TU!AU204</f>
        <v>2955705252</v>
      </c>
      <c r="AO28" s="16">
        <f>LB!AV471+FR!AV136+JN!AV193+TA!AV105+ŽB!AV79+ČL!AV306+NB!AV128+SM!AV170+JI!AV151+TU!AV204</f>
        <v>2121385760</v>
      </c>
      <c r="AP28" s="16">
        <f>LB!AW471+FR!AW136+JN!AW193+TA!AW105+ŽB!AW79+ČL!AW306+NB!AW128+SM!AW170+JI!AW151+TU!AW204</f>
        <v>11207117</v>
      </c>
      <c r="AQ28" s="16">
        <f>LB!AX471+FR!AX136+JN!AX193+TA!AX105+ŽB!AX79+ČL!AX306+NB!AX128+SM!AX170+JI!AX151+TU!AX204</f>
        <v>720767693</v>
      </c>
      <c r="AR28" s="16">
        <f>LB!AY471+FR!AY136+JN!AY193+TA!AY105+ŽB!AY79+ČL!AY306+NB!AY128+SM!AY170+JI!AY151+TU!AY204</f>
        <v>42427703</v>
      </c>
      <c r="AS28" s="16">
        <f>LB!AZ471+FR!AZ136+JN!AZ193+TA!AZ105+ŽB!AZ79+ČL!AZ306+NB!AZ128+SM!AZ170+JI!AZ151+TU!AZ204</f>
        <v>59916979</v>
      </c>
      <c r="AT28" s="13">
        <f>LB!BA471+FR!BA136+JN!BA193+TA!BA105+ŽB!BA79+ČL!BA306+NB!BA128+SM!BA170+JI!BA151+TU!BA204</f>
        <v>4023.1894000000007</v>
      </c>
      <c r="AU28" s="13">
        <f>LB!BB471+FR!BB136+JN!BB193+TA!BB105+ŽB!BB79+ČL!BB306+NB!BB128+SM!BB170+JI!BB151+TU!BB204</f>
        <v>3231.8235</v>
      </c>
      <c r="AV28" s="17">
        <f>LB!BC471+FR!BC136+JN!BC193+TA!BC105+ŽB!BC79+ČL!BC306+NB!BC128+SM!BC170+JI!BC151+TU!BC204</f>
        <v>791.36590000000001</v>
      </c>
    </row>
    <row r="29" spans="1:48" x14ac:dyDescent="0.2">
      <c r="A29" s="2">
        <v>3114</v>
      </c>
      <c r="B29" s="174">
        <f>LB!I472+FR!I137+JN!I194+TA!I106+ŽB!I80+ČL!I307+NB!I129+SM!I171+JI!I152+TU!I205</f>
        <v>175044320</v>
      </c>
      <c r="C29" s="16">
        <f>LB!J472+FR!J137+JN!J194+TA!J106+ŽB!J80+ČL!J307+NB!J129+SM!J171+JI!J152+TU!J205</f>
        <v>126952783</v>
      </c>
      <c r="D29" s="16">
        <f>LB!K472+FR!K137+JN!K194+TA!K106+ŽB!K80+ČL!K307+NB!K129+SM!K171+JI!K152+TU!K205</f>
        <v>512692</v>
      </c>
      <c r="E29" s="16">
        <f>LB!L472+FR!L137+JN!L194+TA!L106+ŽB!L80+ČL!L307+NB!L129+SM!L171+JI!L152+TU!L205</f>
        <v>43058780</v>
      </c>
      <c r="F29" s="16">
        <f>LB!M472+FR!M137+JN!M194+TA!M106+ŽB!M80+ČL!M307+NB!M129+SM!M171+JI!M152+TU!M205</f>
        <v>2539055</v>
      </c>
      <c r="G29" s="16">
        <f>LB!N472+FR!N137+JN!N194+TA!N106+ŽB!N80+ČL!N307+NB!N129+SM!N171+JI!N152+TU!N205</f>
        <v>1981010</v>
      </c>
      <c r="H29" s="13">
        <f>LB!O472+FR!O137+JN!O194+TA!O106+ŽB!O80+ČL!O307+NB!O129+SM!O171+JI!O152+TU!O205</f>
        <v>247.0762</v>
      </c>
      <c r="I29" s="13">
        <f>LB!P472+FR!P137+JN!P194+TA!P106+ŽB!P80+ČL!P307+NB!P129+SM!P171+JI!P152+TU!P205</f>
        <v>200.84229999999999</v>
      </c>
      <c r="J29" s="17">
        <f>LB!Q472+FR!Q137+JN!Q194+TA!Q106+ŽB!Q80+ČL!Q307+NB!Q129+SM!Q171+JI!Q152+TU!Q205</f>
        <v>46.233899999999998</v>
      </c>
      <c r="K29" s="175">
        <f>LB!R472+FR!R137+JN!R194+TA!R106+ŽB!R80+ČL!R307+NB!R129+SM!R171+JI!R152+TU!R205</f>
        <v>0</v>
      </c>
      <c r="L29" s="16">
        <f>LB!S472+FR!S137+JN!S194+TA!S106+ŽB!S80+ČL!S307+NB!S129+SM!S171+JI!S152+TU!S205</f>
        <v>0</v>
      </c>
      <c r="M29" s="16">
        <f>LB!T472+FR!T137+JN!T194+TA!T106+ŽB!T80+ČL!T307+NB!T129+SM!T171+JI!T152+TU!T205</f>
        <v>88500</v>
      </c>
      <c r="N29" s="16">
        <f>LB!U472+FR!U137+JN!U194+TA!U106+ŽB!U80+ČL!U307+NB!U129+SM!U171+JI!U152+TU!U205</f>
        <v>0</v>
      </c>
      <c r="O29" s="16">
        <f>LB!V472+FR!V137+JN!V194+TA!V106+ŽB!V80+ČL!V307+NB!V129+SM!V171+JI!V152+TU!V205</f>
        <v>-294551</v>
      </c>
      <c r="P29" s="16">
        <f>LB!W472+FR!W137+JN!W194+TA!W106+ŽB!W80+ČL!W307+NB!W129+SM!W171+JI!W152+TU!W205</f>
        <v>0</v>
      </c>
      <c r="Q29" s="16">
        <f>LB!X472+FR!X137+JN!X194+TA!X106+ŽB!X80+ČL!X307+NB!X129+SM!X171+JI!X152+TU!X205</f>
        <v>-206051</v>
      </c>
      <c r="R29" s="16">
        <f>LB!Y472+FR!Y137+JN!Y194+TA!Y106+ŽB!Y80+ČL!Y307+NB!Y129+SM!Y171+JI!Y152+TU!Y205</f>
        <v>0</v>
      </c>
      <c r="S29" s="16">
        <f>LB!Z472+FR!Z137+JN!Z194+TA!Z106+ŽB!Z80+ČL!Z307+NB!Z129+SM!Z171+JI!Z152+TU!Z205</f>
        <v>0</v>
      </c>
      <c r="T29" s="16">
        <f>LB!AA472+FR!AA137+JN!AA194+TA!AA106+ŽB!AA80+ČL!AA307+NB!AA129+SM!AA171+JI!AA152+TU!AA205</f>
        <v>0</v>
      </c>
      <c r="U29" s="16">
        <f>LB!AB472+FR!AB137+JN!AB194+TA!AB106+ŽB!AB80+ČL!AB307+NB!AB129+SM!AB171+JI!AB152+TU!AB205</f>
        <v>0</v>
      </c>
      <c r="V29" s="16">
        <f>LB!AC472+FR!AC137+JN!AC194+TA!AC106+ŽB!AC80+ČL!AC307+NB!AC129+SM!AC171+JI!AC152+TU!AC205</f>
        <v>-206051</v>
      </c>
      <c r="W29" s="16">
        <f>LB!AD472+FR!AD137+JN!AD194+TA!AD106+ŽB!AD80+ČL!AD307+NB!AD129+SM!AD171+JI!AD152+TU!AD205</f>
        <v>-69645</v>
      </c>
      <c r="X29" s="16">
        <f>LB!AE472+FR!AE137+JN!AE194+TA!AE106+ŽB!AE80+ČL!AE307+NB!AE129+SM!AE171+JI!AE152+TU!AE205</f>
        <v>-4121</v>
      </c>
      <c r="Y29" s="16">
        <f>LB!AF472+FR!AF137+JN!AF194+TA!AF106+ŽB!AF80+ČL!AF307+NB!AF129+SM!AF171+JI!AF152+TU!AF205</f>
        <v>2000</v>
      </c>
      <c r="Z29" s="16">
        <f>LB!AG472+FR!AG137+JN!AG194+TA!AG106+ŽB!AG80+ČL!AG307+NB!AG129+SM!AG171+JI!AG152+TU!AG205</f>
        <v>400000</v>
      </c>
      <c r="AA29" s="16">
        <f>LB!AH472+FR!AH137+JN!AH194+TA!AH106+ŽB!AH80+ČL!AH307+NB!AH129+SM!AH171+JI!AH152+TU!AH205</f>
        <v>402000</v>
      </c>
      <c r="AB29" s="16">
        <f>LB!AI472+FR!AI137+JN!AI194+TA!AI106+ŽB!AI80+ČL!AI307+NB!AI129+SM!AI171+JI!AI152+TU!AI205</f>
        <v>122183</v>
      </c>
      <c r="AC29" s="13">
        <f>LB!AJ472+FR!AJ137+JN!AJ194+TA!AJ106+ŽB!AJ80+ČL!AJ307+NB!AJ129+SM!AJ171+JI!AJ152+TU!AJ205</f>
        <v>0</v>
      </c>
      <c r="AD29" s="13">
        <f>LB!AK472+FR!AK137+JN!AK194+TA!AK106+ŽB!AK80+ČL!AK307+NB!AK129+SM!AK171+JI!AK152+TU!AK205</f>
        <v>0</v>
      </c>
      <c r="AE29" s="13">
        <f>LB!AL472+FR!AL137+JN!AL194+TA!AL106+ŽB!AL80+ČL!AL307+NB!AL129+SM!AL171+JI!AL152+TU!AL205</f>
        <v>0</v>
      </c>
      <c r="AF29" s="13">
        <f>LB!AM472+FR!AM137+JN!AM194+TA!AM106+ŽB!AM80+ČL!AM307+NB!AM129+SM!AM171+JI!AM152+TU!AM205</f>
        <v>-9.9999999999999534E-3</v>
      </c>
      <c r="AG29" s="13">
        <f>LB!AN472+FR!AN137+JN!AN194+TA!AN106+ŽB!AN80+ČL!AN307+NB!AN129+SM!AN171+JI!AN152+TU!AN205</f>
        <v>0</v>
      </c>
      <c r="AH29" s="13">
        <f>LB!AO472+FR!AO137+JN!AO194+TA!AO106+ŽB!AO80+ČL!AO307+NB!AO129+SM!AO171+JI!AO152+TU!AO205</f>
        <v>0</v>
      </c>
      <c r="AI29" s="13">
        <f>LB!AP472+FR!AP137+JN!AP194+TA!AP106+ŽB!AP80+ČL!AP307+NB!AP129+SM!AP171+JI!AP152+TU!AP205</f>
        <v>0</v>
      </c>
      <c r="AJ29" s="13">
        <f>LB!AQ472+FR!AQ137+JN!AQ194+TA!AQ106+ŽB!AQ80+ČL!AQ307+NB!AQ129+SM!AQ171+JI!AQ152+TU!AQ205</f>
        <v>0</v>
      </c>
      <c r="AK29" s="13">
        <f>LB!AR472+FR!AR137+JN!AR194+TA!AR106+ŽB!AR80+ČL!AR307+NB!AR129+SM!AR171+JI!AR152+TU!AR205</f>
        <v>-9.9999999999999534E-3</v>
      </c>
      <c r="AL29" s="13">
        <f>LB!AS472+FR!AS137+JN!AS194+TA!AS106+ŽB!AS80+ČL!AS307+NB!AS129+SM!AS171+JI!AS152+TU!AS205</f>
        <v>0</v>
      </c>
      <c r="AM29" s="176">
        <f>LB!AT472+FR!AT137+JN!AT194+TA!AT106+ŽB!AT80+ČL!AT307+NB!AT129+SM!AT171+JI!AT152+TU!AT205</f>
        <v>-9.9999999999999534E-3</v>
      </c>
      <c r="AN29" s="174">
        <f>LB!AU472+FR!AU137+JN!AU194+TA!AU106+ŽB!AU80+ČL!AU307+NB!AU129+SM!AU171+JI!AU152+TU!AU205</f>
        <v>175166503</v>
      </c>
      <c r="AO29" s="16">
        <f>LB!AV472+FR!AV137+JN!AV194+TA!AV106+ŽB!AV80+ČL!AV307+NB!AV129+SM!AV171+JI!AV152+TU!AV205</f>
        <v>126746732</v>
      </c>
      <c r="AP29" s="16">
        <f>LB!AW472+FR!AW137+JN!AW194+TA!AW106+ŽB!AW80+ČL!AW307+NB!AW129+SM!AW171+JI!AW152+TU!AW205</f>
        <v>512692</v>
      </c>
      <c r="AQ29" s="16">
        <f>LB!AX472+FR!AX137+JN!AX194+TA!AX106+ŽB!AX80+ČL!AX307+NB!AX129+SM!AX171+JI!AX152+TU!AX205</f>
        <v>42989135</v>
      </c>
      <c r="AR29" s="16">
        <f>LB!AY472+FR!AY137+JN!AY194+TA!AY106+ŽB!AY80+ČL!AY307+NB!AY129+SM!AY171+JI!AY152+TU!AY205</f>
        <v>2534934</v>
      </c>
      <c r="AS29" s="16">
        <f>LB!AZ472+FR!AZ137+JN!AZ194+TA!AZ106+ŽB!AZ80+ČL!AZ307+NB!AZ129+SM!AZ171+JI!AZ152+TU!AZ205</f>
        <v>2383010</v>
      </c>
      <c r="AT29" s="13">
        <f>LB!BA472+FR!BA137+JN!BA194+TA!BA106+ŽB!BA80+ČL!BA307+NB!BA129+SM!BA171+JI!BA152+TU!BA205</f>
        <v>247.06620000000001</v>
      </c>
      <c r="AU29" s="13">
        <f>LB!BB472+FR!BB137+JN!BB194+TA!BB106+ŽB!BB80+ČL!BB307+NB!BB129+SM!BB171+JI!BB152+TU!BB205</f>
        <v>200.8323</v>
      </c>
      <c r="AV29" s="17">
        <f>LB!BC472+FR!BC137+JN!BC194+TA!BC106+ŽB!BC80+ČL!BC307+NB!BC129+SM!BC171+JI!BC152+TU!BC205</f>
        <v>46.233899999999998</v>
      </c>
    </row>
    <row r="30" spans="1:48" x14ac:dyDescent="0.2">
      <c r="A30" s="2">
        <v>3117</v>
      </c>
      <c r="B30" s="174">
        <f>LB!I473+FR!I138+JN!I195+TA!I107+ŽB!I81+ČL!I308+NB!I130+SM!I172+JI!I153+TU!I206</f>
        <v>305947443</v>
      </c>
      <c r="C30" s="16">
        <f>LB!J473+FR!J138+JN!J195+TA!J107+ŽB!J81+ČL!J308+NB!J130+SM!J172+JI!J153+TU!J206</f>
        <v>219187562</v>
      </c>
      <c r="D30" s="16">
        <f>LB!K473+FR!K138+JN!K195+TA!K107+ŽB!K81+ČL!K308+NB!K130+SM!K172+JI!K153+TU!K206</f>
        <v>2311471</v>
      </c>
      <c r="E30" s="16">
        <f>LB!L473+FR!L138+JN!L195+TA!L107+ŽB!L81+ČL!L308+NB!L130+SM!L172+JI!L153+TU!L206</f>
        <v>74843635</v>
      </c>
      <c r="F30" s="16">
        <f>LB!M473+FR!M138+JN!M195+TA!M107+ŽB!M81+ČL!M308+NB!M130+SM!M172+JI!M153+TU!M206</f>
        <v>4383749</v>
      </c>
      <c r="G30" s="16">
        <f>LB!N473+FR!N138+JN!N195+TA!N107+ŽB!N81+ČL!N308+NB!N130+SM!N172+JI!N153+TU!N206</f>
        <v>5221026</v>
      </c>
      <c r="H30" s="13">
        <f>LB!O473+FR!O138+JN!O195+TA!O107+ŽB!O81+ČL!O308+NB!O130+SM!O172+JI!O153+TU!O206</f>
        <v>456.51009999999997</v>
      </c>
      <c r="I30" s="13">
        <f>LB!P473+FR!P138+JN!P195+TA!P107+ŽB!P81+ČL!P308+NB!P130+SM!P172+JI!P153+TU!P206</f>
        <v>340.00929999999994</v>
      </c>
      <c r="J30" s="17">
        <f>LB!Q473+FR!Q138+JN!Q195+TA!Q107+ŽB!Q81+ČL!Q308+NB!Q130+SM!Q172+JI!Q153+TU!Q206</f>
        <v>116.50079999999998</v>
      </c>
      <c r="K30" s="175">
        <f>LB!R473+FR!R138+JN!R195+TA!R107+ŽB!R81+ČL!R308+NB!R130+SM!R172+JI!R153+TU!R206</f>
        <v>-10000</v>
      </c>
      <c r="L30" s="16">
        <f>LB!S473+FR!S138+JN!S195+TA!S107+ŽB!S81+ČL!S308+NB!S130+SM!S172+JI!S153+TU!S206</f>
        <v>-720400</v>
      </c>
      <c r="M30" s="16">
        <f>LB!T473+FR!T138+JN!T195+TA!T107+ŽB!T81+ČL!T308+NB!T130+SM!T172+JI!T153+TU!T206</f>
        <v>917011</v>
      </c>
      <c r="N30" s="16">
        <f>LB!U473+FR!U138+JN!U195+TA!U107+ŽB!U81+ČL!U308+NB!U130+SM!U172+JI!U153+TU!U206</f>
        <v>-26730</v>
      </c>
      <c r="O30" s="16">
        <f>LB!V473+FR!V138+JN!V195+TA!V107+ŽB!V81+ČL!V308+NB!V130+SM!V172+JI!V153+TU!V206</f>
        <v>-114875</v>
      </c>
      <c r="P30" s="16">
        <f>LB!W473+FR!W138+JN!W195+TA!W107+ŽB!W81+ČL!W308+NB!W130+SM!W172+JI!W153+TU!W206</f>
        <v>0</v>
      </c>
      <c r="Q30" s="16">
        <f>LB!X473+FR!X138+JN!X195+TA!X107+ŽB!X81+ČL!X308+NB!X130+SM!X172+JI!X153+TU!X206</f>
        <v>45006</v>
      </c>
      <c r="R30" s="16">
        <f>LB!Y473+FR!Y138+JN!Y195+TA!Y107+ŽB!Y81+ČL!Y308+NB!Y130+SM!Y172+JI!Y153+TU!Y206</f>
        <v>10000</v>
      </c>
      <c r="S30" s="16">
        <f>LB!Z473+FR!Z138+JN!Z195+TA!Z107+ŽB!Z81+ČL!Z308+NB!Z130+SM!Z172+JI!Z153+TU!Z206</f>
        <v>0</v>
      </c>
      <c r="T30" s="16">
        <f>LB!AA473+FR!AA138+JN!AA195+TA!AA107+ŽB!AA81+ČL!AA308+NB!AA130+SM!AA172+JI!AA153+TU!AA206</f>
        <v>0</v>
      </c>
      <c r="U30" s="16">
        <f>LB!AB473+FR!AB138+JN!AB195+TA!AB107+ŽB!AB81+ČL!AB308+NB!AB130+SM!AB172+JI!AB153+TU!AB206</f>
        <v>10000</v>
      </c>
      <c r="V30" s="16">
        <f>LB!AC473+FR!AC138+JN!AC195+TA!AC107+ŽB!AC81+ČL!AC308+NB!AC130+SM!AC172+JI!AC153+TU!AC206</f>
        <v>55006</v>
      </c>
      <c r="W30" s="16">
        <f>LB!AD473+FR!AD138+JN!AD195+TA!AD107+ŽB!AD81+ČL!AD308+NB!AD130+SM!AD172+JI!AD153+TU!AD206</f>
        <v>18593</v>
      </c>
      <c r="X30" s="16">
        <f>LB!AE473+FR!AE138+JN!AE195+TA!AE107+ŽB!AE81+ČL!AE308+NB!AE130+SM!AE172+JI!AE153+TU!AE206</f>
        <v>902</v>
      </c>
      <c r="Y30" s="16">
        <f>LB!AF473+FR!AF138+JN!AF195+TA!AF107+ŽB!AF81+ČL!AF308+NB!AF130+SM!AF172+JI!AF153+TU!AF206</f>
        <v>28450</v>
      </c>
      <c r="Z30" s="16">
        <f>LB!AG473+FR!AG138+JN!AG195+TA!AG107+ŽB!AG81+ČL!AG308+NB!AG130+SM!AG172+JI!AG153+TU!AG206</f>
        <v>156001</v>
      </c>
      <c r="AA30" s="16">
        <f>LB!AH473+FR!AH138+JN!AH195+TA!AH107+ŽB!AH81+ČL!AH308+NB!AH130+SM!AH172+JI!AH153+TU!AH206</f>
        <v>184451</v>
      </c>
      <c r="AB30" s="16">
        <f>LB!AI473+FR!AI138+JN!AI195+TA!AI107+ŽB!AI81+ČL!AI308+NB!AI130+SM!AI172+JI!AI153+TU!AI206</f>
        <v>258952</v>
      </c>
      <c r="AC30" s="13">
        <f>LB!AJ473+FR!AJ138+JN!AJ195+TA!AJ107+ŽB!AJ81+ČL!AJ308+NB!AJ130+SM!AJ172+JI!AJ153+TU!AJ206</f>
        <v>-0.02</v>
      </c>
      <c r="AD30" s="13">
        <f>LB!AK473+FR!AK138+JN!AK195+TA!AK107+ŽB!AK81+ČL!AK308+NB!AK130+SM!AK172+JI!AK153+TU!AK206</f>
        <v>0</v>
      </c>
      <c r="AE30" s="13">
        <f>LB!AL473+FR!AL138+JN!AL195+TA!AL107+ŽB!AL81+ČL!AL308+NB!AL130+SM!AL172+JI!AL153+TU!AL206</f>
        <v>-2.0500000000000003</v>
      </c>
      <c r="AF30" s="13">
        <f>LB!AM473+FR!AM138+JN!AM195+TA!AM107+ŽB!AM81+ČL!AM308+NB!AM130+SM!AM172+JI!AM153+TU!AM206</f>
        <v>1.8900000000000001</v>
      </c>
      <c r="AG30" s="13">
        <f>LB!AN473+FR!AN138+JN!AN195+TA!AN107+ŽB!AN81+ČL!AN308+NB!AN130+SM!AN172+JI!AN153+TU!AN206</f>
        <v>0</v>
      </c>
      <c r="AH30" s="13">
        <f>LB!AO473+FR!AO138+JN!AO195+TA!AO107+ŽB!AO81+ČL!AO308+NB!AO130+SM!AO172+JI!AO153+TU!AO206</f>
        <v>0</v>
      </c>
      <c r="AI30" s="13">
        <f>LB!AP473+FR!AP138+JN!AP195+TA!AP107+ŽB!AP81+ČL!AP308+NB!AP130+SM!AP172+JI!AP153+TU!AP206</f>
        <v>0</v>
      </c>
      <c r="AJ30" s="13">
        <f>LB!AQ473+FR!AQ138+JN!AQ195+TA!AQ107+ŽB!AQ81+ČL!AQ308+NB!AQ130+SM!AQ172+JI!AQ153+TU!AQ206</f>
        <v>-0.05</v>
      </c>
      <c r="AK30" s="13">
        <f>LB!AR473+FR!AR138+JN!AR195+TA!AR107+ŽB!AR81+ČL!AR308+NB!AR130+SM!AR172+JI!AR153+TU!AR206</f>
        <v>-0.18000000000000027</v>
      </c>
      <c r="AL30" s="13">
        <f>LB!AS473+FR!AS138+JN!AS195+TA!AS107+ŽB!AS81+ČL!AS308+NB!AS130+SM!AS172+JI!AS153+TU!AS206</f>
        <v>-0.05</v>
      </c>
      <c r="AM30" s="176">
        <f>LB!AT473+FR!AT138+JN!AT195+TA!AT107+ŽB!AT81+ČL!AT308+NB!AT130+SM!AT172+JI!AT153+TU!AT206</f>
        <v>-0.23000000000000026</v>
      </c>
      <c r="AN30" s="174">
        <f>LB!AU473+FR!AU138+JN!AU195+TA!AU107+ŽB!AU81+ČL!AU308+NB!AU130+SM!AU172+JI!AU153+TU!AU206</f>
        <v>306206395</v>
      </c>
      <c r="AO30" s="16">
        <f>LB!AV473+FR!AV138+JN!AV195+TA!AV107+ŽB!AV81+ČL!AV308+NB!AV130+SM!AV172+JI!AV153+TU!AV206</f>
        <v>219232568</v>
      </c>
      <c r="AP30" s="16">
        <f>LB!AW473+FR!AW138+JN!AW195+TA!AW107+ŽB!AW81+ČL!AW308+NB!AW130+SM!AW172+JI!AW153+TU!AW206</f>
        <v>2321471</v>
      </c>
      <c r="AQ30" s="16">
        <f>LB!AX473+FR!AX138+JN!AX195+TA!AX107+ŽB!AX81+ČL!AX308+NB!AX130+SM!AX172+JI!AX153+TU!AX206</f>
        <v>74862228</v>
      </c>
      <c r="AR30" s="16">
        <f>LB!AY473+FR!AY138+JN!AY195+TA!AY107+ŽB!AY81+ČL!AY308+NB!AY130+SM!AY172+JI!AY153+TU!AY206</f>
        <v>4384651</v>
      </c>
      <c r="AS30" s="16">
        <f>LB!AZ473+FR!AZ138+JN!AZ195+TA!AZ107+ŽB!AZ81+ČL!AZ308+NB!AZ130+SM!AZ172+JI!AZ153+TU!AZ206</f>
        <v>5405477</v>
      </c>
      <c r="AT30" s="13">
        <f>LB!BA473+FR!BA138+JN!BA195+TA!BA107+ŽB!BA81+ČL!BA308+NB!BA130+SM!BA172+JI!BA153+TU!BA206</f>
        <v>456.28009999999995</v>
      </c>
      <c r="AU30" s="13">
        <f>LB!BB473+FR!BB138+JN!BB195+TA!BB107+ŽB!BB81+ČL!BB308+NB!BB130+SM!BB172+JI!BB153+TU!BB206</f>
        <v>339.82929999999999</v>
      </c>
      <c r="AV30" s="17">
        <f>LB!BC473+FR!BC138+JN!BC195+TA!BC107+ŽB!BC81+ČL!BC308+NB!BC130+SM!BC172+JI!BC153+TU!BC206</f>
        <v>116.45079999999999</v>
      </c>
    </row>
    <row r="31" spans="1:48" x14ac:dyDescent="0.2">
      <c r="A31" s="2">
        <v>3122</v>
      </c>
      <c r="B31" s="174">
        <f>LB!I474+FR!I139+JN!I196+TA!I108+ŽB!I82+ČL!I309+NB!I131+SM!I173+JI!I154+TU!I207</f>
        <v>8799755</v>
      </c>
      <c r="C31" s="16">
        <f>LB!J474+FR!J139+JN!J196+TA!J108+ŽB!J82+ČL!J309+NB!J131+SM!J173+JI!J154+TU!J207</f>
        <v>6073108</v>
      </c>
      <c r="D31" s="16">
        <f>LB!K474+FR!K139+JN!K196+TA!K108+ŽB!K82+ČL!K309+NB!K131+SM!K173+JI!K154+TU!K207</f>
        <v>341760</v>
      </c>
      <c r="E31" s="16">
        <f>LB!L474+FR!L139+JN!L196+TA!L108+ŽB!L82+ČL!L309+NB!L131+SM!L173+JI!L154+TU!L207</f>
        <v>2168225</v>
      </c>
      <c r="F31" s="16">
        <f>LB!M474+FR!M139+JN!M196+TA!M108+ŽB!M82+ČL!M309+NB!M131+SM!M173+JI!M154+TU!M207</f>
        <v>121462</v>
      </c>
      <c r="G31" s="16">
        <f>LB!N474+FR!N139+JN!N196+TA!N108+ŽB!N82+ČL!N309+NB!N131+SM!N173+JI!N154+TU!N207</f>
        <v>95200</v>
      </c>
      <c r="H31" s="13">
        <f>LB!O474+FR!O139+JN!O196+TA!O108+ŽB!O82+ČL!O309+NB!O131+SM!O173+JI!O154+TU!O207</f>
        <v>9.7884000000000011</v>
      </c>
      <c r="I31" s="13">
        <f>LB!P474+FR!P139+JN!P196+TA!P108+ŽB!P82+ČL!P309+NB!P131+SM!P173+JI!P154+TU!P207</f>
        <v>8.4656000000000002</v>
      </c>
      <c r="J31" s="17">
        <f>LB!Q474+FR!Q139+JN!Q196+TA!Q108+ŽB!Q82+ČL!Q309+NB!Q131+SM!Q173+JI!Q154+TU!Q207</f>
        <v>1.3228</v>
      </c>
      <c r="K31" s="175">
        <f>LB!R474+FR!R139+JN!R196+TA!R108+ŽB!R82+ČL!R309+NB!R131+SM!R173+JI!R154+TU!R207</f>
        <v>0</v>
      </c>
      <c r="L31" s="16">
        <f>LB!S474+FR!S139+JN!S196+TA!S108+ŽB!S82+ČL!S309+NB!S131+SM!S173+JI!S154+TU!S207</f>
        <v>0</v>
      </c>
      <c r="M31" s="16">
        <f>LB!T474+FR!T139+JN!T196+TA!T108+ŽB!T82+ČL!T309+NB!T131+SM!T173+JI!T154+TU!T207</f>
        <v>0</v>
      </c>
      <c r="N31" s="16">
        <f>LB!U474+FR!U139+JN!U196+TA!U108+ŽB!U82+ČL!U309+NB!U131+SM!U173+JI!U154+TU!U207</f>
        <v>0</v>
      </c>
      <c r="O31" s="16">
        <f>LB!V474+FR!V139+JN!V196+TA!V108+ŽB!V82+ČL!V309+NB!V131+SM!V173+JI!V154+TU!V207</f>
        <v>0</v>
      </c>
      <c r="P31" s="16">
        <f>LB!W474+FR!W139+JN!W196+TA!W108+ŽB!W82+ČL!W309+NB!W131+SM!W173+JI!W154+TU!W207</f>
        <v>0</v>
      </c>
      <c r="Q31" s="16">
        <f>LB!X474+FR!X139+JN!X196+TA!X108+ŽB!X82+ČL!X309+NB!X131+SM!X173+JI!X154+TU!X207</f>
        <v>0</v>
      </c>
      <c r="R31" s="16">
        <f>LB!Y474+FR!Y139+JN!Y196+TA!Y108+ŽB!Y82+ČL!Y309+NB!Y131+SM!Y173+JI!Y154+TU!Y207</f>
        <v>0</v>
      </c>
      <c r="S31" s="16">
        <f>LB!Z474+FR!Z139+JN!Z196+TA!Z108+ŽB!Z82+ČL!Z309+NB!Z131+SM!Z173+JI!Z154+TU!Z207</f>
        <v>0</v>
      </c>
      <c r="T31" s="16">
        <f>LB!AA474+FR!AA139+JN!AA196+TA!AA108+ŽB!AA82+ČL!AA309+NB!AA131+SM!AA173+JI!AA154+TU!AA207</f>
        <v>0</v>
      </c>
      <c r="U31" s="16">
        <f>LB!AB474+FR!AB139+JN!AB196+TA!AB108+ŽB!AB82+ČL!AB309+NB!AB131+SM!AB173+JI!AB154+TU!AB207</f>
        <v>0</v>
      </c>
      <c r="V31" s="16">
        <f>LB!AC474+FR!AC139+JN!AC196+TA!AC108+ŽB!AC82+ČL!AC309+NB!AC131+SM!AC173+JI!AC154+TU!AC207</f>
        <v>0</v>
      </c>
      <c r="W31" s="16">
        <f>LB!AD474+FR!AD139+JN!AD196+TA!AD108+ŽB!AD82+ČL!AD309+NB!AD131+SM!AD173+JI!AD154+TU!AD207</f>
        <v>0</v>
      </c>
      <c r="X31" s="16">
        <f>LB!AE474+FR!AE139+JN!AE196+TA!AE108+ŽB!AE82+ČL!AE309+NB!AE131+SM!AE173+JI!AE154+TU!AE207</f>
        <v>0</v>
      </c>
      <c r="Y31" s="16">
        <f>LB!AF474+FR!AF139+JN!AF196+TA!AF108+ŽB!AF82+ČL!AF309+NB!AF131+SM!AF173+JI!AF154+TU!AF207</f>
        <v>0</v>
      </c>
      <c r="Z31" s="16">
        <f>LB!AG474+FR!AG139+JN!AG196+TA!AG108+ŽB!AG82+ČL!AG309+NB!AG131+SM!AG173+JI!AG154+TU!AG207</f>
        <v>0</v>
      </c>
      <c r="AA31" s="16">
        <f>LB!AH474+FR!AH139+JN!AH196+TA!AH108+ŽB!AH82+ČL!AH309+NB!AH131+SM!AH173+JI!AH154+TU!AH207</f>
        <v>0</v>
      </c>
      <c r="AB31" s="16">
        <f>LB!AI474+FR!AI139+JN!AI196+TA!AI108+ŽB!AI82+ČL!AI309+NB!AI131+SM!AI173+JI!AI154+TU!AI207</f>
        <v>0</v>
      </c>
      <c r="AC31" s="13">
        <f>LB!AJ474+FR!AJ139+JN!AJ196+TA!AJ108+ŽB!AJ82+ČL!AJ309+NB!AJ131+SM!AJ173+JI!AJ154+TU!AJ207</f>
        <v>0</v>
      </c>
      <c r="AD31" s="13">
        <f>LB!AK474+FR!AK139+JN!AK196+TA!AK108+ŽB!AK82+ČL!AK309+NB!AK131+SM!AK173+JI!AK154+TU!AK207</f>
        <v>0</v>
      </c>
      <c r="AE31" s="13">
        <f>LB!AL474+FR!AL139+JN!AL196+TA!AL108+ŽB!AL82+ČL!AL309+NB!AL131+SM!AL173+JI!AL154+TU!AL207</f>
        <v>0</v>
      </c>
      <c r="AF31" s="13">
        <f>LB!AM474+FR!AM139+JN!AM196+TA!AM108+ŽB!AM82+ČL!AM309+NB!AM131+SM!AM173+JI!AM154+TU!AM207</f>
        <v>0</v>
      </c>
      <c r="AG31" s="13">
        <f>LB!AN474+FR!AN139+JN!AN196+TA!AN108+ŽB!AN82+ČL!AN309+NB!AN131+SM!AN173+JI!AN154+TU!AN207</f>
        <v>0</v>
      </c>
      <c r="AH31" s="13">
        <f>LB!AO474+FR!AO139+JN!AO196+TA!AO108+ŽB!AO82+ČL!AO309+NB!AO131+SM!AO173+JI!AO154+TU!AO207</f>
        <v>0</v>
      </c>
      <c r="AI31" s="13">
        <f>LB!AP474+FR!AP139+JN!AP196+TA!AP108+ŽB!AP82+ČL!AP309+NB!AP131+SM!AP173+JI!AP154+TU!AP207</f>
        <v>0</v>
      </c>
      <c r="AJ31" s="13">
        <f>LB!AQ474+FR!AQ139+JN!AQ196+TA!AQ108+ŽB!AQ82+ČL!AQ309+NB!AQ131+SM!AQ173+JI!AQ154+TU!AQ207</f>
        <v>0</v>
      </c>
      <c r="AK31" s="13">
        <f>LB!AR474+FR!AR139+JN!AR196+TA!AR108+ŽB!AR82+ČL!AR309+NB!AR131+SM!AR173+JI!AR154+TU!AR207</f>
        <v>0</v>
      </c>
      <c r="AL31" s="13">
        <f>LB!AS474+FR!AS139+JN!AS196+TA!AS108+ŽB!AS82+ČL!AS309+NB!AS131+SM!AS173+JI!AS154+TU!AS207</f>
        <v>0</v>
      </c>
      <c r="AM31" s="176">
        <f>LB!AT474+FR!AT139+JN!AT196+TA!AT108+ŽB!AT82+ČL!AT309+NB!AT131+SM!AT173+JI!AT154+TU!AT207</f>
        <v>0</v>
      </c>
      <c r="AN31" s="174">
        <f>LB!AU474+FR!AU139+JN!AU196+TA!AU108+ŽB!AU82+ČL!AU309+NB!AU131+SM!AU173+JI!AU154+TU!AU207</f>
        <v>8799755</v>
      </c>
      <c r="AO31" s="16">
        <f>LB!AV474+FR!AV139+JN!AV196+TA!AV108+ŽB!AV82+ČL!AV309+NB!AV131+SM!AV173+JI!AV154+TU!AV207</f>
        <v>6073108</v>
      </c>
      <c r="AP31" s="16">
        <f>LB!AW474+FR!AW139+JN!AW196+TA!AW108+ŽB!AW82+ČL!AW309+NB!AW131+SM!AW173+JI!AW154+TU!AW207</f>
        <v>341760</v>
      </c>
      <c r="AQ31" s="16">
        <f>LB!AX474+FR!AX139+JN!AX196+TA!AX108+ŽB!AX82+ČL!AX309+NB!AX131+SM!AX173+JI!AX154+TU!AX207</f>
        <v>2168225</v>
      </c>
      <c r="AR31" s="16">
        <f>LB!AY474+FR!AY139+JN!AY196+TA!AY108+ŽB!AY82+ČL!AY309+NB!AY131+SM!AY173+JI!AY154+TU!AY207</f>
        <v>121462</v>
      </c>
      <c r="AS31" s="16">
        <f>LB!AZ474+FR!AZ139+JN!AZ196+TA!AZ108+ŽB!AZ82+ČL!AZ309+NB!AZ131+SM!AZ173+JI!AZ154+TU!AZ207</f>
        <v>95200</v>
      </c>
      <c r="AT31" s="13">
        <f>LB!BA474+FR!BA139+JN!BA196+TA!BA108+ŽB!BA82+ČL!BA309+NB!BA131+SM!BA173+JI!BA154+TU!BA207</f>
        <v>9.7884000000000011</v>
      </c>
      <c r="AU31" s="13">
        <f>LB!BB474+FR!BB139+JN!BB196+TA!BB108+ŽB!BB82+ČL!BB309+NB!BB131+SM!BB173+JI!BB154+TU!BB207</f>
        <v>8.4656000000000002</v>
      </c>
      <c r="AV31" s="17">
        <f>LB!BC474+FR!BC139+JN!BC196+TA!BC108+ŽB!BC82+ČL!BC309+NB!BC131+SM!BC173+JI!BC154+TU!BC207</f>
        <v>1.3228</v>
      </c>
    </row>
    <row r="32" spans="1:48" x14ac:dyDescent="0.2">
      <c r="A32" s="2">
        <v>3124</v>
      </c>
      <c r="B32" s="174">
        <f>LB!I475+FR!I140+JN!I197+TA!I109+ŽB!I83+ČL!I310+NB!I132+SM!I174+JI!I155+TU!I208</f>
        <v>4251963</v>
      </c>
      <c r="C32" s="16">
        <f>LB!J475+FR!J140+JN!J197+TA!J109+ŽB!J83+ČL!J310+NB!J132+SM!J174+JI!J155+TU!J208</f>
        <v>3114553</v>
      </c>
      <c r="D32" s="16">
        <f>LB!K475+FR!K140+JN!K197+TA!K109+ŽB!K83+ČL!K310+NB!K132+SM!K174+JI!K155+TU!K208</f>
        <v>0</v>
      </c>
      <c r="E32" s="16">
        <f>LB!L475+FR!L140+JN!L197+TA!L109+ŽB!L83+ČL!L310+NB!L132+SM!L174+JI!L155+TU!L208</f>
        <v>1052719</v>
      </c>
      <c r="F32" s="16">
        <f>LB!M475+FR!M140+JN!M197+TA!M109+ŽB!M83+ČL!M310+NB!M132+SM!M174+JI!M155+TU!M208</f>
        <v>62291</v>
      </c>
      <c r="G32" s="16">
        <f>LB!N475+FR!N140+JN!N197+TA!N109+ŽB!N83+ČL!N310+NB!N132+SM!N174+JI!N155+TU!N208</f>
        <v>22400</v>
      </c>
      <c r="H32" s="13">
        <f>LB!O475+FR!O140+JN!O197+TA!O109+ŽB!O83+ČL!O310+NB!O132+SM!O174+JI!O155+TU!O208</f>
        <v>5.7788000000000004</v>
      </c>
      <c r="I32" s="13">
        <f>LB!P475+FR!P140+JN!P197+TA!P109+ŽB!P83+ČL!P310+NB!P132+SM!P174+JI!P155+TU!P208</f>
        <v>5.0158000000000005</v>
      </c>
      <c r="J32" s="17">
        <f>LB!Q475+FR!Q140+JN!Q197+TA!Q109+ŽB!Q83+ČL!Q310+NB!Q132+SM!Q174+JI!Q155+TU!Q208</f>
        <v>0.76300000000000001</v>
      </c>
      <c r="K32" s="175">
        <f>LB!R475+FR!R140+JN!R197+TA!R109+ŽB!R83+ČL!R310+NB!R132+SM!R174+JI!R155+TU!R208</f>
        <v>0</v>
      </c>
      <c r="L32" s="16">
        <f>LB!S475+FR!S140+JN!S197+TA!S109+ŽB!S83+ČL!S310+NB!S132+SM!S174+JI!S155+TU!S208</f>
        <v>0</v>
      </c>
      <c r="M32" s="16">
        <f>LB!T475+FR!T140+JN!T197+TA!T109+ŽB!T83+ČL!T310+NB!T132+SM!T174+JI!T155+TU!T208</f>
        <v>0</v>
      </c>
      <c r="N32" s="16">
        <f>LB!U475+FR!U140+JN!U197+TA!U109+ŽB!U83+ČL!U310+NB!U132+SM!U174+JI!U155+TU!U208</f>
        <v>0</v>
      </c>
      <c r="O32" s="16">
        <f>LB!V475+FR!V140+JN!V197+TA!V109+ŽB!V83+ČL!V310+NB!V132+SM!V174+JI!V155+TU!V208</f>
        <v>0</v>
      </c>
      <c r="P32" s="16">
        <f>LB!W475+FR!W140+JN!W197+TA!W109+ŽB!W83+ČL!W310+NB!W132+SM!W174+JI!W155+TU!W208</f>
        <v>0</v>
      </c>
      <c r="Q32" s="16">
        <f>LB!X475+FR!X140+JN!X197+TA!X109+ŽB!X83+ČL!X310+NB!X132+SM!X174+JI!X155+TU!X208</f>
        <v>0</v>
      </c>
      <c r="R32" s="16">
        <f>LB!Y475+FR!Y140+JN!Y197+TA!Y109+ŽB!Y83+ČL!Y310+NB!Y132+SM!Y174+JI!Y155+TU!Y208</f>
        <v>0</v>
      </c>
      <c r="S32" s="16">
        <f>LB!Z475+FR!Z140+JN!Z197+TA!Z109+ŽB!Z83+ČL!Z310+NB!Z132+SM!Z174+JI!Z155+TU!Z208</f>
        <v>0</v>
      </c>
      <c r="T32" s="16">
        <f>LB!AA475+FR!AA140+JN!AA197+TA!AA109+ŽB!AA83+ČL!AA310+NB!AA132+SM!AA174+JI!AA155+TU!AA208</f>
        <v>0</v>
      </c>
      <c r="U32" s="16">
        <f>LB!AB475+FR!AB140+JN!AB197+TA!AB109+ŽB!AB83+ČL!AB310+NB!AB132+SM!AB174+JI!AB155+TU!AB208</f>
        <v>0</v>
      </c>
      <c r="V32" s="16">
        <f>LB!AC475+FR!AC140+JN!AC197+TA!AC109+ŽB!AC83+ČL!AC310+NB!AC132+SM!AC174+JI!AC155+TU!AC208</f>
        <v>0</v>
      </c>
      <c r="W32" s="16">
        <f>LB!AD475+FR!AD140+JN!AD197+TA!AD109+ŽB!AD83+ČL!AD310+NB!AD132+SM!AD174+JI!AD155+TU!AD208</f>
        <v>0</v>
      </c>
      <c r="X32" s="16">
        <f>LB!AE475+FR!AE140+JN!AE197+TA!AE109+ŽB!AE83+ČL!AE310+NB!AE132+SM!AE174+JI!AE155+TU!AE208</f>
        <v>0</v>
      </c>
      <c r="Y32" s="16">
        <f>LB!AF475+FR!AF140+JN!AF197+TA!AF109+ŽB!AF83+ČL!AF310+NB!AF132+SM!AF174+JI!AF155+TU!AF208</f>
        <v>0</v>
      </c>
      <c r="Z32" s="16">
        <f>LB!AG475+FR!AG140+JN!AG197+TA!AG109+ŽB!AG83+ČL!AG310+NB!AG132+SM!AG174+JI!AG155+TU!AG208</f>
        <v>0</v>
      </c>
      <c r="AA32" s="16">
        <f>LB!AH475+FR!AH140+JN!AH197+TA!AH109+ŽB!AH83+ČL!AH310+NB!AH132+SM!AH174+JI!AH155+TU!AH208</f>
        <v>0</v>
      </c>
      <c r="AB32" s="16">
        <f>LB!AI475+FR!AI140+JN!AI197+TA!AI109+ŽB!AI83+ČL!AI310+NB!AI132+SM!AI174+JI!AI155+TU!AI208</f>
        <v>0</v>
      </c>
      <c r="AC32" s="13">
        <f>LB!AJ475+FR!AJ140+JN!AJ197+TA!AJ109+ŽB!AJ83+ČL!AJ310+NB!AJ132+SM!AJ174+JI!AJ155+TU!AJ208</f>
        <v>0</v>
      </c>
      <c r="AD32" s="13">
        <f>LB!AK475+FR!AK140+JN!AK197+TA!AK109+ŽB!AK83+ČL!AK310+NB!AK132+SM!AK174+JI!AK155+TU!AK208</f>
        <v>0</v>
      </c>
      <c r="AE32" s="13">
        <f>LB!AL475+FR!AL140+JN!AL197+TA!AL109+ŽB!AL83+ČL!AL310+NB!AL132+SM!AL174+JI!AL155+TU!AL208</f>
        <v>0</v>
      </c>
      <c r="AF32" s="13">
        <f>LB!AM475+FR!AM140+JN!AM197+TA!AM109+ŽB!AM83+ČL!AM310+NB!AM132+SM!AM174+JI!AM155+TU!AM208</f>
        <v>0</v>
      </c>
      <c r="AG32" s="13">
        <f>LB!AN475+FR!AN140+JN!AN197+TA!AN109+ŽB!AN83+ČL!AN310+NB!AN132+SM!AN174+JI!AN155+TU!AN208</f>
        <v>0</v>
      </c>
      <c r="AH32" s="13">
        <f>LB!AO475+FR!AO140+JN!AO197+TA!AO109+ŽB!AO83+ČL!AO310+NB!AO132+SM!AO174+JI!AO155+TU!AO208</f>
        <v>0</v>
      </c>
      <c r="AI32" s="13">
        <f>LB!AP475+FR!AP140+JN!AP197+TA!AP109+ŽB!AP83+ČL!AP310+NB!AP132+SM!AP174+JI!AP155+TU!AP208</f>
        <v>0</v>
      </c>
      <c r="AJ32" s="13">
        <f>LB!AQ475+FR!AQ140+JN!AQ197+TA!AQ109+ŽB!AQ83+ČL!AQ310+NB!AQ132+SM!AQ174+JI!AQ155+TU!AQ208</f>
        <v>0</v>
      </c>
      <c r="AK32" s="13">
        <f>LB!AR475+FR!AR140+JN!AR197+TA!AR109+ŽB!AR83+ČL!AR310+NB!AR132+SM!AR174+JI!AR155+TU!AR208</f>
        <v>0</v>
      </c>
      <c r="AL32" s="13">
        <f>LB!AS475+FR!AS140+JN!AS197+TA!AS109+ŽB!AS83+ČL!AS310+NB!AS132+SM!AS174+JI!AS155+TU!AS208</f>
        <v>0</v>
      </c>
      <c r="AM32" s="176">
        <f>LB!AT475+FR!AT140+JN!AT197+TA!AT109+ŽB!AT83+ČL!AT310+NB!AT132+SM!AT174+JI!AT155+TU!AT208</f>
        <v>0</v>
      </c>
      <c r="AN32" s="174">
        <f>LB!AU475+FR!AU140+JN!AU197+TA!AU109+ŽB!AU83+ČL!AU310+NB!AU132+SM!AU174+JI!AU155+TU!AU208</f>
        <v>4251963</v>
      </c>
      <c r="AO32" s="16">
        <f>LB!AV475+FR!AV140+JN!AV197+TA!AV109+ŽB!AV83+ČL!AV310+NB!AV132+SM!AV174+JI!AV155+TU!AV208</f>
        <v>3114553</v>
      </c>
      <c r="AP32" s="16">
        <f>LB!AW475+FR!AW140+JN!AW197+TA!AW109+ŽB!AW83+ČL!AW310+NB!AW132+SM!AW174+JI!AW155+TU!AW208</f>
        <v>0</v>
      </c>
      <c r="AQ32" s="16">
        <f>LB!AX475+FR!AX140+JN!AX197+TA!AX109+ŽB!AX83+ČL!AX310+NB!AX132+SM!AX174+JI!AX155+TU!AX208</f>
        <v>1052719</v>
      </c>
      <c r="AR32" s="16">
        <f>LB!AY475+FR!AY140+JN!AY197+TA!AY109+ŽB!AY83+ČL!AY310+NB!AY132+SM!AY174+JI!AY155+TU!AY208</f>
        <v>62291</v>
      </c>
      <c r="AS32" s="16">
        <f>LB!AZ475+FR!AZ140+JN!AZ197+TA!AZ109+ŽB!AZ83+ČL!AZ310+NB!AZ132+SM!AZ174+JI!AZ155+TU!AZ208</f>
        <v>22400</v>
      </c>
      <c r="AT32" s="13">
        <f>LB!BA475+FR!BA140+JN!BA197+TA!BA109+ŽB!BA83+ČL!BA310+NB!BA132+SM!BA174+JI!BA155+TU!BA208</f>
        <v>5.7788000000000004</v>
      </c>
      <c r="AU32" s="13">
        <f>LB!BB475+FR!BB140+JN!BB197+TA!BB109+ŽB!BB83+ČL!BB310+NB!BB132+SM!BB174+JI!BB155+TU!BB208</f>
        <v>5.0158000000000005</v>
      </c>
      <c r="AV32" s="17">
        <f>LB!BC475+FR!BC140+JN!BC197+TA!BC109+ŽB!BC83+ČL!BC310+NB!BC132+SM!BC174+JI!BC155+TU!BC208</f>
        <v>0.76300000000000001</v>
      </c>
    </row>
    <row r="33" spans="1:48" x14ac:dyDescent="0.2">
      <c r="A33" s="2">
        <v>3141</v>
      </c>
      <c r="B33" s="174">
        <f>LB!I476+FR!I141+JN!I198+TA!I110+ŽB!I84+ČL!I311+NB!I133+SM!I175+JI!I156+TU!I209</f>
        <v>416451083</v>
      </c>
      <c r="C33" s="16">
        <f>LB!J476+FR!J141+JN!J198+TA!J110+ŽB!J84+ČL!J311+NB!J133+SM!J175+JI!J156+TU!J209</f>
        <v>302749953</v>
      </c>
      <c r="D33" s="16">
        <f>LB!K476+FR!K141+JN!K198+TA!K110+ŽB!K84+ČL!K311+NB!K133+SM!K175+JI!K156+TU!K209</f>
        <v>1879717</v>
      </c>
      <c r="E33" s="16">
        <f>LB!L476+FR!L141+JN!L198+TA!L110+ŽB!L84+ČL!L311+NB!L133+SM!L175+JI!L156+TU!L209</f>
        <v>102964819</v>
      </c>
      <c r="F33" s="16">
        <f>LB!M476+FR!M141+JN!M198+TA!M110+ŽB!M84+ČL!M311+NB!M133+SM!M175+JI!M156+TU!M209</f>
        <v>6054996</v>
      </c>
      <c r="G33" s="16">
        <f>LB!N476+FR!N141+JN!N198+TA!N110+ŽB!N84+ČL!N311+NB!N133+SM!N175+JI!N156+TU!N209</f>
        <v>2801598</v>
      </c>
      <c r="H33" s="13">
        <f>LB!O476+FR!O141+JN!O198+TA!O110+ŽB!O84+ČL!O311+NB!O133+SM!O175+JI!O156+TU!O209</f>
        <v>956.95999999999992</v>
      </c>
      <c r="I33" s="13">
        <f>LB!P476+FR!P141+JN!P198+TA!P110+ŽB!P84+ČL!P311+NB!P133+SM!P175+JI!P156+TU!P209</f>
        <v>0</v>
      </c>
      <c r="J33" s="17">
        <f>LB!Q476+FR!Q141+JN!Q198+TA!Q110+ŽB!Q84+ČL!Q311+NB!Q133+SM!Q175+JI!Q156+TU!Q209</f>
        <v>956.95999999999992</v>
      </c>
      <c r="K33" s="175">
        <f>LB!R476+FR!R141+JN!R198+TA!R110+ŽB!R84+ČL!R311+NB!R133+SM!R175+JI!R156+TU!R209</f>
        <v>0</v>
      </c>
      <c r="L33" s="16">
        <f>LB!S476+FR!S141+JN!S198+TA!S110+ŽB!S84+ČL!S311+NB!S133+SM!S175+JI!S156+TU!S209</f>
        <v>0</v>
      </c>
      <c r="M33" s="16">
        <f>LB!T476+FR!T141+JN!T198+TA!T110+ŽB!T84+ČL!T311+NB!T133+SM!T175+JI!T156+TU!T209</f>
        <v>-1102565</v>
      </c>
      <c r="N33" s="16">
        <f>LB!U476+FR!U141+JN!U198+TA!U110+ŽB!U84+ČL!U311+NB!U133+SM!U175+JI!U156+TU!U209</f>
        <v>0</v>
      </c>
      <c r="O33" s="16">
        <f>LB!V476+FR!V141+JN!V198+TA!V110+ŽB!V84+ČL!V311+NB!V133+SM!V175+JI!V156+TU!V209</f>
        <v>0</v>
      </c>
      <c r="P33" s="16">
        <f>LB!W476+FR!W141+JN!W198+TA!W110+ŽB!W84+ČL!W311+NB!W133+SM!W175+JI!W156+TU!W209</f>
        <v>0</v>
      </c>
      <c r="Q33" s="16">
        <f>LB!X476+FR!X141+JN!X198+TA!X110+ŽB!X84+ČL!X311+NB!X133+SM!X175+JI!X156+TU!X209</f>
        <v>-1102565</v>
      </c>
      <c r="R33" s="16">
        <f>LB!Y476+FR!Y141+JN!Y198+TA!Y110+ŽB!Y84+ČL!Y311+NB!Y133+SM!Y175+JI!Y156+TU!Y209</f>
        <v>0</v>
      </c>
      <c r="S33" s="16">
        <f>LB!Z476+FR!Z141+JN!Z198+TA!Z110+ŽB!Z84+ČL!Z311+NB!Z133+SM!Z175+JI!Z156+TU!Z209</f>
        <v>0</v>
      </c>
      <c r="T33" s="16">
        <f>LB!AA476+FR!AA141+JN!AA198+TA!AA110+ŽB!AA84+ČL!AA311+NB!AA133+SM!AA175+JI!AA156+TU!AA209</f>
        <v>0</v>
      </c>
      <c r="U33" s="16">
        <f>LB!AB476+FR!AB141+JN!AB198+TA!AB110+ŽB!AB84+ČL!AB311+NB!AB133+SM!AB175+JI!AB156+TU!AB209</f>
        <v>0</v>
      </c>
      <c r="V33" s="16">
        <f>LB!AC476+FR!AC141+JN!AC198+TA!AC110+ŽB!AC84+ČL!AC311+NB!AC133+SM!AC175+JI!AC156+TU!AC209</f>
        <v>-1102565</v>
      </c>
      <c r="W33" s="16">
        <f>LB!AD476+FR!AD141+JN!AD198+TA!AD110+ŽB!AD84+ČL!AD311+NB!AD133+SM!AD175+JI!AD156+TU!AD209</f>
        <v>-372668</v>
      </c>
      <c r="X33" s="16">
        <f>LB!AE476+FR!AE141+JN!AE198+TA!AE110+ŽB!AE84+ČL!AE311+NB!AE133+SM!AE175+JI!AE156+TU!AE209</f>
        <v>-22047</v>
      </c>
      <c r="Y33" s="16">
        <f>LB!AF476+FR!AF141+JN!AF198+TA!AF110+ŽB!AF84+ČL!AF311+NB!AF133+SM!AF175+JI!AF156+TU!AF209</f>
        <v>0</v>
      </c>
      <c r="Z33" s="16">
        <f>LB!AG476+FR!AG141+JN!AG198+TA!AG110+ŽB!AG84+ČL!AG311+NB!AG133+SM!AG175+JI!AG156+TU!AG209</f>
        <v>0</v>
      </c>
      <c r="AA33" s="16">
        <f>LB!AH476+FR!AH141+JN!AH198+TA!AH110+ŽB!AH84+ČL!AH311+NB!AH133+SM!AH175+JI!AH156+TU!AH209</f>
        <v>0</v>
      </c>
      <c r="AB33" s="16">
        <f>LB!AI476+FR!AI141+JN!AI198+TA!AI110+ŽB!AI84+ČL!AI311+NB!AI133+SM!AI175+JI!AI156+TU!AI209</f>
        <v>-1497280</v>
      </c>
      <c r="AC33" s="13">
        <f>LB!AJ476+FR!AJ141+JN!AJ198+TA!AJ110+ŽB!AJ84+ČL!AJ311+NB!AJ133+SM!AJ175+JI!AJ156+TU!AJ209</f>
        <v>0</v>
      </c>
      <c r="AD33" s="13">
        <f>LB!AK476+FR!AK141+JN!AK198+TA!AK110+ŽB!AK84+ČL!AK311+NB!AK133+SM!AK175+JI!AK156+TU!AK209</f>
        <v>0</v>
      </c>
      <c r="AE33" s="13">
        <f>LB!AL476+FR!AL141+JN!AL198+TA!AL110+ŽB!AL84+ČL!AL311+NB!AL133+SM!AL175+JI!AL156+TU!AL209</f>
        <v>0</v>
      </c>
      <c r="AF33" s="13">
        <f>LB!AM476+FR!AM141+JN!AM198+TA!AM110+ŽB!AM84+ČL!AM311+NB!AM133+SM!AM175+JI!AM156+TU!AM209</f>
        <v>0</v>
      </c>
      <c r="AG33" s="13">
        <f>LB!AN476+FR!AN141+JN!AN198+TA!AN110+ŽB!AN84+ČL!AN311+NB!AN133+SM!AN175+JI!AN156+TU!AN209</f>
        <v>-3.5230000000000006</v>
      </c>
      <c r="AH33" s="13">
        <f>LB!AO476+FR!AO141+JN!AO198+TA!AO110+ŽB!AO84+ČL!AO311+NB!AO133+SM!AO175+JI!AO156+TU!AO209</f>
        <v>0</v>
      </c>
      <c r="AI33" s="13">
        <f>LB!AP476+FR!AP141+JN!AP198+TA!AP110+ŽB!AP84+ČL!AP311+NB!AP133+SM!AP175+JI!AP156+TU!AP209</f>
        <v>0</v>
      </c>
      <c r="AJ33" s="13">
        <f>LB!AQ476+FR!AQ141+JN!AQ198+TA!AQ110+ŽB!AQ84+ČL!AQ311+NB!AQ133+SM!AQ175+JI!AQ156+TU!AQ209</f>
        <v>0</v>
      </c>
      <c r="AK33" s="13">
        <f>LB!AR476+FR!AR141+JN!AR198+TA!AR110+ŽB!AR84+ČL!AR311+NB!AR133+SM!AR175+JI!AR156+TU!AR209</f>
        <v>0</v>
      </c>
      <c r="AL33" s="13">
        <f>LB!AS476+FR!AS141+JN!AS198+TA!AS110+ŽB!AS84+ČL!AS311+NB!AS133+SM!AS175+JI!AS156+TU!AS209</f>
        <v>-3.5230000000000006</v>
      </c>
      <c r="AM33" s="176">
        <f>LB!AT476+FR!AT141+JN!AT198+TA!AT110+ŽB!AT84+ČL!AT311+NB!AT133+SM!AT175+JI!AT156+TU!AT209</f>
        <v>-3.5230000000000006</v>
      </c>
      <c r="AN33" s="174">
        <f>LB!AU476+FR!AU141+JN!AU198+TA!AU110+ŽB!AU84+ČL!AU311+NB!AU133+SM!AU175+JI!AU156+TU!AU209</f>
        <v>414953803</v>
      </c>
      <c r="AO33" s="16">
        <f>LB!AV476+FR!AV141+JN!AV198+TA!AV110+ŽB!AV84+ČL!AV311+NB!AV133+SM!AV175+JI!AV156+TU!AV209</f>
        <v>301647388</v>
      </c>
      <c r="AP33" s="16">
        <f>LB!AW476+FR!AW141+JN!AW198+TA!AW110+ŽB!AW84+ČL!AW311+NB!AW133+SM!AW175+JI!AW156+TU!AW209</f>
        <v>1879717</v>
      </c>
      <c r="AQ33" s="16">
        <f>LB!AX476+FR!AX141+JN!AX198+TA!AX110+ŽB!AX84+ČL!AX311+NB!AX133+SM!AX175+JI!AX156+TU!AX209</f>
        <v>102592151</v>
      </c>
      <c r="AR33" s="16">
        <f>LB!AY476+FR!AY141+JN!AY198+TA!AY110+ŽB!AY84+ČL!AY311+NB!AY133+SM!AY175+JI!AY156+TU!AY209</f>
        <v>6032949</v>
      </c>
      <c r="AS33" s="16">
        <f>LB!AZ476+FR!AZ141+JN!AZ198+TA!AZ110+ŽB!AZ84+ČL!AZ311+NB!AZ133+SM!AZ175+JI!AZ156+TU!AZ209</f>
        <v>2801598</v>
      </c>
      <c r="AT33" s="13">
        <f>LB!BA476+FR!BA141+JN!BA198+TA!BA110+ŽB!BA84+ČL!BA311+NB!BA133+SM!BA175+JI!BA156+TU!BA209</f>
        <v>953.43700000000013</v>
      </c>
      <c r="AU33" s="13">
        <f>LB!BB476+FR!BB141+JN!BB198+TA!BB110+ŽB!BB84+ČL!BB311+NB!BB133+SM!BB175+JI!BB156+TU!BB209</f>
        <v>0</v>
      </c>
      <c r="AV33" s="17">
        <f>LB!BC476+FR!BC141+JN!BC198+TA!BC110+ŽB!BC84+ČL!BC311+NB!BC133+SM!BC175+JI!BC156+TU!BC209</f>
        <v>953.43700000000013</v>
      </c>
    </row>
    <row r="34" spans="1:48" x14ac:dyDescent="0.2">
      <c r="A34" s="2">
        <v>3143</v>
      </c>
      <c r="B34" s="174">
        <f>LB!I477+FR!I142+JN!I199+TA!I111+ŽB!I85+ČL!I312+NB!I134+SM!I176+JI!I157+TU!I210</f>
        <v>297105207</v>
      </c>
      <c r="C34" s="16">
        <f>LB!J477+FR!J142+JN!J199+TA!J111+ŽB!J85+ČL!J312+NB!J134+SM!J176+JI!J157+TU!J210</f>
        <v>217157621</v>
      </c>
      <c r="D34" s="16">
        <f>LB!K477+FR!K142+JN!K199+TA!K111+ŽB!K85+ČL!K312+NB!K134+SM!K176+JI!K157+TU!K210</f>
        <v>1356400</v>
      </c>
      <c r="E34" s="16">
        <f>LB!L477+FR!L142+JN!L199+TA!L111+ŽB!L85+ČL!L312+NB!L134+SM!L176+JI!L157+TU!L210</f>
        <v>73857743</v>
      </c>
      <c r="F34" s="16">
        <f>LB!M477+FR!M142+JN!M199+TA!M111+ŽB!M85+ČL!M312+NB!M134+SM!M176+JI!M157+TU!M210</f>
        <v>4343153</v>
      </c>
      <c r="G34" s="16">
        <f>LB!N477+FR!N142+JN!N199+TA!N111+ŽB!N85+ČL!N312+NB!N134+SM!N176+JI!N157+TU!N210</f>
        <v>390290</v>
      </c>
      <c r="H34" s="13">
        <f>LB!O477+FR!O142+JN!O199+TA!O111+ŽB!O85+ČL!O312+NB!O134+SM!O176+JI!O157+TU!O210</f>
        <v>461.09950000000003</v>
      </c>
      <c r="I34" s="13">
        <f>LB!P477+FR!P142+JN!P199+TA!P111+ŽB!P85+ČL!P312+NB!P134+SM!P176+JI!P157+TU!P210</f>
        <v>432.49520000000007</v>
      </c>
      <c r="J34" s="17">
        <f>LB!Q477+FR!Q142+JN!Q199+TA!Q111+ŽB!Q85+ČL!Q312+NB!Q134+SM!Q176+JI!Q157+TU!Q210</f>
        <v>28.604300000000002</v>
      </c>
      <c r="K34" s="175">
        <f>LB!R477+FR!R142+JN!R199+TA!R111+ŽB!R85+ČL!R312+NB!R134+SM!R176+JI!R157+TU!R210</f>
        <v>0</v>
      </c>
      <c r="L34" s="16">
        <f>LB!S477+FR!S142+JN!S199+TA!S111+ŽB!S85+ČL!S312+NB!S134+SM!S176+JI!S157+TU!S210</f>
        <v>0</v>
      </c>
      <c r="M34" s="16">
        <f>LB!T477+FR!T142+JN!T199+TA!T111+ŽB!T85+ČL!T312+NB!T134+SM!T176+JI!T157+TU!T210</f>
        <v>1386871</v>
      </c>
      <c r="N34" s="16">
        <f>LB!U477+FR!U142+JN!U199+TA!U111+ŽB!U85+ČL!U312+NB!U134+SM!U176+JI!U157+TU!U210</f>
        <v>0</v>
      </c>
      <c r="O34" s="16">
        <f>LB!V477+FR!V142+JN!V199+TA!V111+ŽB!V85+ČL!V312+NB!V134+SM!V176+JI!V157+TU!V210</f>
        <v>0</v>
      </c>
      <c r="P34" s="16">
        <f>LB!W477+FR!W142+JN!W199+TA!W111+ŽB!W85+ČL!W312+NB!W134+SM!W176+JI!W157+TU!W210</f>
        <v>0</v>
      </c>
      <c r="Q34" s="16">
        <f>LB!X477+FR!X142+JN!X199+TA!X111+ŽB!X85+ČL!X312+NB!X134+SM!X176+JI!X157+TU!X210</f>
        <v>1386871</v>
      </c>
      <c r="R34" s="16">
        <f>LB!Y477+FR!Y142+JN!Y199+TA!Y111+ŽB!Y85+ČL!Y312+NB!Y134+SM!Y176+JI!Y157+TU!Y210</f>
        <v>0</v>
      </c>
      <c r="S34" s="16">
        <f>LB!Z477+FR!Z142+JN!Z199+TA!Z111+ŽB!Z85+ČL!Z312+NB!Z134+SM!Z176+JI!Z157+TU!Z210</f>
        <v>0</v>
      </c>
      <c r="T34" s="16">
        <f>LB!AA477+FR!AA142+JN!AA199+TA!AA111+ŽB!AA85+ČL!AA312+NB!AA134+SM!AA176+JI!AA157+TU!AA210</f>
        <v>0</v>
      </c>
      <c r="U34" s="16">
        <f>LB!AB477+FR!AB142+JN!AB199+TA!AB111+ŽB!AB85+ČL!AB312+NB!AB134+SM!AB176+JI!AB157+TU!AB210</f>
        <v>0</v>
      </c>
      <c r="V34" s="16">
        <f>LB!AC477+FR!AC142+JN!AC199+TA!AC111+ŽB!AC85+ČL!AC312+NB!AC134+SM!AC176+JI!AC157+TU!AC210</f>
        <v>1386871</v>
      </c>
      <c r="W34" s="16">
        <f>LB!AD477+FR!AD142+JN!AD199+TA!AD111+ŽB!AD85+ČL!AD312+NB!AD134+SM!AD176+JI!AD157+TU!AD210</f>
        <v>468762</v>
      </c>
      <c r="X34" s="16">
        <f>LB!AE477+FR!AE142+JN!AE199+TA!AE111+ŽB!AE85+ČL!AE312+NB!AE134+SM!AE176+JI!AE157+TU!AE210</f>
        <v>27738</v>
      </c>
      <c r="Y34" s="16">
        <f>LB!AF477+FR!AF142+JN!AF199+TA!AF111+ŽB!AF85+ČL!AF312+NB!AF134+SM!AF176+JI!AF157+TU!AF210</f>
        <v>0</v>
      </c>
      <c r="Z34" s="16">
        <f>LB!AG477+FR!AG142+JN!AG199+TA!AG111+ŽB!AG85+ČL!AG312+NB!AG134+SM!AG176+JI!AG157+TU!AG210</f>
        <v>0</v>
      </c>
      <c r="AA34" s="16">
        <f>LB!AH477+FR!AH142+JN!AH199+TA!AH111+ŽB!AH85+ČL!AH312+NB!AH134+SM!AH176+JI!AH157+TU!AH210</f>
        <v>0</v>
      </c>
      <c r="AB34" s="16">
        <f>LB!AI477+FR!AI142+JN!AI199+TA!AI111+ŽB!AI85+ČL!AI312+NB!AI134+SM!AI176+JI!AI157+TU!AI210</f>
        <v>1883371</v>
      </c>
      <c r="AC34" s="13">
        <f>LB!AJ477+FR!AJ142+JN!AJ199+TA!AJ111+ŽB!AJ85+ČL!AJ312+NB!AJ134+SM!AJ176+JI!AJ157+TU!AJ210</f>
        <v>0</v>
      </c>
      <c r="AD34" s="13">
        <f>LB!AK477+FR!AK142+JN!AK199+TA!AK111+ŽB!AK85+ČL!AK312+NB!AK134+SM!AK176+JI!AK157+TU!AK210</f>
        <v>0</v>
      </c>
      <c r="AE34" s="13">
        <f>LB!AL477+FR!AL142+JN!AL199+TA!AL111+ŽB!AL85+ČL!AL312+NB!AL134+SM!AL176+JI!AL157+TU!AL210</f>
        <v>0</v>
      </c>
      <c r="AF34" s="13">
        <f>LB!AM477+FR!AM142+JN!AM199+TA!AM111+ŽB!AM85+ČL!AM312+NB!AM134+SM!AM176+JI!AM157+TU!AM210</f>
        <v>2.83</v>
      </c>
      <c r="AG34" s="13">
        <f>LB!AN477+FR!AN142+JN!AN199+TA!AN111+ŽB!AN85+ČL!AN312+NB!AN134+SM!AN176+JI!AN157+TU!AN210</f>
        <v>0</v>
      </c>
      <c r="AH34" s="13">
        <f>LB!AO477+FR!AO142+JN!AO199+TA!AO111+ŽB!AO85+ČL!AO312+NB!AO134+SM!AO176+JI!AO157+TU!AO210</f>
        <v>0</v>
      </c>
      <c r="AI34" s="13">
        <f>LB!AP477+FR!AP142+JN!AP199+TA!AP111+ŽB!AP85+ČL!AP312+NB!AP134+SM!AP176+JI!AP157+TU!AP210</f>
        <v>0</v>
      </c>
      <c r="AJ34" s="13">
        <f>LB!AQ477+FR!AQ142+JN!AQ199+TA!AQ111+ŽB!AQ85+ČL!AQ312+NB!AQ134+SM!AQ176+JI!AQ157+TU!AQ210</f>
        <v>0</v>
      </c>
      <c r="AK34" s="13">
        <f>LB!AR477+FR!AR142+JN!AR199+TA!AR111+ŽB!AR85+ČL!AR312+NB!AR134+SM!AR176+JI!AR157+TU!AR210</f>
        <v>2.83</v>
      </c>
      <c r="AL34" s="13">
        <f>LB!AS477+FR!AS142+JN!AS199+TA!AS111+ŽB!AS85+ČL!AS312+NB!AS134+SM!AS176+JI!AS157+TU!AS210</f>
        <v>0</v>
      </c>
      <c r="AM34" s="176">
        <f>LB!AT477+FR!AT142+JN!AT199+TA!AT111+ŽB!AT85+ČL!AT312+NB!AT134+SM!AT176+JI!AT157+TU!AT210</f>
        <v>2.83</v>
      </c>
      <c r="AN34" s="174">
        <f>LB!AU477+FR!AU142+JN!AU199+TA!AU111+ŽB!AU85+ČL!AU312+NB!AU134+SM!AU176+JI!AU157+TU!AU210</f>
        <v>298988578</v>
      </c>
      <c r="AO34" s="16">
        <f>LB!AV477+FR!AV142+JN!AV199+TA!AV111+ŽB!AV85+ČL!AV312+NB!AV134+SM!AV176+JI!AV157+TU!AV210</f>
        <v>218544492</v>
      </c>
      <c r="AP34" s="16">
        <f>LB!AW477+FR!AW142+JN!AW199+TA!AW111+ŽB!AW85+ČL!AW312+NB!AW134+SM!AW176+JI!AW157+TU!AW210</f>
        <v>1356400</v>
      </c>
      <c r="AQ34" s="16">
        <f>LB!AX477+FR!AX142+JN!AX199+TA!AX111+ŽB!AX85+ČL!AX312+NB!AX134+SM!AX176+JI!AX157+TU!AX210</f>
        <v>74326505</v>
      </c>
      <c r="AR34" s="16">
        <f>LB!AY477+FR!AY142+JN!AY199+TA!AY111+ŽB!AY85+ČL!AY312+NB!AY134+SM!AY176+JI!AY157+TU!AY210</f>
        <v>4370891</v>
      </c>
      <c r="AS34" s="16">
        <f>LB!AZ477+FR!AZ142+JN!AZ199+TA!AZ111+ŽB!AZ85+ČL!AZ312+NB!AZ134+SM!AZ176+JI!AZ157+TU!AZ210</f>
        <v>390290</v>
      </c>
      <c r="AT34" s="13">
        <f>LB!BA477+FR!BA142+JN!BA199+TA!BA111+ŽB!BA85+ČL!BA312+NB!BA134+SM!BA176+JI!BA157+TU!BA210</f>
        <v>463.92950000000008</v>
      </c>
      <c r="AU34" s="13">
        <f>LB!BB477+FR!BB142+JN!BB199+TA!BB111+ŽB!BB85+ČL!BB312+NB!BB134+SM!BB176+JI!BB157+TU!BB210</f>
        <v>435.32520000000005</v>
      </c>
      <c r="AV34" s="17">
        <f>LB!BC477+FR!BC142+JN!BC199+TA!BC111+ŽB!BC85+ČL!BC312+NB!BC134+SM!BC176+JI!BC157+TU!BC210</f>
        <v>28.604300000000002</v>
      </c>
    </row>
    <row r="35" spans="1:48" x14ac:dyDescent="0.2">
      <c r="A35" s="2">
        <v>3231</v>
      </c>
      <c r="B35" s="174">
        <f>LB!I478+FR!I143+JN!I200+TA!I112+ŽB!I86+ČL!I313+NB!I135+SM!I177+JI!I158+TU!I211</f>
        <v>291963051</v>
      </c>
      <c r="C35" s="16">
        <f>LB!J478+FR!J143+JN!J200+TA!J112+ŽB!J86+ČL!J313+NB!J135+SM!J177+JI!J158+TU!J211</f>
        <v>213064087</v>
      </c>
      <c r="D35" s="16">
        <f>LB!K478+FR!K143+JN!K200+TA!K112+ŽB!K86+ČL!K313+NB!K135+SM!K177+JI!K158+TU!K211</f>
        <v>1221220</v>
      </c>
      <c r="E35" s="16">
        <f>LB!L478+FR!L143+JN!L200+TA!L112+ŽB!L86+ČL!L313+NB!L135+SM!L177+JI!L158+TU!L211</f>
        <v>72428433</v>
      </c>
      <c r="F35" s="16">
        <f>LB!M478+FR!M143+JN!M200+TA!M112+ŽB!M86+ČL!M313+NB!M135+SM!M177+JI!M158+TU!M211</f>
        <v>4261281</v>
      </c>
      <c r="G35" s="16">
        <f>LB!N478+FR!N143+JN!N200+TA!N112+ŽB!N86+ČL!N313+NB!N135+SM!N177+JI!N158+TU!N211</f>
        <v>988030</v>
      </c>
      <c r="H35" s="13">
        <f>LB!O478+FR!O143+JN!O200+TA!O112+ŽB!O86+ČL!O313+NB!O135+SM!O177+JI!O158+TU!O211</f>
        <v>395.9171</v>
      </c>
      <c r="I35" s="13">
        <f>LB!P478+FR!P143+JN!P200+TA!P112+ŽB!P86+ČL!P313+NB!P135+SM!P177+JI!P158+TU!P211</f>
        <v>352.22499999999991</v>
      </c>
      <c r="J35" s="17">
        <f>LB!Q478+FR!Q143+JN!Q200+TA!Q112+ŽB!Q86+ČL!Q313+NB!Q135+SM!Q177+JI!Q158+TU!Q211</f>
        <v>43.692099999999996</v>
      </c>
      <c r="K35" s="175">
        <f>LB!R478+FR!R143+JN!R200+TA!R112+ŽB!R86+ČL!R313+NB!R135+SM!R177+JI!R158+TU!R211</f>
        <v>-10000</v>
      </c>
      <c r="L35" s="16">
        <f>LB!S478+FR!S143+JN!S200+TA!S112+ŽB!S86+ČL!S313+NB!S135+SM!S177+JI!S158+TU!S211</f>
        <v>0</v>
      </c>
      <c r="M35" s="16">
        <f>LB!T478+FR!T143+JN!T200+TA!T112+ŽB!T86+ČL!T313+NB!T135+SM!T177+JI!T158+TU!T211</f>
        <v>937626</v>
      </c>
      <c r="N35" s="16">
        <f>LB!U478+FR!U143+JN!U200+TA!U112+ŽB!U86+ČL!U313+NB!U135+SM!U177+JI!U158+TU!U211</f>
        <v>0</v>
      </c>
      <c r="O35" s="16">
        <f>LB!V478+FR!V143+JN!V200+TA!V112+ŽB!V86+ČL!V313+NB!V135+SM!V177+JI!V158+TU!V211</f>
        <v>-36082</v>
      </c>
      <c r="P35" s="16">
        <f>LB!W478+FR!W143+JN!W200+TA!W112+ŽB!W86+ČL!W313+NB!W135+SM!W177+JI!W158+TU!W211</f>
        <v>0</v>
      </c>
      <c r="Q35" s="16">
        <f>LB!X478+FR!X143+JN!X200+TA!X112+ŽB!X86+ČL!X313+NB!X135+SM!X177+JI!X158+TU!X211</f>
        <v>891544</v>
      </c>
      <c r="R35" s="16">
        <f>LB!Y478+FR!Y143+JN!Y200+TA!Y112+ŽB!Y86+ČL!Y313+NB!Y135+SM!Y177+JI!Y158+TU!Y211</f>
        <v>10000</v>
      </c>
      <c r="S35" s="16">
        <f>LB!Z478+FR!Z143+JN!Z200+TA!Z112+ŽB!Z86+ČL!Z313+NB!Z135+SM!Z177+JI!Z158+TU!Z211</f>
        <v>0</v>
      </c>
      <c r="T35" s="16">
        <f>LB!AA478+FR!AA143+JN!AA200+TA!AA112+ŽB!AA86+ČL!AA313+NB!AA135+SM!AA177+JI!AA158+TU!AA211</f>
        <v>0</v>
      </c>
      <c r="U35" s="16">
        <f>LB!AB478+FR!AB143+JN!AB200+TA!AB112+ŽB!AB86+ČL!AB313+NB!AB135+SM!AB177+JI!AB158+TU!AB211</f>
        <v>10000</v>
      </c>
      <c r="V35" s="16">
        <f>LB!AC478+FR!AC143+JN!AC200+TA!AC112+ŽB!AC86+ČL!AC313+NB!AC135+SM!AC177+JI!AC158+TU!AC211</f>
        <v>901544</v>
      </c>
      <c r="W35" s="16">
        <f>LB!AD478+FR!AD143+JN!AD200+TA!AD112+ŽB!AD86+ČL!AD313+NB!AD135+SM!AD177+JI!AD158+TU!AD211</f>
        <v>304722</v>
      </c>
      <c r="X35" s="16">
        <f>LB!AE478+FR!AE143+JN!AE200+TA!AE112+ŽB!AE86+ČL!AE313+NB!AE135+SM!AE177+JI!AE158+TU!AE211</f>
        <v>17830</v>
      </c>
      <c r="Y35" s="16">
        <f>LB!AF478+FR!AF143+JN!AF200+TA!AF112+ŽB!AF86+ČL!AF313+NB!AF135+SM!AF177+JI!AF158+TU!AF211</f>
        <v>0</v>
      </c>
      <c r="Z35" s="16">
        <f>LB!AG478+FR!AG143+JN!AG200+TA!AG112+ŽB!AG86+ČL!AG313+NB!AG135+SM!AG177+JI!AG158+TU!AG211</f>
        <v>49000</v>
      </c>
      <c r="AA35" s="16">
        <f>LB!AH478+FR!AH143+JN!AH200+TA!AH112+ŽB!AH86+ČL!AH313+NB!AH135+SM!AH177+JI!AH158+TU!AH211</f>
        <v>49000</v>
      </c>
      <c r="AB35" s="16">
        <f>LB!AI478+FR!AI143+JN!AI200+TA!AI112+ŽB!AI86+ČL!AI313+NB!AI135+SM!AI177+JI!AI158+TU!AI211</f>
        <v>1273096</v>
      </c>
      <c r="AC35" s="13">
        <f>LB!AJ478+FR!AJ143+JN!AJ200+TA!AJ112+ŽB!AJ86+ČL!AJ313+NB!AJ135+SM!AJ177+JI!AJ158+TU!AJ211</f>
        <v>-0.02</v>
      </c>
      <c r="AD35" s="13">
        <f>LB!AK478+FR!AK143+JN!AK200+TA!AK112+ŽB!AK86+ČL!AK313+NB!AK135+SM!AK177+JI!AK158+TU!AK211</f>
        <v>0</v>
      </c>
      <c r="AE35" s="13">
        <f>LB!AL478+FR!AL143+JN!AL200+TA!AL112+ŽB!AL86+ČL!AL313+NB!AL135+SM!AL177+JI!AL158+TU!AL211</f>
        <v>0</v>
      </c>
      <c r="AF35" s="13">
        <f>LB!AM478+FR!AM143+JN!AM200+TA!AM112+ŽB!AM86+ČL!AM313+NB!AM135+SM!AM177+JI!AM158+TU!AM211</f>
        <v>1.66</v>
      </c>
      <c r="AG35" s="13">
        <f>LB!AN478+FR!AN143+JN!AN200+TA!AN112+ŽB!AN86+ČL!AN313+NB!AN135+SM!AN177+JI!AN158+TU!AN211</f>
        <v>0</v>
      </c>
      <c r="AH35" s="13">
        <f>LB!AO478+FR!AO143+JN!AO200+TA!AO112+ŽB!AO86+ČL!AO313+NB!AO135+SM!AO177+JI!AO158+TU!AO211</f>
        <v>0</v>
      </c>
      <c r="AI35" s="13">
        <f>LB!AP478+FR!AP143+JN!AP200+TA!AP112+ŽB!AP86+ČL!AP313+NB!AP135+SM!AP177+JI!AP158+TU!AP211</f>
        <v>0</v>
      </c>
      <c r="AJ35" s="13">
        <f>LB!AQ478+FR!AQ143+JN!AQ200+TA!AQ112+ŽB!AQ86+ČL!AQ313+NB!AQ135+SM!AQ177+JI!AQ158+TU!AQ211</f>
        <v>0</v>
      </c>
      <c r="AK35" s="13">
        <f>LB!AR478+FR!AR143+JN!AR200+TA!AR112+ŽB!AR86+ČL!AR313+NB!AR135+SM!AR177+JI!AR158+TU!AR211</f>
        <v>1.64</v>
      </c>
      <c r="AL35" s="13">
        <f>LB!AS478+FR!AS143+JN!AS200+TA!AS112+ŽB!AS86+ČL!AS313+NB!AS135+SM!AS177+JI!AS158+TU!AS211</f>
        <v>0</v>
      </c>
      <c r="AM35" s="176">
        <f>LB!AT478+FR!AT143+JN!AT200+TA!AT112+ŽB!AT86+ČL!AT313+NB!AT135+SM!AT177+JI!AT158+TU!AT211</f>
        <v>1.64</v>
      </c>
      <c r="AN35" s="174">
        <f>LB!AU478+FR!AU143+JN!AU200+TA!AU112+ŽB!AU86+ČL!AU313+NB!AU135+SM!AU177+JI!AU158+TU!AU211</f>
        <v>293236147</v>
      </c>
      <c r="AO35" s="16">
        <f>LB!AV478+FR!AV143+JN!AV200+TA!AV112+ŽB!AV86+ČL!AV313+NB!AV135+SM!AV177+JI!AV158+TU!AV211</f>
        <v>213955631</v>
      </c>
      <c r="AP35" s="16">
        <f>LB!AW478+FR!AW143+JN!AW200+TA!AW112+ŽB!AW86+ČL!AW313+NB!AW135+SM!AW177+JI!AW158+TU!AW211</f>
        <v>1231220</v>
      </c>
      <c r="AQ35" s="16">
        <f>LB!AX478+FR!AX143+JN!AX200+TA!AX112+ŽB!AX86+ČL!AX313+NB!AX135+SM!AX177+JI!AX158+TU!AX211</f>
        <v>72733155</v>
      </c>
      <c r="AR35" s="16">
        <f>LB!AY478+FR!AY143+JN!AY200+TA!AY112+ŽB!AY86+ČL!AY313+NB!AY135+SM!AY177+JI!AY158+TU!AY211</f>
        <v>4279111</v>
      </c>
      <c r="AS35" s="16">
        <f>LB!AZ478+FR!AZ143+JN!AZ200+TA!AZ112+ŽB!AZ86+ČL!AZ313+NB!AZ135+SM!AZ177+JI!AZ158+TU!AZ211</f>
        <v>1037030</v>
      </c>
      <c r="AT35" s="13">
        <f>LB!BA478+FR!BA143+JN!BA200+TA!BA112+ŽB!BA86+ČL!BA313+NB!BA135+SM!BA177+JI!BA158+TU!BA211</f>
        <v>397.55709999999999</v>
      </c>
      <c r="AU35" s="13">
        <f>LB!BB478+FR!BB143+JN!BB200+TA!BB112+ŽB!BB86+ČL!BB313+NB!BB135+SM!BB177+JI!BB158+TU!BB211</f>
        <v>353.86500000000001</v>
      </c>
      <c r="AV35" s="17">
        <f>LB!BC478+FR!BC143+JN!BC200+TA!BC112+ŽB!BC86+ČL!BC313+NB!BC135+SM!BC177+JI!BC158+TU!BC211</f>
        <v>43.692099999999996</v>
      </c>
    </row>
    <row r="36" spans="1:48" ht="13.5" thickBot="1" x14ac:dyDescent="0.25">
      <c r="A36" s="158">
        <v>3233</v>
      </c>
      <c r="B36" s="177">
        <f>LB!I479+FR!I144+JN!I201+TA!I113+ŽB!I87+ČL!I314+NB!I136+SM!I178+JI!I159+TU!I212</f>
        <v>64081091</v>
      </c>
      <c r="C36" s="178">
        <f>LB!J479+FR!J144+JN!J201+TA!J113+ŽB!J87+ČL!J314+NB!J136+SM!J178+JI!J159+TU!J212</f>
        <v>42604024</v>
      </c>
      <c r="D36" s="178">
        <f>LB!K479+FR!K144+JN!K201+TA!K113+ŽB!K87+ČL!K314+NB!K136+SM!K178+JI!K159+TU!K212</f>
        <v>4284000</v>
      </c>
      <c r="E36" s="178">
        <f>LB!L479+FR!L144+JN!L201+TA!L113+ŽB!L87+ČL!L314+NB!L136+SM!L178+JI!L159+TU!L212</f>
        <v>15766018</v>
      </c>
      <c r="F36" s="178">
        <f>LB!M479+FR!M144+JN!M201+TA!M113+ŽB!M87+ČL!M314+NB!M136+SM!M178+JI!M159+TU!M212</f>
        <v>852079</v>
      </c>
      <c r="G36" s="178">
        <f>LB!N479+FR!N144+JN!N201+TA!N113+ŽB!N87+ČL!N314+NB!N136+SM!N178+JI!N159+TU!N212</f>
        <v>574970</v>
      </c>
      <c r="H36" s="179">
        <f>LB!O479+FR!O144+JN!O201+TA!O113+ŽB!O87+ČL!O314+NB!O136+SM!O178+JI!O159+TU!O212</f>
        <v>93.399999999999991</v>
      </c>
      <c r="I36" s="179">
        <f>LB!P479+FR!P144+JN!P201+TA!P113+ŽB!P87+ČL!P314+NB!P136+SM!P178+JI!P159+TU!P212</f>
        <v>59.449999999999996</v>
      </c>
      <c r="J36" s="180">
        <f>LB!Q479+FR!Q144+JN!Q201+TA!Q113+ŽB!Q87+ČL!Q314+NB!Q136+SM!Q178+JI!Q159+TU!Q212</f>
        <v>33.950000000000003</v>
      </c>
      <c r="K36" s="181">
        <f>LB!R479+FR!R144+JN!R201+TA!R113+ŽB!R87+ČL!R314+NB!R136+SM!R178+JI!R159+TU!R212</f>
        <v>0</v>
      </c>
      <c r="L36" s="178">
        <f>LB!S479+FR!S144+JN!S201+TA!S113+ŽB!S87+ČL!S314+NB!S136+SM!S178+JI!S159+TU!S212</f>
        <v>0</v>
      </c>
      <c r="M36" s="178">
        <f>LB!T479+FR!T144+JN!T201+TA!T113+ŽB!T87+ČL!T314+NB!T136+SM!T178+JI!T159+TU!T212</f>
        <v>0</v>
      </c>
      <c r="N36" s="178">
        <f>LB!U479+FR!U144+JN!U201+TA!U113+ŽB!U87+ČL!U314+NB!U136+SM!U178+JI!U159+TU!U212</f>
        <v>0</v>
      </c>
      <c r="O36" s="178">
        <f>LB!V479+FR!V144+JN!V201+TA!V113+ŽB!V87+ČL!V314+NB!V136+SM!V178+JI!V159+TU!V212</f>
        <v>0</v>
      </c>
      <c r="P36" s="178">
        <f>LB!W479+FR!W144+JN!W201+TA!W113+ŽB!W87+ČL!W314+NB!W136+SM!W178+JI!W159+TU!W212</f>
        <v>0</v>
      </c>
      <c r="Q36" s="178">
        <f>LB!X479+FR!X144+JN!X201+TA!X113+ŽB!X87+ČL!X314+NB!X136+SM!X178+JI!X159+TU!X212</f>
        <v>0</v>
      </c>
      <c r="R36" s="178">
        <f>LB!Y479+FR!Y144+JN!Y201+TA!Y113+ŽB!Y87+ČL!Y314+NB!Y136+SM!Y178+JI!Y159+TU!Y212</f>
        <v>0</v>
      </c>
      <c r="S36" s="178">
        <f>LB!Z479+FR!Z144+JN!Z201+TA!Z113+ŽB!Z87+ČL!Z314+NB!Z136+SM!Z178+JI!Z159+TU!Z212</f>
        <v>0</v>
      </c>
      <c r="T36" s="178">
        <f>LB!AA479+FR!AA144+JN!AA201+TA!AA113+ŽB!AA87+ČL!AA314+NB!AA136+SM!AA178+JI!AA159+TU!AA212</f>
        <v>0</v>
      </c>
      <c r="U36" s="178">
        <f>LB!AB479+FR!AB144+JN!AB201+TA!AB113+ŽB!AB87+ČL!AB314+NB!AB136+SM!AB178+JI!AB159+TU!AB212</f>
        <v>0</v>
      </c>
      <c r="V36" s="178">
        <f>LB!AC479+FR!AC144+JN!AC201+TA!AC113+ŽB!AC87+ČL!AC314+NB!AC136+SM!AC178+JI!AC159+TU!AC212</f>
        <v>0</v>
      </c>
      <c r="W36" s="178">
        <f>LB!AD479+FR!AD144+JN!AD201+TA!AD113+ŽB!AD87+ČL!AD314+NB!AD136+SM!AD178+JI!AD159+TU!AD212</f>
        <v>0</v>
      </c>
      <c r="X36" s="178">
        <f>LB!AE479+FR!AE144+JN!AE201+TA!AE113+ŽB!AE87+ČL!AE314+NB!AE136+SM!AE178+JI!AE159+TU!AE212</f>
        <v>0</v>
      </c>
      <c r="Y36" s="178">
        <f>LB!AF479+FR!AF144+JN!AF201+TA!AF113+ŽB!AF87+ČL!AF314+NB!AF136+SM!AF178+JI!AF159+TU!AF212</f>
        <v>0</v>
      </c>
      <c r="Z36" s="178">
        <f>LB!AG479+FR!AG144+JN!AG201+TA!AG113+ŽB!AG87+ČL!AG314+NB!AG136+SM!AG178+JI!AG159+TU!AG212</f>
        <v>0</v>
      </c>
      <c r="AA36" s="178">
        <f>LB!AH479+FR!AH144+JN!AH201+TA!AH113+ŽB!AH87+ČL!AH314+NB!AH136+SM!AH178+JI!AH159+TU!AH212</f>
        <v>0</v>
      </c>
      <c r="AB36" s="178">
        <f>LB!AI479+FR!AI144+JN!AI201+TA!AI113+ŽB!AI87+ČL!AI314+NB!AI136+SM!AI178+JI!AI159+TU!AI212</f>
        <v>0</v>
      </c>
      <c r="AC36" s="179">
        <f>LB!AJ479+FR!AJ144+JN!AJ201+TA!AJ113+ŽB!AJ87+ČL!AJ314+NB!AJ136+SM!AJ178+JI!AJ159+TU!AJ212</f>
        <v>0</v>
      </c>
      <c r="AD36" s="179">
        <f>LB!AK479+FR!AK144+JN!AK201+TA!AK113+ŽB!AK87+ČL!AK314+NB!AK136+SM!AK178+JI!AK159+TU!AK212</f>
        <v>0</v>
      </c>
      <c r="AE36" s="179">
        <f>LB!AL479+FR!AL144+JN!AL201+TA!AL113+ŽB!AL87+ČL!AL314+NB!AL136+SM!AL178+JI!AL159+TU!AL212</f>
        <v>0</v>
      </c>
      <c r="AF36" s="179">
        <f>LB!AM479+FR!AM144+JN!AM201+TA!AM113+ŽB!AM87+ČL!AM314+NB!AM136+SM!AM178+JI!AM159+TU!AM212</f>
        <v>0</v>
      </c>
      <c r="AG36" s="179">
        <f>LB!AN479+FR!AN144+JN!AN201+TA!AN113+ŽB!AN87+ČL!AN314+NB!AN136+SM!AN178+JI!AN159+TU!AN212</f>
        <v>0</v>
      </c>
      <c r="AH36" s="179">
        <f>LB!AO479+FR!AO144+JN!AO201+TA!AO113+ŽB!AO87+ČL!AO314+NB!AO136+SM!AO178+JI!AO159+TU!AO212</f>
        <v>0</v>
      </c>
      <c r="AI36" s="179">
        <f>LB!AP479+FR!AP144+JN!AP201+TA!AP113+ŽB!AP87+ČL!AP314+NB!AP136+SM!AP178+JI!AP159+TU!AP212</f>
        <v>0</v>
      </c>
      <c r="AJ36" s="179">
        <f>LB!AQ479+FR!AQ144+JN!AQ201+TA!AQ113+ŽB!AQ87+ČL!AQ314+NB!AQ136+SM!AQ178+JI!AQ159+TU!AQ212</f>
        <v>0</v>
      </c>
      <c r="AK36" s="179">
        <f>LB!AR479+FR!AR144+JN!AR201+TA!AR113+ŽB!AR87+ČL!AR314+NB!AR136+SM!AR178+JI!AR159+TU!AR212</f>
        <v>0</v>
      </c>
      <c r="AL36" s="179">
        <f>LB!AS479+FR!AS144+JN!AS201+TA!AS113+ŽB!AS87+ČL!AS314+NB!AS136+SM!AS178+JI!AS159+TU!AS212</f>
        <v>0</v>
      </c>
      <c r="AM36" s="182">
        <f>LB!AT479+FR!AT144+JN!AT201+TA!AT113+ŽB!AT87+ČL!AT314+NB!AT136+SM!AT178+JI!AT159+TU!AT212</f>
        <v>0</v>
      </c>
      <c r="AN36" s="177">
        <f>LB!AU479+FR!AU144+JN!AU201+TA!AU113+ŽB!AU87+ČL!AU314+NB!AU136+SM!AU178+JI!AU159+TU!AU212</f>
        <v>64081091</v>
      </c>
      <c r="AO36" s="178">
        <f>LB!AV479+FR!AV144+JN!AV201+TA!AV113+ŽB!AV87+ČL!AV314+NB!AV136+SM!AV178+JI!AV159+TU!AV212</f>
        <v>42604024</v>
      </c>
      <c r="AP36" s="178">
        <f>LB!AW479+FR!AW144+JN!AW201+TA!AW113+ŽB!AW87+ČL!AW314+NB!AW136+SM!AW178+JI!AW159+TU!AW212</f>
        <v>4284000</v>
      </c>
      <c r="AQ36" s="178">
        <f>LB!AX479+FR!AX144+JN!AX201+TA!AX113+ŽB!AX87+ČL!AX314+NB!AX136+SM!AX178+JI!AX159+TU!AX212</f>
        <v>15766018</v>
      </c>
      <c r="AR36" s="178">
        <f>LB!AY479+FR!AY144+JN!AY201+TA!AY113+ŽB!AY87+ČL!AY314+NB!AY136+SM!AY178+JI!AY159+TU!AY212</f>
        <v>852079</v>
      </c>
      <c r="AS36" s="178">
        <f>LB!AZ479+FR!AZ144+JN!AZ201+TA!AZ113+ŽB!AZ87+ČL!AZ314+NB!AZ136+SM!AZ178+JI!AZ159+TU!AZ212</f>
        <v>574970</v>
      </c>
      <c r="AT36" s="179">
        <f>LB!BA479+FR!BA144+JN!BA201+TA!BA113+ŽB!BA87+ČL!BA314+NB!BA136+SM!BA178+JI!BA159+TU!BA212</f>
        <v>93.399999999999991</v>
      </c>
      <c r="AU36" s="179">
        <f>LB!BB479+FR!BB144+JN!BB201+TA!BB113+ŽB!BB87+ČL!BB314+NB!BB136+SM!BB178+JI!BB159+TU!BB212</f>
        <v>59.449999999999996</v>
      </c>
      <c r="AV36" s="180">
        <f>LB!BC479+FR!BC144+JN!BC201+TA!BC113+ŽB!BC87+ČL!BC314+NB!BC136+SM!BC178+JI!BC159+TU!BC212</f>
        <v>33.950000000000003</v>
      </c>
    </row>
    <row r="37" spans="1:48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  <c r="O37" s="15"/>
    </row>
  </sheetData>
  <mergeCells count="26">
    <mergeCell ref="A3:J3"/>
    <mergeCell ref="B9:B11"/>
    <mergeCell ref="B7:J8"/>
    <mergeCell ref="K7:AM7"/>
    <mergeCell ref="C9:G10"/>
    <mergeCell ref="H9:H11"/>
    <mergeCell ref="I9:J10"/>
    <mergeCell ref="AI9:AJ10"/>
    <mergeCell ref="AF9:AG9"/>
    <mergeCell ref="AH9:AH10"/>
    <mergeCell ref="AN7:AV8"/>
    <mergeCell ref="K8:Q10"/>
    <mergeCell ref="R8:U10"/>
    <mergeCell ref="V8:V11"/>
    <mergeCell ref="W8:W11"/>
    <mergeCell ref="X8:X11"/>
    <mergeCell ref="Y8:AA10"/>
    <mergeCell ref="AB8:AB11"/>
    <mergeCell ref="AC8:AM8"/>
    <mergeCell ref="AK9:AM10"/>
    <mergeCell ref="AN9:AN11"/>
    <mergeCell ref="AO9:AS10"/>
    <mergeCell ref="AT9:AT11"/>
    <mergeCell ref="AU9:AV10"/>
    <mergeCell ref="AC9:AD10"/>
    <mergeCell ref="AE9:AE1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852"/>
  <sheetViews>
    <sheetView zoomScaleNormal="100" workbookViewId="0">
      <pane xSplit="8" ySplit="11" topLeftCell="T144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M155" sqref="AM155"/>
    </sheetView>
  </sheetViews>
  <sheetFormatPr defaultColWidth="9.140625" defaultRowHeight="11.25" x14ac:dyDescent="0.2"/>
  <cols>
    <col min="1" max="1" width="5" style="54" customWidth="1"/>
    <col min="2" max="2" width="4.7109375" style="53" customWidth="1"/>
    <col min="3" max="3" width="8.7109375" style="53" customWidth="1"/>
    <col min="4" max="4" width="7.85546875" style="53" customWidth="1"/>
    <col min="5" max="5" width="30.28515625" style="54" customWidth="1"/>
    <col min="6" max="6" width="4.42578125" style="54" customWidth="1"/>
    <col min="7" max="7" width="10" style="54" customWidth="1"/>
    <col min="8" max="8" width="8" style="54" customWidth="1"/>
    <col min="9" max="10" width="10.85546875" style="55" customWidth="1"/>
    <col min="11" max="11" width="10.5703125" style="55" customWidth="1"/>
    <col min="12" max="12" width="12.42578125" style="55" customWidth="1"/>
    <col min="13" max="14" width="9.140625" style="55" customWidth="1"/>
    <col min="15" max="15" width="11.42578125" style="93" customWidth="1"/>
    <col min="16" max="17" width="9.28515625" style="93" customWidth="1"/>
    <col min="18" max="21" width="9.140625" style="55" customWidth="1"/>
    <col min="22" max="23" width="9.7109375" style="55" customWidth="1"/>
    <col min="24" max="28" width="9.140625" style="55" customWidth="1"/>
    <col min="29" max="29" width="10.140625" style="55" customWidth="1"/>
    <col min="30" max="30" width="9.28515625" style="55" customWidth="1"/>
    <col min="31" max="31" width="9.7109375" style="55" customWidth="1"/>
    <col min="32" max="35" width="9.28515625" style="55" customWidth="1"/>
    <col min="36" max="46" width="9.28515625" style="93" customWidth="1"/>
    <col min="47" max="48" width="10.85546875" style="55" customWidth="1"/>
    <col min="49" max="49" width="9.140625" style="55" customWidth="1"/>
    <col min="50" max="50" width="12.42578125" style="55" customWidth="1"/>
    <col min="51" max="52" width="9.140625" style="55" customWidth="1"/>
    <col min="53" max="53" width="11.42578125" style="93" customWidth="1"/>
    <col min="54" max="55" width="9.28515625" style="93" customWidth="1"/>
    <col min="56" max="56" width="9.140625" style="58" customWidth="1"/>
    <col min="57" max="16384" width="9.140625" style="58"/>
  </cols>
  <sheetData>
    <row r="1" spans="1:55" ht="12.75" x14ac:dyDescent="0.2">
      <c r="A1" s="52" t="s">
        <v>2</v>
      </c>
      <c r="B1" s="52"/>
      <c r="C1" s="43"/>
      <c r="D1" s="52"/>
      <c r="E1" s="52"/>
      <c r="H1" s="55"/>
      <c r="O1" s="55"/>
      <c r="P1" s="55"/>
      <c r="Q1" s="55"/>
      <c r="AJ1" s="55"/>
      <c r="AK1" s="55"/>
      <c r="AL1" s="55"/>
      <c r="AU1" s="93"/>
    </row>
    <row r="2" spans="1:55" ht="12.75" x14ac:dyDescent="0.2">
      <c r="A2" s="52" t="s">
        <v>3</v>
      </c>
      <c r="B2" s="52"/>
      <c r="C2" s="43"/>
      <c r="D2" s="52"/>
      <c r="E2" s="52"/>
    </row>
    <row r="3" spans="1:55" ht="12" x14ac:dyDescent="0.2">
      <c r="A3" s="820" t="s">
        <v>4</v>
      </c>
      <c r="B3" s="820"/>
      <c r="C3" s="820"/>
      <c r="D3" s="820"/>
      <c r="E3" s="820"/>
      <c r="S3" s="699"/>
      <c r="T3" s="699"/>
      <c r="U3" s="699"/>
    </row>
    <row r="4" spans="1:55" ht="15" customHeight="1" x14ac:dyDescent="0.2">
      <c r="A4" s="52"/>
      <c r="B4" s="52"/>
      <c r="C4" s="52"/>
      <c r="D4" s="52"/>
      <c r="E4" s="52"/>
      <c r="S4" s="698"/>
      <c r="T4" s="698"/>
      <c r="U4" s="698"/>
    </row>
    <row r="5" spans="1:55" ht="16.5" customHeight="1" thickBot="1" x14ac:dyDescent="0.3">
      <c r="A5" s="189" t="s">
        <v>856</v>
      </c>
      <c r="F5" s="280"/>
      <c r="G5" s="280"/>
      <c r="S5" s="700"/>
      <c r="T5" s="698"/>
      <c r="U5" s="698"/>
      <c r="AU5" s="93"/>
      <c r="AV5" s="93"/>
      <c r="AW5" s="93"/>
      <c r="AX5" s="93"/>
      <c r="AY5" s="93"/>
    </row>
    <row r="6" spans="1:55" ht="12" customHeight="1" x14ac:dyDescent="0.2"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33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B7" s="6"/>
      <c r="C7"/>
      <c r="D7" s="10"/>
      <c r="E7" s="6"/>
      <c r="I7" s="830"/>
      <c r="J7" s="831"/>
      <c r="K7" s="831"/>
      <c r="L7" s="831"/>
      <c r="M7" s="831"/>
      <c r="N7" s="831"/>
      <c r="O7" s="831"/>
      <c r="P7" s="831"/>
      <c r="Q7" s="832"/>
      <c r="R7" s="841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6.5" customHeight="1" x14ac:dyDescent="0.2">
      <c r="A8" s="122"/>
      <c r="B8" s="59"/>
      <c r="C8" s="59"/>
      <c r="D8" s="59"/>
      <c r="E8" s="60"/>
      <c r="F8" s="61"/>
      <c r="G8" s="62"/>
      <c r="H8" s="62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43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2" customHeight="1" thickBot="1" x14ac:dyDescent="0.25">
      <c r="A9" s="123" t="s">
        <v>784</v>
      </c>
      <c r="B9"/>
      <c r="C9"/>
      <c r="D9" s="12"/>
      <c r="E9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45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712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87" t="s">
        <v>564</v>
      </c>
      <c r="R11" s="713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4.1" customHeight="1" x14ac:dyDescent="0.2">
      <c r="A12" s="130">
        <v>1</v>
      </c>
      <c r="B12" s="131">
        <v>2330</v>
      </c>
      <c r="C12" s="132">
        <v>691009571</v>
      </c>
      <c r="D12" s="131">
        <v>71294511</v>
      </c>
      <c r="E12" s="133" t="s">
        <v>565</v>
      </c>
      <c r="F12" s="130">
        <v>3233</v>
      </c>
      <c r="G12" s="133" t="s">
        <v>318</v>
      </c>
      <c r="H12" s="134" t="s">
        <v>278</v>
      </c>
      <c r="I12" s="455">
        <v>10421522</v>
      </c>
      <c r="J12" s="456">
        <v>5989998</v>
      </c>
      <c r="K12" s="456">
        <v>1693000</v>
      </c>
      <c r="L12" s="456">
        <v>2514719</v>
      </c>
      <c r="M12" s="456">
        <v>119800</v>
      </c>
      <c r="N12" s="456">
        <v>104005</v>
      </c>
      <c r="O12" s="457">
        <v>12.41</v>
      </c>
      <c r="P12" s="458">
        <v>7.74</v>
      </c>
      <c r="Q12" s="482">
        <v>4.67</v>
      </c>
      <c r="R12" s="462">
        <f t="shared" ref="R12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10421522</v>
      </c>
      <c r="AV12" s="460">
        <f>J12+X12</f>
        <v>5989998</v>
      </c>
      <c r="AW12" s="460">
        <f>K12+AB12</f>
        <v>1693000</v>
      </c>
      <c r="AX12" s="460">
        <f>L12+AD12</f>
        <v>2514719</v>
      </c>
      <c r="AY12" s="460">
        <f>M12+AE12</f>
        <v>119800</v>
      </c>
      <c r="AZ12" s="460">
        <f>N12+AH12</f>
        <v>104005</v>
      </c>
      <c r="BA12" s="461">
        <f>O12+AT12</f>
        <v>12.41</v>
      </c>
      <c r="BB12" s="461">
        <f>P12+AR12</f>
        <v>7.74</v>
      </c>
      <c r="BC12" s="463">
        <f>Q12+AS12</f>
        <v>4.67</v>
      </c>
    </row>
    <row r="13" spans="1:55" ht="14.1" customHeight="1" x14ac:dyDescent="0.2">
      <c r="A13" s="74">
        <v>1</v>
      </c>
      <c r="B13" s="71">
        <v>2330</v>
      </c>
      <c r="C13" s="72">
        <v>691009571</v>
      </c>
      <c r="D13" s="71">
        <v>71294511</v>
      </c>
      <c r="E13" s="73" t="s">
        <v>566</v>
      </c>
      <c r="F13" s="74"/>
      <c r="G13" s="73"/>
      <c r="H13" s="75"/>
      <c r="I13" s="76">
        <v>10421522</v>
      </c>
      <c r="J13" s="77">
        <v>5989998</v>
      </c>
      <c r="K13" s="77">
        <v>1693000</v>
      </c>
      <c r="L13" s="77">
        <v>2514719</v>
      </c>
      <c r="M13" s="77">
        <v>119800</v>
      </c>
      <c r="N13" s="77">
        <v>104005</v>
      </c>
      <c r="O13" s="78">
        <v>12.41</v>
      </c>
      <c r="P13" s="78">
        <v>7.74</v>
      </c>
      <c r="Q13" s="718">
        <v>4.67</v>
      </c>
      <c r="R13" s="76">
        <f t="shared" ref="R13:BC13" si="8">SUM(R12)</f>
        <v>0</v>
      </c>
      <c r="S13" s="77">
        <f t="shared" si="8"/>
        <v>0</v>
      </c>
      <c r="T13" s="77">
        <f t="shared" si="8"/>
        <v>0</v>
      </c>
      <c r="U13" s="77">
        <f t="shared" si="8"/>
        <v>0</v>
      </c>
      <c r="V13" s="77">
        <f t="shared" si="8"/>
        <v>0</v>
      </c>
      <c r="W13" s="77">
        <f t="shared" si="8"/>
        <v>0</v>
      </c>
      <c r="X13" s="77">
        <f t="shared" si="8"/>
        <v>0</v>
      </c>
      <c r="Y13" s="77">
        <f t="shared" si="8"/>
        <v>0</v>
      </c>
      <c r="Z13" s="77">
        <f t="shared" si="8"/>
        <v>0</v>
      </c>
      <c r="AA13" s="77">
        <f t="shared" si="8"/>
        <v>0</v>
      </c>
      <c r="AB13" s="77">
        <f t="shared" si="8"/>
        <v>0</v>
      </c>
      <c r="AC13" s="77">
        <f t="shared" si="8"/>
        <v>0</v>
      </c>
      <c r="AD13" s="77">
        <f t="shared" si="8"/>
        <v>0</v>
      </c>
      <c r="AE13" s="77">
        <f t="shared" si="8"/>
        <v>0</v>
      </c>
      <c r="AF13" s="77">
        <f t="shared" si="8"/>
        <v>0</v>
      </c>
      <c r="AG13" s="77">
        <f t="shared" si="8"/>
        <v>0</v>
      </c>
      <c r="AH13" s="77">
        <f t="shared" si="8"/>
        <v>0</v>
      </c>
      <c r="AI13" s="77">
        <f t="shared" si="8"/>
        <v>0</v>
      </c>
      <c r="AJ13" s="78">
        <f t="shared" si="8"/>
        <v>0</v>
      </c>
      <c r="AK13" s="78">
        <f t="shared" si="8"/>
        <v>0</v>
      </c>
      <c r="AL13" s="78">
        <f t="shared" si="8"/>
        <v>0</v>
      </c>
      <c r="AM13" s="78">
        <f t="shared" si="8"/>
        <v>0</v>
      </c>
      <c r="AN13" s="78">
        <f t="shared" si="8"/>
        <v>0</v>
      </c>
      <c r="AO13" s="78">
        <f t="shared" si="8"/>
        <v>0</v>
      </c>
      <c r="AP13" s="78">
        <f t="shared" si="8"/>
        <v>0</v>
      </c>
      <c r="AQ13" s="78">
        <f t="shared" si="8"/>
        <v>0</v>
      </c>
      <c r="AR13" s="78">
        <f t="shared" si="8"/>
        <v>0</v>
      </c>
      <c r="AS13" s="78">
        <f t="shared" si="8"/>
        <v>0</v>
      </c>
      <c r="AT13" s="79">
        <f t="shared" si="8"/>
        <v>0</v>
      </c>
      <c r="AU13" s="433">
        <f t="shared" si="8"/>
        <v>10421522</v>
      </c>
      <c r="AV13" s="77">
        <f t="shared" si="8"/>
        <v>5989998</v>
      </c>
      <c r="AW13" s="77">
        <f t="shared" si="8"/>
        <v>1693000</v>
      </c>
      <c r="AX13" s="77">
        <f t="shared" si="8"/>
        <v>2514719</v>
      </c>
      <c r="AY13" s="77">
        <f t="shared" si="8"/>
        <v>119800</v>
      </c>
      <c r="AZ13" s="77">
        <f t="shared" si="8"/>
        <v>104005</v>
      </c>
      <c r="BA13" s="78">
        <f t="shared" si="8"/>
        <v>12.41</v>
      </c>
      <c r="BB13" s="78">
        <f t="shared" si="8"/>
        <v>7.74</v>
      </c>
      <c r="BC13" s="79">
        <f t="shared" si="8"/>
        <v>4.67</v>
      </c>
    </row>
    <row r="14" spans="1:55" ht="14.1" customHeight="1" x14ac:dyDescent="0.2">
      <c r="A14" s="68">
        <v>2</v>
      </c>
      <c r="B14" s="65">
        <v>2415</v>
      </c>
      <c r="C14" s="66">
        <v>600079465</v>
      </c>
      <c r="D14" s="65">
        <v>72742186</v>
      </c>
      <c r="E14" s="67" t="s">
        <v>567</v>
      </c>
      <c r="F14" s="68">
        <v>3111</v>
      </c>
      <c r="G14" s="67" t="s">
        <v>311</v>
      </c>
      <c r="H14" s="69" t="s">
        <v>277</v>
      </c>
      <c r="I14" s="477">
        <v>7717063</v>
      </c>
      <c r="J14" s="643">
        <v>5618905</v>
      </c>
      <c r="K14" s="643">
        <v>30000</v>
      </c>
      <c r="L14" s="472">
        <v>1909330</v>
      </c>
      <c r="M14" s="472">
        <v>112378</v>
      </c>
      <c r="N14" s="472">
        <v>46450</v>
      </c>
      <c r="O14" s="473">
        <v>12.2585</v>
      </c>
      <c r="P14" s="473">
        <v>9.2933000000000003</v>
      </c>
      <c r="Q14" s="483">
        <v>2.9651999999999998</v>
      </c>
      <c r="R14" s="485">
        <f t="shared" ref="R14:R17" si="9">Y14*-1</f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7" si="10">SUM(R14:W14)</f>
        <v>0</v>
      </c>
      <c r="Y14" s="475">
        <v>0</v>
      </c>
      <c r="Z14" s="475">
        <v>0</v>
      </c>
      <c r="AA14" s="475">
        <v>0</v>
      </c>
      <c r="AB14" s="475">
        <f t="shared" ref="AB14:AB17" si="11">SUM(Y14:AA14)</f>
        <v>0</v>
      </c>
      <c r="AC14" s="475">
        <f t="shared" ref="AC14:AC17" si="12">X14+AB14</f>
        <v>0</v>
      </c>
      <c r="AD14" s="70">
        <f t="shared" ref="AD14:AD17" si="13">ROUND((X14+Y14+Z14)*33.8%,0)</f>
        <v>0</v>
      </c>
      <c r="AE14" s="70">
        <f t="shared" ref="AE14:AE17" si="14">ROUND(X14*2%,0)</f>
        <v>0</v>
      </c>
      <c r="AF14" s="475">
        <v>0</v>
      </c>
      <c r="AG14" s="475">
        <v>0</v>
      </c>
      <c r="AH14" s="475">
        <f t="shared" ref="AH14:AH17" si="15">SUM(AF14:AG14)</f>
        <v>0</v>
      </c>
      <c r="AI14" s="475">
        <f t="shared" ref="AI14:AI17" si="16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 t="shared" ref="AR14:AR76" si="17">AJ14+AL14+AM14+AO14+AP14</f>
        <v>0</v>
      </c>
      <c r="AS14" s="476">
        <f t="shared" ref="AS14:AS76" si="18">AK14+AN14+AQ14</f>
        <v>0</v>
      </c>
      <c r="AT14" s="478">
        <f t="shared" ref="AT14:AT76" si="19">SUM(AR14:AS14)</f>
        <v>0</v>
      </c>
      <c r="AU14" s="484">
        <f>I14+AI14</f>
        <v>7717063</v>
      </c>
      <c r="AV14" s="475">
        <f>J14+X14</f>
        <v>5618905</v>
      </c>
      <c r="AW14" s="475">
        <f>K14+AB14</f>
        <v>30000</v>
      </c>
      <c r="AX14" s="475">
        <f t="shared" ref="AX14:AY17" si="20">L14+AD14</f>
        <v>1909330</v>
      </c>
      <c r="AY14" s="475">
        <f t="shared" si="20"/>
        <v>112378</v>
      </c>
      <c r="AZ14" s="475">
        <f>N14+AH14</f>
        <v>46450</v>
      </c>
      <c r="BA14" s="476">
        <f>O14+AT14</f>
        <v>12.2585</v>
      </c>
      <c r="BB14" s="476">
        <f t="shared" ref="BB14:BC17" si="21">P14+AR14</f>
        <v>9.2933000000000003</v>
      </c>
      <c r="BC14" s="478">
        <f t="shared" si="21"/>
        <v>2.9651999999999998</v>
      </c>
    </row>
    <row r="15" spans="1:55" ht="14.1" customHeight="1" x14ac:dyDescent="0.2">
      <c r="A15" s="68">
        <v>2</v>
      </c>
      <c r="B15" s="65">
        <v>2415</v>
      </c>
      <c r="C15" s="66">
        <v>600079465</v>
      </c>
      <c r="D15" s="65">
        <v>72742186</v>
      </c>
      <c r="E15" s="67" t="s">
        <v>567</v>
      </c>
      <c r="F15" s="68">
        <v>3111</v>
      </c>
      <c r="G15" s="44" t="s">
        <v>313</v>
      </c>
      <c r="H15" s="69" t="s">
        <v>277</v>
      </c>
      <c r="I15" s="477">
        <v>411158</v>
      </c>
      <c r="J15" s="472">
        <v>287988</v>
      </c>
      <c r="K15" s="472">
        <v>15000</v>
      </c>
      <c r="L15" s="472">
        <v>102410</v>
      </c>
      <c r="M15" s="472">
        <v>5760</v>
      </c>
      <c r="N15" s="472">
        <v>0</v>
      </c>
      <c r="O15" s="473">
        <v>0.98</v>
      </c>
      <c r="P15" s="473">
        <v>1</v>
      </c>
      <c r="Q15" s="483">
        <v>-0.02</v>
      </c>
      <c r="R15" s="485">
        <f t="shared" si="9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0"/>
        <v>0</v>
      </c>
      <c r="Y15" s="475">
        <v>0</v>
      </c>
      <c r="Z15" s="475">
        <v>0</v>
      </c>
      <c r="AA15" s="475">
        <v>0</v>
      </c>
      <c r="AB15" s="475">
        <f t="shared" si="11"/>
        <v>0</v>
      </c>
      <c r="AC15" s="475">
        <f t="shared" si="12"/>
        <v>0</v>
      </c>
      <c r="AD15" s="70">
        <f t="shared" si="13"/>
        <v>0</v>
      </c>
      <c r="AE15" s="70">
        <f t="shared" si="14"/>
        <v>0</v>
      </c>
      <c r="AF15" s="475">
        <v>0</v>
      </c>
      <c r="AG15" s="475">
        <v>0</v>
      </c>
      <c r="AH15" s="475">
        <f t="shared" si="15"/>
        <v>0</v>
      </c>
      <c r="AI15" s="475">
        <f t="shared" si="16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 t="shared" si="17"/>
        <v>0</v>
      </c>
      <c r="AS15" s="476">
        <f t="shared" si="18"/>
        <v>0</v>
      </c>
      <c r="AT15" s="478">
        <f t="shared" si="19"/>
        <v>0</v>
      </c>
      <c r="AU15" s="484">
        <f>I15+AI15</f>
        <v>411158</v>
      </c>
      <c r="AV15" s="475">
        <f>J15+X15</f>
        <v>287988</v>
      </c>
      <c r="AW15" s="475">
        <f>K15+AB15</f>
        <v>15000</v>
      </c>
      <c r="AX15" s="475">
        <f t="shared" si="20"/>
        <v>102410</v>
      </c>
      <c r="AY15" s="475">
        <f t="shared" si="20"/>
        <v>5760</v>
      </c>
      <c r="AZ15" s="475">
        <f>N15+AH15</f>
        <v>0</v>
      </c>
      <c r="BA15" s="476">
        <f>O15+AT15</f>
        <v>0.98</v>
      </c>
      <c r="BB15" s="476">
        <f t="shared" si="21"/>
        <v>1</v>
      </c>
      <c r="BC15" s="478">
        <f t="shared" si="21"/>
        <v>-0.02</v>
      </c>
    </row>
    <row r="16" spans="1:55" ht="14.1" customHeight="1" x14ac:dyDescent="0.2">
      <c r="A16" s="68">
        <v>2</v>
      </c>
      <c r="B16" s="65">
        <v>2415</v>
      </c>
      <c r="C16" s="66">
        <v>600079465</v>
      </c>
      <c r="D16" s="65">
        <v>72742186</v>
      </c>
      <c r="E16" s="67" t="s">
        <v>567</v>
      </c>
      <c r="F16" s="68">
        <v>3111</v>
      </c>
      <c r="G16" s="67" t="s">
        <v>312</v>
      </c>
      <c r="H16" s="69" t="s">
        <v>278</v>
      </c>
      <c r="I16" s="477">
        <v>1420659</v>
      </c>
      <c r="J16" s="472">
        <v>1039329</v>
      </c>
      <c r="K16" s="472">
        <v>0</v>
      </c>
      <c r="L16" s="472">
        <v>351293</v>
      </c>
      <c r="M16" s="472">
        <v>20787</v>
      </c>
      <c r="N16" s="472">
        <v>9250</v>
      </c>
      <c r="O16" s="473">
        <v>3</v>
      </c>
      <c r="P16" s="474">
        <v>3</v>
      </c>
      <c r="Q16" s="483">
        <v>0</v>
      </c>
      <c r="R16" s="485">
        <f t="shared" si="9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0"/>
        <v>0</v>
      </c>
      <c r="Y16" s="475">
        <v>0</v>
      </c>
      <c r="Z16" s="475">
        <v>0</v>
      </c>
      <c r="AA16" s="475">
        <v>0</v>
      </c>
      <c r="AB16" s="475">
        <f t="shared" si="11"/>
        <v>0</v>
      </c>
      <c r="AC16" s="475">
        <f t="shared" si="12"/>
        <v>0</v>
      </c>
      <c r="AD16" s="70">
        <f t="shared" si="13"/>
        <v>0</v>
      </c>
      <c r="AE16" s="70">
        <f t="shared" si="14"/>
        <v>0</v>
      </c>
      <c r="AF16" s="475">
        <v>0</v>
      </c>
      <c r="AG16" s="475">
        <v>0</v>
      </c>
      <c r="AH16" s="475">
        <f t="shared" si="15"/>
        <v>0</v>
      </c>
      <c r="AI16" s="475">
        <f t="shared" si="16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 t="shared" si="17"/>
        <v>0</v>
      </c>
      <c r="AS16" s="476">
        <f t="shared" si="18"/>
        <v>0</v>
      </c>
      <c r="AT16" s="478">
        <f t="shared" si="19"/>
        <v>0</v>
      </c>
      <c r="AU16" s="484">
        <f>I16+AI16</f>
        <v>1420659</v>
      </c>
      <c r="AV16" s="475">
        <f>J16+X16</f>
        <v>1039329</v>
      </c>
      <c r="AW16" s="475">
        <f>K16+AB16</f>
        <v>0</v>
      </c>
      <c r="AX16" s="475">
        <f t="shared" si="20"/>
        <v>351293</v>
      </c>
      <c r="AY16" s="475">
        <f t="shared" si="20"/>
        <v>20787</v>
      </c>
      <c r="AZ16" s="475">
        <f>N16+AH16</f>
        <v>9250</v>
      </c>
      <c r="BA16" s="476">
        <f>O16+AT16</f>
        <v>3</v>
      </c>
      <c r="BB16" s="476">
        <f t="shared" si="21"/>
        <v>3</v>
      </c>
      <c r="BC16" s="478">
        <f t="shared" si="21"/>
        <v>0</v>
      </c>
    </row>
    <row r="17" spans="1:55" ht="14.1" customHeight="1" x14ac:dyDescent="0.2">
      <c r="A17" s="68">
        <v>2</v>
      </c>
      <c r="B17" s="65">
        <v>2415</v>
      </c>
      <c r="C17" s="66">
        <v>600079465</v>
      </c>
      <c r="D17" s="65">
        <v>72742186</v>
      </c>
      <c r="E17" s="67" t="s">
        <v>567</v>
      </c>
      <c r="F17" s="68">
        <v>3141</v>
      </c>
      <c r="G17" s="67" t="s">
        <v>315</v>
      </c>
      <c r="H17" s="69" t="s">
        <v>278</v>
      </c>
      <c r="I17" s="477">
        <v>969734</v>
      </c>
      <c r="J17" s="472">
        <v>710545</v>
      </c>
      <c r="K17" s="472">
        <v>0</v>
      </c>
      <c r="L17" s="472">
        <v>240164</v>
      </c>
      <c r="M17" s="472">
        <v>14211</v>
      </c>
      <c r="N17" s="472">
        <v>4814</v>
      </c>
      <c r="O17" s="473">
        <v>2.2400000000000002</v>
      </c>
      <c r="P17" s="474">
        <v>0</v>
      </c>
      <c r="Q17" s="483">
        <v>2.2400000000000002</v>
      </c>
      <c r="R17" s="485">
        <f t="shared" si="9"/>
        <v>0</v>
      </c>
      <c r="S17" s="475">
        <v>0</v>
      </c>
      <c r="T17" s="755">
        <v>-7875</v>
      </c>
      <c r="U17" s="475">
        <v>0</v>
      </c>
      <c r="V17" s="475">
        <v>0</v>
      </c>
      <c r="W17" s="475">
        <v>0</v>
      </c>
      <c r="X17" s="475">
        <f t="shared" si="10"/>
        <v>-7875</v>
      </c>
      <c r="Y17" s="475">
        <v>0</v>
      </c>
      <c r="Z17" s="475">
        <v>0</v>
      </c>
      <c r="AA17" s="475">
        <v>0</v>
      </c>
      <c r="AB17" s="475">
        <f t="shared" si="11"/>
        <v>0</v>
      </c>
      <c r="AC17" s="475">
        <f t="shared" si="12"/>
        <v>-7875</v>
      </c>
      <c r="AD17" s="70">
        <f t="shared" si="13"/>
        <v>-2662</v>
      </c>
      <c r="AE17" s="70">
        <f t="shared" si="14"/>
        <v>-158</v>
      </c>
      <c r="AF17" s="475">
        <v>0</v>
      </c>
      <c r="AG17" s="475">
        <v>0</v>
      </c>
      <c r="AH17" s="475">
        <f t="shared" si="15"/>
        <v>0</v>
      </c>
      <c r="AI17" s="475">
        <f t="shared" si="16"/>
        <v>-10695</v>
      </c>
      <c r="AJ17" s="476">
        <v>0</v>
      </c>
      <c r="AK17" s="476">
        <v>0</v>
      </c>
      <c r="AL17" s="476">
        <v>0</v>
      </c>
      <c r="AM17" s="476">
        <v>0</v>
      </c>
      <c r="AN17" s="756">
        <v>-3.0000000000000027E-2</v>
      </c>
      <c r="AO17" s="476">
        <v>0</v>
      </c>
      <c r="AP17" s="476">
        <v>0</v>
      </c>
      <c r="AQ17" s="476">
        <v>0</v>
      </c>
      <c r="AR17" s="476">
        <f t="shared" si="17"/>
        <v>0</v>
      </c>
      <c r="AS17" s="476">
        <f t="shared" si="18"/>
        <v>-3.0000000000000027E-2</v>
      </c>
      <c r="AT17" s="478">
        <f t="shared" si="19"/>
        <v>-3.0000000000000027E-2</v>
      </c>
      <c r="AU17" s="484">
        <f>I17+AI17</f>
        <v>959039</v>
      </c>
      <c r="AV17" s="475">
        <f>J17+X17</f>
        <v>702670</v>
      </c>
      <c r="AW17" s="475">
        <f>K17+AB17</f>
        <v>0</v>
      </c>
      <c r="AX17" s="475">
        <f t="shared" si="20"/>
        <v>237502</v>
      </c>
      <c r="AY17" s="475">
        <f t="shared" si="20"/>
        <v>14053</v>
      </c>
      <c r="AZ17" s="475">
        <f>N17+AH17</f>
        <v>4814</v>
      </c>
      <c r="BA17" s="476">
        <f>O17+AT17</f>
        <v>2.21</v>
      </c>
      <c r="BB17" s="476">
        <f t="shared" si="21"/>
        <v>0</v>
      </c>
      <c r="BC17" s="478">
        <f t="shared" si="21"/>
        <v>2.21</v>
      </c>
    </row>
    <row r="18" spans="1:55" ht="14.1" customHeight="1" x14ac:dyDescent="0.2">
      <c r="A18" s="74">
        <v>2</v>
      </c>
      <c r="B18" s="71">
        <v>2415</v>
      </c>
      <c r="C18" s="72">
        <v>600079465</v>
      </c>
      <c r="D18" s="71">
        <v>72742186</v>
      </c>
      <c r="E18" s="73" t="s">
        <v>568</v>
      </c>
      <c r="F18" s="74"/>
      <c r="G18" s="73"/>
      <c r="H18" s="75"/>
      <c r="I18" s="76">
        <v>10518614</v>
      </c>
      <c r="J18" s="77">
        <v>7656767</v>
      </c>
      <c r="K18" s="77">
        <v>45000</v>
      </c>
      <c r="L18" s="77">
        <v>2603197</v>
      </c>
      <c r="M18" s="77">
        <v>153136</v>
      </c>
      <c r="N18" s="77">
        <v>60514</v>
      </c>
      <c r="O18" s="78">
        <v>18.478500000000004</v>
      </c>
      <c r="P18" s="78">
        <v>13.2933</v>
      </c>
      <c r="Q18" s="718">
        <v>5.1852</v>
      </c>
      <c r="R18" s="76">
        <f t="shared" ref="R18:BC18" si="22">SUM(R14:R17)</f>
        <v>0</v>
      </c>
      <c r="S18" s="77">
        <f t="shared" si="22"/>
        <v>0</v>
      </c>
      <c r="T18" s="77">
        <f t="shared" si="22"/>
        <v>-7875</v>
      </c>
      <c r="U18" s="77">
        <f t="shared" si="22"/>
        <v>0</v>
      </c>
      <c r="V18" s="77">
        <f t="shared" si="22"/>
        <v>0</v>
      </c>
      <c r="W18" s="77">
        <f t="shared" si="22"/>
        <v>0</v>
      </c>
      <c r="X18" s="77">
        <f t="shared" si="22"/>
        <v>-7875</v>
      </c>
      <c r="Y18" s="77">
        <f t="shared" si="22"/>
        <v>0</v>
      </c>
      <c r="Z18" s="77">
        <f t="shared" si="22"/>
        <v>0</v>
      </c>
      <c r="AA18" s="77">
        <f t="shared" si="22"/>
        <v>0</v>
      </c>
      <c r="AB18" s="77">
        <f t="shared" si="22"/>
        <v>0</v>
      </c>
      <c r="AC18" s="77">
        <f t="shared" si="22"/>
        <v>-7875</v>
      </c>
      <c r="AD18" s="77">
        <f t="shared" si="22"/>
        <v>-2662</v>
      </c>
      <c r="AE18" s="77">
        <f t="shared" si="22"/>
        <v>-158</v>
      </c>
      <c r="AF18" s="77">
        <f t="shared" si="22"/>
        <v>0</v>
      </c>
      <c r="AG18" s="77">
        <f t="shared" si="22"/>
        <v>0</v>
      </c>
      <c r="AH18" s="77">
        <f t="shared" si="22"/>
        <v>0</v>
      </c>
      <c r="AI18" s="77">
        <f t="shared" si="22"/>
        <v>-10695</v>
      </c>
      <c r="AJ18" s="78">
        <f t="shared" si="22"/>
        <v>0</v>
      </c>
      <c r="AK18" s="78">
        <f t="shared" si="22"/>
        <v>0</v>
      </c>
      <c r="AL18" s="78">
        <f t="shared" si="22"/>
        <v>0</v>
      </c>
      <c r="AM18" s="78">
        <f t="shared" si="22"/>
        <v>0</v>
      </c>
      <c r="AN18" s="78">
        <f t="shared" si="22"/>
        <v>-3.0000000000000027E-2</v>
      </c>
      <c r="AO18" s="78">
        <f t="shared" si="22"/>
        <v>0</v>
      </c>
      <c r="AP18" s="78">
        <f t="shared" si="22"/>
        <v>0</v>
      </c>
      <c r="AQ18" s="78">
        <f t="shared" si="22"/>
        <v>0</v>
      </c>
      <c r="AR18" s="78">
        <f t="shared" si="22"/>
        <v>0</v>
      </c>
      <c r="AS18" s="78">
        <f t="shared" si="22"/>
        <v>-3.0000000000000027E-2</v>
      </c>
      <c r="AT18" s="79">
        <f t="shared" si="22"/>
        <v>-3.0000000000000027E-2</v>
      </c>
      <c r="AU18" s="433">
        <f t="shared" si="22"/>
        <v>10507919</v>
      </c>
      <c r="AV18" s="77">
        <f t="shared" si="22"/>
        <v>7648892</v>
      </c>
      <c r="AW18" s="77">
        <f t="shared" si="22"/>
        <v>45000</v>
      </c>
      <c r="AX18" s="77">
        <f t="shared" si="22"/>
        <v>2600535</v>
      </c>
      <c r="AY18" s="77">
        <f t="shared" si="22"/>
        <v>152978</v>
      </c>
      <c r="AZ18" s="77">
        <f t="shared" si="22"/>
        <v>60514</v>
      </c>
      <c r="BA18" s="78">
        <f t="shared" si="22"/>
        <v>18.448500000000003</v>
      </c>
      <c r="BB18" s="78">
        <f t="shared" si="22"/>
        <v>13.2933</v>
      </c>
      <c r="BC18" s="79">
        <f t="shared" si="22"/>
        <v>5.1551999999999998</v>
      </c>
    </row>
    <row r="19" spans="1:55" ht="14.1" customHeight="1" x14ac:dyDescent="0.2">
      <c r="A19" s="68">
        <v>3</v>
      </c>
      <c r="B19" s="65">
        <v>2442</v>
      </c>
      <c r="C19" s="66">
        <v>600079066</v>
      </c>
      <c r="D19" s="65">
        <v>72742101</v>
      </c>
      <c r="E19" s="67" t="s">
        <v>569</v>
      </c>
      <c r="F19" s="68">
        <v>3111</v>
      </c>
      <c r="G19" s="67" t="s">
        <v>311</v>
      </c>
      <c r="H19" s="69" t="s">
        <v>277</v>
      </c>
      <c r="I19" s="477">
        <v>8387460</v>
      </c>
      <c r="J19" s="643">
        <v>6113250</v>
      </c>
      <c r="K19" s="643">
        <v>3600</v>
      </c>
      <c r="L19" s="472">
        <v>2067495</v>
      </c>
      <c r="M19" s="472">
        <v>122265</v>
      </c>
      <c r="N19" s="472">
        <v>80850</v>
      </c>
      <c r="O19" s="473">
        <v>13.542199999999999</v>
      </c>
      <c r="P19" s="473">
        <v>10</v>
      </c>
      <c r="Q19" s="483">
        <v>3.5422000000000002</v>
      </c>
      <c r="R19" s="485">
        <f t="shared" ref="R19:R21" si="23">Y19*-1</f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ref="X19:X21" si="24">SUM(R19:W19)</f>
        <v>0</v>
      </c>
      <c r="Y19" s="475">
        <v>0</v>
      </c>
      <c r="Z19" s="475">
        <v>0</v>
      </c>
      <c r="AA19" s="475">
        <v>0</v>
      </c>
      <c r="AB19" s="475">
        <f t="shared" ref="AB19:AB21" si="25">SUM(Y19:AA19)</f>
        <v>0</v>
      </c>
      <c r="AC19" s="475">
        <f t="shared" ref="AC19:AC21" si="26">X19+AB19</f>
        <v>0</v>
      </c>
      <c r="AD19" s="70">
        <f t="shared" ref="AD19:AD21" si="27">ROUND((X19+Y19+Z19)*33.8%,0)</f>
        <v>0</v>
      </c>
      <c r="AE19" s="70">
        <f t="shared" ref="AE19:AE21" si="28">ROUND(X19*2%,0)</f>
        <v>0</v>
      </c>
      <c r="AF19" s="475">
        <v>0</v>
      </c>
      <c r="AG19" s="475">
        <v>0</v>
      </c>
      <c r="AH19" s="475">
        <f t="shared" ref="AH19:AH21" si="29">SUM(AF19:AG19)</f>
        <v>0</v>
      </c>
      <c r="AI19" s="475">
        <f t="shared" ref="AI19:AI21" si="30">AC19+AD19+AE19+AH19</f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 t="shared" si="17"/>
        <v>0</v>
      </c>
      <c r="AS19" s="476">
        <f t="shared" si="18"/>
        <v>0</v>
      </c>
      <c r="AT19" s="478">
        <f t="shared" si="19"/>
        <v>0</v>
      </c>
      <c r="AU19" s="484">
        <f>I19+AI19</f>
        <v>8387460</v>
      </c>
      <c r="AV19" s="475">
        <f>J19+X19</f>
        <v>6113250</v>
      </c>
      <c r="AW19" s="475">
        <f>K19+AB19</f>
        <v>3600</v>
      </c>
      <c r="AX19" s="475">
        <f t="shared" ref="AX19:AY21" si="31">L19+AD19</f>
        <v>2067495</v>
      </c>
      <c r="AY19" s="475">
        <f t="shared" si="31"/>
        <v>122265</v>
      </c>
      <c r="AZ19" s="475">
        <f>N19+AH19</f>
        <v>80850</v>
      </c>
      <c r="BA19" s="476">
        <f>O19+AT19</f>
        <v>13.542199999999999</v>
      </c>
      <c r="BB19" s="476">
        <f t="shared" ref="BB19:BC21" si="32">P19+AR19</f>
        <v>10</v>
      </c>
      <c r="BC19" s="478">
        <f t="shared" si="32"/>
        <v>3.5422000000000002</v>
      </c>
    </row>
    <row r="20" spans="1:55" ht="14.1" customHeight="1" x14ac:dyDescent="0.2">
      <c r="A20" s="68">
        <v>3</v>
      </c>
      <c r="B20" s="65">
        <v>2442</v>
      </c>
      <c r="C20" s="66">
        <v>600079066</v>
      </c>
      <c r="D20" s="65">
        <v>72742101</v>
      </c>
      <c r="E20" s="67" t="s">
        <v>569</v>
      </c>
      <c r="F20" s="68">
        <v>3111</v>
      </c>
      <c r="G20" s="80" t="s">
        <v>312</v>
      </c>
      <c r="H20" s="69" t="s">
        <v>278</v>
      </c>
      <c r="I20" s="477">
        <v>865286</v>
      </c>
      <c r="J20" s="472">
        <v>631286</v>
      </c>
      <c r="K20" s="472">
        <v>0</v>
      </c>
      <c r="L20" s="472">
        <v>213374</v>
      </c>
      <c r="M20" s="472">
        <v>12626</v>
      </c>
      <c r="N20" s="472">
        <v>8000</v>
      </c>
      <c r="O20" s="473">
        <v>2</v>
      </c>
      <c r="P20" s="474">
        <v>2</v>
      </c>
      <c r="Q20" s="483">
        <v>0</v>
      </c>
      <c r="R20" s="485">
        <f t="shared" si="23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24"/>
        <v>0</v>
      </c>
      <c r="Y20" s="475">
        <v>0</v>
      </c>
      <c r="Z20" s="475">
        <v>0</v>
      </c>
      <c r="AA20" s="475">
        <v>0</v>
      </c>
      <c r="AB20" s="475">
        <f t="shared" si="25"/>
        <v>0</v>
      </c>
      <c r="AC20" s="475">
        <f t="shared" si="26"/>
        <v>0</v>
      </c>
      <c r="AD20" s="70">
        <f t="shared" si="27"/>
        <v>0</v>
      </c>
      <c r="AE20" s="70">
        <f t="shared" si="28"/>
        <v>0</v>
      </c>
      <c r="AF20" s="475">
        <v>0</v>
      </c>
      <c r="AG20" s="475">
        <v>0</v>
      </c>
      <c r="AH20" s="475">
        <f t="shared" si="29"/>
        <v>0</v>
      </c>
      <c r="AI20" s="475">
        <f t="shared" si="30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 t="shared" si="17"/>
        <v>0</v>
      </c>
      <c r="AS20" s="476">
        <f t="shared" si="18"/>
        <v>0</v>
      </c>
      <c r="AT20" s="478">
        <f t="shared" si="19"/>
        <v>0</v>
      </c>
      <c r="AU20" s="484">
        <f>I20+AI20</f>
        <v>865286</v>
      </c>
      <c r="AV20" s="475">
        <f>J20+X20</f>
        <v>631286</v>
      </c>
      <c r="AW20" s="475">
        <f>K20+AB20</f>
        <v>0</v>
      </c>
      <c r="AX20" s="475">
        <f t="shared" si="31"/>
        <v>213374</v>
      </c>
      <c r="AY20" s="475">
        <f t="shared" si="31"/>
        <v>12626</v>
      </c>
      <c r="AZ20" s="475">
        <f>N20+AH20</f>
        <v>8000</v>
      </c>
      <c r="BA20" s="476">
        <f>O20+AT20</f>
        <v>2</v>
      </c>
      <c r="BB20" s="476">
        <f t="shared" si="32"/>
        <v>2</v>
      </c>
      <c r="BC20" s="478">
        <f t="shared" si="32"/>
        <v>0</v>
      </c>
    </row>
    <row r="21" spans="1:55" ht="14.1" customHeight="1" x14ac:dyDescent="0.2">
      <c r="A21" s="68">
        <v>3</v>
      </c>
      <c r="B21" s="65">
        <v>2442</v>
      </c>
      <c r="C21" s="66">
        <v>600079066</v>
      </c>
      <c r="D21" s="65">
        <v>72742101</v>
      </c>
      <c r="E21" s="67" t="s">
        <v>569</v>
      </c>
      <c r="F21" s="68">
        <v>3141</v>
      </c>
      <c r="G21" s="67" t="s">
        <v>315</v>
      </c>
      <c r="H21" s="69" t="s">
        <v>278</v>
      </c>
      <c r="I21" s="477">
        <v>1211031</v>
      </c>
      <c r="J21" s="472">
        <v>886949</v>
      </c>
      <c r="K21" s="472">
        <v>0</v>
      </c>
      <c r="L21" s="472">
        <v>299789</v>
      </c>
      <c r="M21" s="472">
        <v>17739</v>
      </c>
      <c r="N21" s="472">
        <v>6554</v>
      </c>
      <c r="O21" s="473">
        <v>2.79</v>
      </c>
      <c r="P21" s="474">
        <v>0</v>
      </c>
      <c r="Q21" s="483">
        <v>2.79</v>
      </c>
      <c r="R21" s="485">
        <f t="shared" si="23"/>
        <v>0</v>
      </c>
      <c r="S21" s="475">
        <v>0</v>
      </c>
      <c r="T21" s="755">
        <v>-1996</v>
      </c>
      <c r="U21" s="475">
        <v>0</v>
      </c>
      <c r="V21" s="475">
        <v>0</v>
      </c>
      <c r="W21" s="475">
        <v>0</v>
      </c>
      <c r="X21" s="475">
        <f t="shared" si="24"/>
        <v>-1996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-1996</v>
      </c>
      <c r="AD21" s="70">
        <f t="shared" si="27"/>
        <v>-675</v>
      </c>
      <c r="AE21" s="70">
        <f t="shared" si="28"/>
        <v>-40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-2711</v>
      </c>
      <c r="AJ21" s="476">
        <v>0</v>
      </c>
      <c r="AK21" s="476">
        <v>0</v>
      </c>
      <c r="AL21" s="476">
        <v>0</v>
      </c>
      <c r="AM21" s="476">
        <v>0</v>
      </c>
      <c r="AN21" s="756">
        <v>-1.0000000000000009E-2</v>
      </c>
      <c r="AO21" s="476">
        <v>0</v>
      </c>
      <c r="AP21" s="476">
        <v>0</v>
      </c>
      <c r="AQ21" s="476">
        <v>0</v>
      </c>
      <c r="AR21" s="476">
        <f t="shared" si="17"/>
        <v>0</v>
      </c>
      <c r="AS21" s="476">
        <f t="shared" si="18"/>
        <v>-1.0000000000000009E-2</v>
      </c>
      <c r="AT21" s="478">
        <f t="shared" si="19"/>
        <v>-1.0000000000000009E-2</v>
      </c>
      <c r="AU21" s="484">
        <f>I21+AI21</f>
        <v>1208320</v>
      </c>
      <c r="AV21" s="475">
        <f>J21+X21</f>
        <v>884953</v>
      </c>
      <c r="AW21" s="475">
        <f>K21+AB21</f>
        <v>0</v>
      </c>
      <c r="AX21" s="475">
        <f t="shared" si="31"/>
        <v>299114</v>
      </c>
      <c r="AY21" s="475">
        <f t="shared" si="31"/>
        <v>17699</v>
      </c>
      <c r="AZ21" s="475">
        <f>N21+AH21</f>
        <v>6554</v>
      </c>
      <c r="BA21" s="476">
        <f>O21+AT21</f>
        <v>2.7800000000000002</v>
      </c>
      <c r="BB21" s="476">
        <f t="shared" si="32"/>
        <v>0</v>
      </c>
      <c r="BC21" s="478">
        <f t="shared" si="32"/>
        <v>2.7800000000000002</v>
      </c>
    </row>
    <row r="22" spans="1:55" ht="14.1" customHeight="1" x14ac:dyDescent="0.2">
      <c r="A22" s="74">
        <v>3</v>
      </c>
      <c r="B22" s="71">
        <v>2442</v>
      </c>
      <c r="C22" s="72">
        <v>600079066</v>
      </c>
      <c r="D22" s="71">
        <v>72742101</v>
      </c>
      <c r="E22" s="73" t="s">
        <v>570</v>
      </c>
      <c r="F22" s="74"/>
      <c r="G22" s="73"/>
      <c r="H22" s="75"/>
      <c r="I22" s="76">
        <v>10463777</v>
      </c>
      <c r="J22" s="77">
        <v>7631485</v>
      </c>
      <c r="K22" s="77">
        <v>3600</v>
      </c>
      <c r="L22" s="77">
        <v>2580658</v>
      </c>
      <c r="M22" s="77">
        <v>152630</v>
      </c>
      <c r="N22" s="77">
        <v>95404</v>
      </c>
      <c r="O22" s="78">
        <v>18.3322</v>
      </c>
      <c r="P22" s="78">
        <v>12</v>
      </c>
      <c r="Q22" s="718">
        <v>6.3322000000000003</v>
      </c>
      <c r="R22" s="76">
        <f t="shared" ref="R22:BC22" si="33">SUM(R19:R21)</f>
        <v>0</v>
      </c>
      <c r="S22" s="77">
        <f t="shared" si="33"/>
        <v>0</v>
      </c>
      <c r="T22" s="77">
        <f t="shared" si="33"/>
        <v>-1996</v>
      </c>
      <c r="U22" s="77">
        <f t="shared" si="33"/>
        <v>0</v>
      </c>
      <c r="V22" s="77">
        <f t="shared" si="33"/>
        <v>0</v>
      </c>
      <c r="W22" s="77">
        <f t="shared" si="33"/>
        <v>0</v>
      </c>
      <c r="X22" s="77">
        <f t="shared" si="33"/>
        <v>-1996</v>
      </c>
      <c r="Y22" s="77">
        <f t="shared" si="33"/>
        <v>0</v>
      </c>
      <c r="Z22" s="77">
        <f t="shared" si="33"/>
        <v>0</v>
      </c>
      <c r="AA22" s="77">
        <f t="shared" si="33"/>
        <v>0</v>
      </c>
      <c r="AB22" s="77">
        <f t="shared" si="33"/>
        <v>0</v>
      </c>
      <c r="AC22" s="77">
        <f t="shared" si="33"/>
        <v>-1996</v>
      </c>
      <c r="AD22" s="77">
        <f t="shared" si="33"/>
        <v>-675</v>
      </c>
      <c r="AE22" s="77">
        <f t="shared" si="33"/>
        <v>-40</v>
      </c>
      <c r="AF22" s="77">
        <f t="shared" si="33"/>
        <v>0</v>
      </c>
      <c r="AG22" s="77">
        <f t="shared" si="33"/>
        <v>0</v>
      </c>
      <c r="AH22" s="77">
        <f t="shared" si="33"/>
        <v>0</v>
      </c>
      <c r="AI22" s="77">
        <f t="shared" si="33"/>
        <v>-2711</v>
      </c>
      <c r="AJ22" s="78">
        <f t="shared" si="33"/>
        <v>0</v>
      </c>
      <c r="AK22" s="78">
        <f t="shared" si="33"/>
        <v>0</v>
      </c>
      <c r="AL22" s="78">
        <f t="shared" si="33"/>
        <v>0</v>
      </c>
      <c r="AM22" s="78">
        <f t="shared" si="33"/>
        <v>0</v>
      </c>
      <c r="AN22" s="78">
        <f t="shared" si="33"/>
        <v>-1.0000000000000009E-2</v>
      </c>
      <c r="AO22" s="78">
        <f t="shared" si="33"/>
        <v>0</v>
      </c>
      <c r="AP22" s="78">
        <f t="shared" si="33"/>
        <v>0</v>
      </c>
      <c r="AQ22" s="78">
        <f t="shared" si="33"/>
        <v>0</v>
      </c>
      <c r="AR22" s="78">
        <f t="shared" si="33"/>
        <v>0</v>
      </c>
      <c r="AS22" s="78">
        <f t="shared" si="33"/>
        <v>-1.0000000000000009E-2</v>
      </c>
      <c r="AT22" s="79">
        <f t="shared" si="33"/>
        <v>-1.0000000000000009E-2</v>
      </c>
      <c r="AU22" s="433">
        <f t="shared" si="33"/>
        <v>10461066</v>
      </c>
      <c r="AV22" s="77">
        <f t="shared" si="33"/>
        <v>7629489</v>
      </c>
      <c r="AW22" s="77">
        <f t="shared" si="33"/>
        <v>3600</v>
      </c>
      <c r="AX22" s="77">
        <f t="shared" si="33"/>
        <v>2579983</v>
      </c>
      <c r="AY22" s="77">
        <f t="shared" si="33"/>
        <v>152590</v>
      </c>
      <c r="AZ22" s="77">
        <f t="shared" si="33"/>
        <v>95404</v>
      </c>
      <c r="BA22" s="78">
        <f t="shared" si="33"/>
        <v>18.322199999999999</v>
      </c>
      <c r="BB22" s="78">
        <f t="shared" si="33"/>
        <v>12</v>
      </c>
      <c r="BC22" s="79">
        <f t="shared" si="33"/>
        <v>6.3222000000000005</v>
      </c>
    </row>
    <row r="23" spans="1:55" ht="14.1" customHeight="1" x14ac:dyDescent="0.2">
      <c r="A23" s="68">
        <v>4</v>
      </c>
      <c r="B23" s="65">
        <v>2437</v>
      </c>
      <c r="C23" s="66">
        <v>600079074</v>
      </c>
      <c r="D23" s="65">
        <v>72743221</v>
      </c>
      <c r="E23" s="67" t="s">
        <v>571</v>
      </c>
      <c r="F23" s="68">
        <v>3111</v>
      </c>
      <c r="G23" s="67" t="s">
        <v>311</v>
      </c>
      <c r="H23" s="69" t="s">
        <v>277</v>
      </c>
      <c r="I23" s="477">
        <v>13817867</v>
      </c>
      <c r="J23" s="643">
        <v>10049866</v>
      </c>
      <c r="K23" s="643">
        <v>0</v>
      </c>
      <c r="L23" s="472">
        <v>3396854</v>
      </c>
      <c r="M23" s="472">
        <v>200997</v>
      </c>
      <c r="N23" s="472">
        <v>170150</v>
      </c>
      <c r="O23" s="473">
        <v>22.118600000000001</v>
      </c>
      <c r="P23" s="473">
        <v>16.475000000000001</v>
      </c>
      <c r="Q23" s="483">
        <v>5.6435999999999993</v>
      </c>
      <c r="R23" s="485">
        <f t="shared" ref="R23:R26" si="34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ref="X23:X26" si="35">SUM(R23:W23)</f>
        <v>0</v>
      </c>
      <c r="Y23" s="475">
        <v>0</v>
      </c>
      <c r="Z23" s="475">
        <v>0</v>
      </c>
      <c r="AA23" s="475">
        <v>0</v>
      </c>
      <c r="AB23" s="475">
        <f t="shared" ref="AB23:AB26" si="36">SUM(Y23:AA23)</f>
        <v>0</v>
      </c>
      <c r="AC23" s="475">
        <f t="shared" ref="AC23:AC26" si="37">X23+AB23</f>
        <v>0</v>
      </c>
      <c r="AD23" s="70">
        <f t="shared" ref="AD23:AD26" si="38">ROUND((X23+Y23+Z23)*33.8%,0)</f>
        <v>0</v>
      </c>
      <c r="AE23" s="70">
        <f t="shared" ref="AE23:AE26" si="39">ROUND(X23*2%,0)</f>
        <v>0</v>
      </c>
      <c r="AF23" s="475">
        <v>0</v>
      </c>
      <c r="AG23" s="475">
        <v>0</v>
      </c>
      <c r="AH23" s="475">
        <f t="shared" ref="AH23:AH26" si="40">SUM(AF23:AG23)</f>
        <v>0</v>
      </c>
      <c r="AI23" s="475">
        <f t="shared" ref="AI23:AI26" si="41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 t="shared" si="17"/>
        <v>0</v>
      </c>
      <c r="AS23" s="476">
        <f t="shared" si="18"/>
        <v>0</v>
      </c>
      <c r="AT23" s="478">
        <f t="shared" si="19"/>
        <v>0</v>
      </c>
      <c r="AU23" s="484">
        <f>I23+AI23</f>
        <v>13817867</v>
      </c>
      <c r="AV23" s="475">
        <f>J23+X23</f>
        <v>10049866</v>
      </c>
      <c r="AW23" s="475">
        <f>K23+AB23</f>
        <v>0</v>
      </c>
      <c r="AX23" s="475">
        <f t="shared" ref="AX23:AY26" si="42">L23+AD23</f>
        <v>3396854</v>
      </c>
      <c r="AY23" s="475">
        <f t="shared" si="42"/>
        <v>200997</v>
      </c>
      <c r="AZ23" s="475">
        <f>N23+AH23</f>
        <v>170150</v>
      </c>
      <c r="BA23" s="476">
        <f>O23+AT23</f>
        <v>22.118600000000001</v>
      </c>
      <c r="BB23" s="476">
        <f t="shared" ref="BB23:BC26" si="43">P23+AR23</f>
        <v>16.475000000000001</v>
      </c>
      <c r="BC23" s="478">
        <f t="shared" si="43"/>
        <v>5.6435999999999993</v>
      </c>
    </row>
    <row r="24" spans="1:55" ht="14.1" customHeight="1" x14ac:dyDescent="0.2">
      <c r="A24" s="68">
        <v>4</v>
      </c>
      <c r="B24" s="65">
        <v>2437</v>
      </c>
      <c r="C24" s="66">
        <v>600079074</v>
      </c>
      <c r="D24" s="65">
        <v>72743221</v>
      </c>
      <c r="E24" s="67" t="s">
        <v>571</v>
      </c>
      <c r="F24" s="68">
        <v>3111</v>
      </c>
      <c r="G24" s="44" t="s">
        <v>313</v>
      </c>
      <c r="H24" s="69" t="s">
        <v>277</v>
      </c>
      <c r="I24" s="477">
        <v>852249</v>
      </c>
      <c r="J24" s="472">
        <v>627576</v>
      </c>
      <c r="K24" s="472">
        <v>0</v>
      </c>
      <c r="L24" s="472">
        <v>212121</v>
      </c>
      <c r="M24" s="472">
        <v>12552</v>
      </c>
      <c r="N24" s="472">
        <v>0</v>
      </c>
      <c r="O24" s="473">
        <v>2</v>
      </c>
      <c r="P24" s="473">
        <v>2</v>
      </c>
      <c r="Q24" s="483">
        <v>0</v>
      </c>
      <c r="R24" s="485">
        <f t="shared" si="34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35"/>
        <v>0</v>
      </c>
      <c r="Y24" s="475">
        <v>0</v>
      </c>
      <c r="Z24" s="475">
        <v>0</v>
      </c>
      <c r="AA24" s="475">
        <v>0</v>
      </c>
      <c r="AB24" s="475">
        <f t="shared" si="36"/>
        <v>0</v>
      </c>
      <c r="AC24" s="475">
        <f t="shared" si="37"/>
        <v>0</v>
      </c>
      <c r="AD24" s="70">
        <f t="shared" si="38"/>
        <v>0</v>
      </c>
      <c r="AE24" s="70">
        <f t="shared" si="39"/>
        <v>0</v>
      </c>
      <c r="AF24" s="475">
        <v>0</v>
      </c>
      <c r="AG24" s="475">
        <v>0</v>
      </c>
      <c r="AH24" s="475">
        <f t="shared" si="40"/>
        <v>0</v>
      </c>
      <c r="AI24" s="475">
        <f t="shared" si="41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 t="shared" si="17"/>
        <v>0</v>
      </c>
      <c r="AS24" s="476">
        <f t="shared" si="18"/>
        <v>0</v>
      </c>
      <c r="AT24" s="478">
        <f t="shared" si="19"/>
        <v>0</v>
      </c>
      <c r="AU24" s="484">
        <f>I24+AI24</f>
        <v>852249</v>
      </c>
      <c r="AV24" s="475">
        <f>J24+X24</f>
        <v>627576</v>
      </c>
      <c r="AW24" s="475">
        <f>K24+AB24</f>
        <v>0</v>
      </c>
      <c r="AX24" s="475">
        <f t="shared" si="42"/>
        <v>212121</v>
      </c>
      <c r="AY24" s="475">
        <f t="shared" si="42"/>
        <v>12552</v>
      </c>
      <c r="AZ24" s="475">
        <f>N24+AH24</f>
        <v>0</v>
      </c>
      <c r="BA24" s="476">
        <f>O24+AT24</f>
        <v>2</v>
      </c>
      <c r="BB24" s="476">
        <f t="shared" si="43"/>
        <v>2</v>
      </c>
      <c r="BC24" s="478">
        <f t="shared" si="43"/>
        <v>0</v>
      </c>
    </row>
    <row r="25" spans="1:55" ht="14.1" customHeight="1" x14ac:dyDescent="0.2">
      <c r="A25" s="68">
        <v>4</v>
      </c>
      <c r="B25" s="65">
        <v>2437</v>
      </c>
      <c r="C25" s="66">
        <v>600079074</v>
      </c>
      <c r="D25" s="65">
        <v>72743221</v>
      </c>
      <c r="E25" s="67" t="s">
        <v>571</v>
      </c>
      <c r="F25" s="68">
        <v>3111</v>
      </c>
      <c r="G25" s="80" t="s">
        <v>312</v>
      </c>
      <c r="H25" s="69" t="s">
        <v>278</v>
      </c>
      <c r="I25" s="477">
        <v>470470</v>
      </c>
      <c r="J25" s="472">
        <v>346443</v>
      </c>
      <c r="K25" s="472">
        <v>0</v>
      </c>
      <c r="L25" s="472">
        <v>117098</v>
      </c>
      <c r="M25" s="472">
        <v>6929</v>
      </c>
      <c r="N25" s="472">
        <v>0</v>
      </c>
      <c r="O25" s="473">
        <v>1</v>
      </c>
      <c r="P25" s="474">
        <v>1</v>
      </c>
      <c r="Q25" s="483">
        <v>0</v>
      </c>
      <c r="R25" s="485">
        <f t="shared" si="34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35"/>
        <v>0</v>
      </c>
      <c r="Y25" s="475">
        <v>0</v>
      </c>
      <c r="Z25" s="475">
        <v>0</v>
      </c>
      <c r="AA25" s="475">
        <v>0</v>
      </c>
      <c r="AB25" s="475">
        <f t="shared" si="36"/>
        <v>0</v>
      </c>
      <c r="AC25" s="475">
        <f t="shared" si="37"/>
        <v>0</v>
      </c>
      <c r="AD25" s="70">
        <f t="shared" si="38"/>
        <v>0</v>
      </c>
      <c r="AE25" s="70">
        <f t="shared" si="39"/>
        <v>0</v>
      </c>
      <c r="AF25" s="475">
        <v>0</v>
      </c>
      <c r="AG25" s="475">
        <v>0</v>
      </c>
      <c r="AH25" s="475">
        <f t="shared" si="40"/>
        <v>0</v>
      </c>
      <c r="AI25" s="475">
        <f t="shared" si="41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 t="shared" si="17"/>
        <v>0</v>
      </c>
      <c r="AS25" s="476">
        <f t="shared" si="18"/>
        <v>0</v>
      </c>
      <c r="AT25" s="478">
        <f t="shared" si="19"/>
        <v>0</v>
      </c>
      <c r="AU25" s="484">
        <f>I25+AI25</f>
        <v>470470</v>
      </c>
      <c r="AV25" s="475">
        <f>J25+X25</f>
        <v>346443</v>
      </c>
      <c r="AW25" s="475">
        <f>K25+AB25</f>
        <v>0</v>
      </c>
      <c r="AX25" s="475">
        <f t="shared" si="42"/>
        <v>117098</v>
      </c>
      <c r="AY25" s="475">
        <f t="shared" si="42"/>
        <v>6929</v>
      </c>
      <c r="AZ25" s="475">
        <f>N25+AH25</f>
        <v>0</v>
      </c>
      <c r="BA25" s="476">
        <f>O25+AT25</f>
        <v>1</v>
      </c>
      <c r="BB25" s="476">
        <f t="shared" si="43"/>
        <v>1</v>
      </c>
      <c r="BC25" s="478">
        <f t="shared" si="43"/>
        <v>0</v>
      </c>
    </row>
    <row r="26" spans="1:55" ht="14.1" customHeight="1" x14ac:dyDescent="0.2">
      <c r="A26" s="68">
        <v>4</v>
      </c>
      <c r="B26" s="65">
        <v>2437</v>
      </c>
      <c r="C26" s="66">
        <v>600079074</v>
      </c>
      <c r="D26" s="65">
        <v>72743221</v>
      </c>
      <c r="E26" s="67" t="s">
        <v>571</v>
      </c>
      <c r="F26" s="68">
        <v>3141</v>
      </c>
      <c r="G26" s="67" t="s">
        <v>315</v>
      </c>
      <c r="H26" s="69" t="s">
        <v>278</v>
      </c>
      <c r="I26" s="477">
        <v>1635193</v>
      </c>
      <c r="J26" s="472">
        <v>1197285</v>
      </c>
      <c r="K26" s="472">
        <v>0</v>
      </c>
      <c r="L26" s="472">
        <v>404682</v>
      </c>
      <c r="M26" s="472">
        <v>23946</v>
      </c>
      <c r="N26" s="472">
        <v>9280</v>
      </c>
      <c r="O26" s="473">
        <v>3.77</v>
      </c>
      <c r="P26" s="474">
        <v>0</v>
      </c>
      <c r="Q26" s="483">
        <v>3.77</v>
      </c>
      <c r="R26" s="485">
        <f t="shared" si="34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35"/>
        <v>0</v>
      </c>
      <c r="Y26" s="475">
        <v>0</v>
      </c>
      <c r="Z26" s="475">
        <v>0</v>
      </c>
      <c r="AA26" s="475">
        <v>0</v>
      </c>
      <c r="AB26" s="475">
        <f t="shared" si="36"/>
        <v>0</v>
      </c>
      <c r="AC26" s="475">
        <f t="shared" si="37"/>
        <v>0</v>
      </c>
      <c r="AD26" s="70">
        <f t="shared" si="38"/>
        <v>0</v>
      </c>
      <c r="AE26" s="70">
        <f t="shared" si="39"/>
        <v>0</v>
      </c>
      <c r="AF26" s="475">
        <v>0</v>
      </c>
      <c r="AG26" s="475">
        <v>0</v>
      </c>
      <c r="AH26" s="475">
        <f t="shared" si="40"/>
        <v>0</v>
      </c>
      <c r="AI26" s="475">
        <f t="shared" si="41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si="17"/>
        <v>0</v>
      </c>
      <c r="AS26" s="476">
        <f t="shared" si="18"/>
        <v>0</v>
      </c>
      <c r="AT26" s="478">
        <f t="shared" si="19"/>
        <v>0</v>
      </c>
      <c r="AU26" s="484">
        <f>I26+AI26</f>
        <v>1635193</v>
      </c>
      <c r="AV26" s="475">
        <f>J26+X26</f>
        <v>1197285</v>
      </c>
      <c r="AW26" s="475">
        <f>K26+AB26</f>
        <v>0</v>
      </c>
      <c r="AX26" s="475">
        <f t="shared" si="42"/>
        <v>404682</v>
      </c>
      <c r="AY26" s="475">
        <f t="shared" si="42"/>
        <v>23946</v>
      </c>
      <c r="AZ26" s="475">
        <f>N26+AH26</f>
        <v>9280</v>
      </c>
      <c r="BA26" s="476">
        <f>O26+AT26</f>
        <v>3.77</v>
      </c>
      <c r="BB26" s="476">
        <f t="shared" si="43"/>
        <v>0</v>
      </c>
      <c r="BC26" s="478">
        <f t="shared" si="43"/>
        <v>3.77</v>
      </c>
    </row>
    <row r="27" spans="1:55" ht="14.1" customHeight="1" x14ac:dyDescent="0.2">
      <c r="A27" s="74">
        <v>4</v>
      </c>
      <c r="B27" s="71">
        <v>2437</v>
      </c>
      <c r="C27" s="72">
        <v>600079074</v>
      </c>
      <c r="D27" s="71">
        <v>72743221</v>
      </c>
      <c r="E27" s="73" t="s">
        <v>572</v>
      </c>
      <c r="F27" s="74"/>
      <c r="G27" s="73"/>
      <c r="H27" s="75"/>
      <c r="I27" s="76">
        <v>16775779</v>
      </c>
      <c r="J27" s="77">
        <v>12221170</v>
      </c>
      <c r="K27" s="77">
        <v>0</v>
      </c>
      <c r="L27" s="77">
        <v>4130755</v>
      </c>
      <c r="M27" s="77">
        <v>244424</v>
      </c>
      <c r="N27" s="77">
        <v>179430</v>
      </c>
      <c r="O27" s="78">
        <v>28.8886</v>
      </c>
      <c r="P27" s="78">
        <v>19.475000000000001</v>
      </c>
      <c r="Q27" s="718">
        <v>9.4135999999999989</v>
      </c>
      <c r="R27" s="76">
        <f t="shared" ref="R27:BC27" si="44">SUM(R23:R26)</f>
        <v>0</v>
      </c>
      <c r="S27" s="77">
        <f t="shared" si="44"/>
        <v>0</v>
      </c>
      <c r="T27" s="77">
        <f t="shared" si="44"/>
        <v>0</v>
      </c>
      <c r="U27" s="77">
        <f t="shared" si="44"/>
        <v>0</v>
      </c>
      <c r="V27" s="77">
        <f t="shared" si="44"/>
        <v>0</v>
      </c>
      <c r="W27" s="77">
        <f t="shared" si="44"/>
        <v>0</v>
      </c>
      <c r="X27" s="77">
        <f t="shared" si="44"/>
        <v>0</v>
      </c>
      <c r="Y27" s="77">
        <f t="shared" si="44"/>
        <v>0</v>
      </c>
      <c r="Z27" s="77">
        <f t="shared" si="44"/>
        <v>0</v>
      </c>
      <c r="AA27" s="77">
        <f t="shared" si="44"/>
        <v>0</v>
      </c>
      <c r="AB27" s="77">
        <f t="shared" si="44"/>
        <v>0</v>
      </c>
      <c r="AC27" s="77">
        <f t="shared" si="44"/>
        <v>0</v>
      </c>
      <c r="AD27" s="77">
        <f t="shared" si="44"/>
        <v>0</v>
      </c>
      <c r="AE27" s="77">
        <f t="shared" si="44"/>
        <v>0</v>
      </c>
      <c r="AF27" s="77">
        <f t="shared" si="44"/>
        <v>0</v>
      </c>
      <c r="AG27" s="77">
        <f t="shared" si="44"/>
        <v>0</v>
      </c>
      <c r="AH27" s="77">
        <f t="shared" si="44"/>
        <v>0</v>
      </c>
      <c r="AI27" s="77">
        <f t="shared" si="44"/>
        <v>0</v>
      </c>
      <c r="AJ27" s="78">
        <f t="shared" si="44"/>
        <v>0</v>
      </c>
      <c r="AK27" s="78">
        <f t="shared" si="44"/>
        <v>0</v>
      </c>
      <c r="AL27" s="78">
        <f t="shared" si="44"/>
        <v>0</v>
      </c>
      <c r="AM27" s="78">
        <f t="shared" si="44"/>
        <v>0</v>
      </c>
      <c r="AN27" s="78">
        <f t="shared" si="44"/>
        <v>0</v>
      </c>
      <c r="AO27" s="78">
        <f t="shared" si="44"/>
        <v>0</v>
      </c>
      <c r="AP27" s="78">
        <f t="shared" si="44"/>
        <v>0</v>
      </c>
      <c r="AQ27" s="78">
        <f t="shared" si="44"/>
        <v>0</v>
      </c>
      <c r="AR27" s="78">
        <f t="shared" si="44"/>
        <v>0</v>
      </c>
      <c r="AS27" s="78">
        <f t="shared" si="44"/>
        <v>0</v>
      </c>
      <c r="AT27" s="79">
        <f t="shared" si="44"/>
        <v>0</v>
      </c>
      <c r="AU27" s="433">
        <f t="shared" si="44"/>
        <v>16775779</v>
      </c>
      <c r="AV27" s="77">
        <f t="shared" si="44"/>
        <v>12221170</v>
      </c>
      <c r="AW27" s="77">
        <f t="shared" si="44"/>
        <v>0</v>
      </c>
      <c r="AX27" s="77">
        <f t="shared" si="44"/>
        <v>4130755</v>
      </c>
      <c r="AY27" s="77">
        <f t="shared" si="44"/>
        <v>244424</v>
      </c>
      <c r="AZ27" s="77">
        <f t="shared" si="44"/>
        <v>179430</v>
      </c>
      <c r="BA27" s="78">
        <f t="shared" si="44"/>
        <v>28.8886</v>
      </c>
      <c r="BB27" s="78">
        <f t="shared" si="44"/>
        <v>19.475000000000001</v>
      </c>
      <c r="BC27" s="79">
        <f t="shared" si="44"/>
        <v>9.4135999999999989</v>
      </c>
    </row>
    <row r="28" spans="1:55" ht="14.1" customHeight="1" x14ac:dyDescent="0.2">
      <c r="A28" s="68">
        <v>5</v>
      </c>
      <c r="B28" s="65">
        <v>2411</v>
      </c>
      <c r="C28" s="66">
        <v>600079554</v>
      </c>
      <c r="D28" s="65">
        <v>72742666</v>
      </c>
      <c r="E28" s="67" t="s">
        <v>573</v>
      </c>
      <c r="F28" s="68">
        <v>3111</v>
      </c>
      <c r="G28" s="67" t="s">
        <v>311</v>
      </c>
      <c r="H28" s="69" t="s">
        <v>277</v>
      </c>
      <c r="I28" s="477">
        <v>7138539</v>
      </c>
      <c r="J28" s="643">
        <v>5224609</v>
      </c>
      <c r="K28" s="643">
        <v>1248</v>
      </c>
      <c r="L28" s="472">
        <v>1766340</v>
      </c>
      <c r="M28" s="472">
        <v>104492</v>
      </c>
      <c r="N28" s="472">
        <v>41850</v>
      </c>
      <c r="O28" s="473">
        <v>11.2775</v>
      </c>
      <c r="P28" s="473">
        <v>8.4192999999999998</v>
      </c>
      <c r="Q28" s="483">
        <v>2.8582000000000001</v>
      </c>
      <c r="R28" s="485">
        <f t="shared" ref="R28:R30" si="45">Y28*-1</f>
        <v>0</v>
      </c>
      <c r="S28" s="475">
        <v>0</v>
      </c>
      <c r="T28" s="475">
        <v>0</v>
      </c>
      <c r="U28" s="475">
        <v>0</v>
      </c>
      <c r="V28" s="475">
        <v>-33137</v>
      </c>
      <c r="W28" s="475">
        <v>0</v>
      </c>
      <c r="X28" s="475">
        <f t="shared" ref="X28:X30" si="46">SUM(R28:W28)</f>
        <v>-33137</v>
      </c>
      <c r="Y28" s="475">
        <v>0</v>
      </c>
      <c r="Z28" s="475">
        <v>0</v>
      </c>
      <c r="AA28" s="475">
        <v>0</v>
      </c>
      <c r="AB28" s="475">
        <f t="shared" ref="AB28:AB30" si="47">SUM(Y28:AA28)</f>
        <v>0</v>
      </c>
      <c r="AC28" s="475">
        <f t="shared" ref="AC28:AC30" si="48">X28+AB28</f>
        <v>-33137</v>
      </c>
      <c r="AD28" s="70">
        <f t="shared" ref="AD28:AD30" si="49">ROUND((X28+Y28+Z28)*33.8%,0)</f>
        <v>-11200</v>
      </c>
      <c r="AE28" s="70">
        <f t="shared" ref="AE28:AE30" si="50">ROUND(X28*2%,0)</f>
        <v>-663</v>
      </c>
      <c r="AF28" s="475">
        <v>0</v>
      </c>
      <c r="AG28" s="475">
        <v>45000</v>
      </c>
      <c r="AH28" s="475">
        <f t="shared" ref="AH28:AH30" si="51">SUM(AF28:AG28)</f>
        <v>45000</v>
      </c>
      <c r="AI28" s="475">
        <f t="shared" ref="AI28:AI30" si="52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 t="shared" si="17"/>
        <v>0</v>
      </c>
      <c r="AS28" s="476">
        <f t="shared" si="18"/>
        <v>0</v>
      </c>
      <c r="AT28" s="478">
        <f t="shared" si="19"/>
        <v>0</v>
      </c>
      <c r="AU28" s="484">
        <f>I28+AI28</f>
        <v>7138539</v>
      </c>
      <c r="AV28" s="475">
        <f>J28+X28</f>
        <v>5191472</v>
      </c>
      <c r="AW28" s="475">
        <f>K28+AB28</f>
        <v>1248</v>
      </c>
      <c r="AX28" s="475">
        <f t="shared" ref="AX28:AY30" si="53">L28+AD28</f>
        <v>1755140</v>
      </c>
      <c r="AY28" s="475">
        <f t="shared" si="53"/>
        <v>103829</v>
      </c>
      <c r="AZ28" s="475">
        <f>N28+AH28</f>
        <v>86850</v>
      </c>
      <c r="BA28" s="476">
        <f>O28+AT28</f>
        <v>11.2775</v>
      </c>
      <c r="BB28" s="476">
        <f t="shared" ref="BB28:BC30" si="54">P28+AR28</f>
        <v>8.4192999999999998</v>
      </c>
      <c r="BC28" s="478">
        <f t="shared" si="54"/>
        <v>2.8582000000000001</v>
      </c>
    </row>
    <row r="29" spans="1:55" ht="14.1" customHeight="1" x14ac:dyDescent="0.2">
      <c r="A29" s="68">
        <v>5</v>
      </c>
      <c r="B29" s="65">
        <v>2411</v>
      </c>
      <c r="C29" s="66">
        <v>600079554</v>
      </c>
      <c r="D29" s="65">
        <v>72742666</v>
      </c>
      <c r="E29" s="67" t="s">
        <v>573</v>
      </c>
      <c r="F29" s="68">
        <v>3111</v>
      </c>
      <c r="G29" s="67" t="s">
        <v>312</v>
      </c>
      <c r="H29" s="69" t="s">
        <v>278</v>
      </c>
      <c r="I29" s="477">
        <v>117618</v>
      </c>
      <c r="J29" s="472">
        <v>86611</v>
      </c>
      <c r="K29" s="472">
        <v>0</v>
      </c>
      <c r="L29" s="472">
        <v>29275</v>
      </c>
      <c r="M29" s="472">
        <v>1732</v>
      </c>
      <c r="N29" s="472">
        <v>0</v>
      </c>
      <c r="O29" s="473">
        <v>0.25</v>
      </c>
      <c r="P29" s="474">
        <v>0.25</v>
      </c>
      <c r="Q29" s="483">
        <v>0</v>
      </c>
      <c r="R29" s="485">
        <f t="shared" si="45"/>
        <v>0</v>
      </c>
      <c r="S29" s="475">
        <v>-28871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46"/>
        <v>-28871</v>
      </c>
      <c r="Y29" s="475">
        <v>0</v>
      </c>
      <c r="Z29" s="475">
        <v>0</v>
      </c>
      <c r="AA29" s="475">
        <v>0</v>
      </c>
      <c r="AB29" s="475">
        <f t="shared" si="47"/>
        <v>0</v>
      </c>
      <c r="AC29" s="475">
        <f t="shared" si="48"/>
        <v>-28871</v>
      </c>
      <c r="AD29" s="70">
        <f t="shared" si="49"/>
        <v>-9758</v>
      </c>
      <c r="AE29" s="70">
        <f t="shared" si="50"/>
        <v>-577</v>
      </c>
      <c r="AF29" s="475">
        <v>0</v>
      </c>
      <c r="AG29" s="475">
        <v>0</v>
      </c>
      <c r="AH29" s="475">
        <f t="shared" si="51"/>
        <v>0</v>
      </c>
      <c r="AI29" s="475">
        <f t="shared" si="52"/>
        <v>-39206</v>
      </c>
      <c r="AJ29" s="476">
        <v>0</v>
      </c>
      <c r="AK29" s="476">
        <v>0</v>
      </c>
      <c r="AL29" s="476">
        <v>-0.08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 t="shared" si="17"/>
        <v>-0.08</v>
      </c>
      <c r="AS29" s="476">
        <f t="shared" si="18"/>
        <v>0</v>
      </c>
      <c r="AT29" s="478">
        <f t="shared" si="19"/>
        <v>-0.08</v>
      </c>
      <c r="AU29" s="484">
        <f>I29+AI29</f>
        <v>78412</v>
      </c>
      <c r="AV29" s="475">
        <f>J29+X29</f>
        <v>57740</v>
      </c>
      <c r="AW29" s="475">
        <f>K29+AB29</f>
        <v>0</v>
      </c>
      <c r="AX29" s="475">
        <f t="shared" si="53"/>
        <v>19517</v>
      </c>
      <c r="AY29" s="475">
        <f t="shared" si="53"/>
        <v>1155</v>
      </c>
      <c r="AZ29" s="475">
        <f>N29+AH29</f>
        <v>0</v>
      </c>
      <c r="BA29" s="476">
        <f>O29+AT29</f>
        <v>0.16999999999999998</v>
      </c>
      <c r="BB29" s="476">
        <f t="shared" si="54"/>
        <v>0.16999999999999998</v>
      </c>
      <c r="BC29" s="478">
        <f t="shared" si="54"/>
        <v>0</v>
      </c>
    </row>
    <row r="30" spans="1:55" ht="14.1" customHeight="1" x14ac:dyDescent="0.2">
      <c r="A30" s="68">
        <v>5</v>
      </c>
      <c r="B30" s="65">
        <v>2411</v>
      </c>
      <c r="C30" s="66">
        <v>600079554</v>
      </c>
      <c r="D30" s="65">
        <v>72742666</v>
      </c>
      <c r="E30" s="67" t="s">
        <v>573</v>
      </c>
      <c r="F30" s="68">
        <v>3141</v>
      </c>
      <c r="G30" s="67" t="s">
        <v>315</v>
      </c>
      <c r="H30" s="69" t="s">
        <v>278</v>
      </c>
      <c r="I30" s="477">
        <v>1049833</v>
      </c>
      <c r="J30" s="472">
        <v>769101</v>
      </c>
      <c r="K30" s="472">
        <v>0</v>
      </c>
      <c r="L30" s="472">
        <v>259956</v>
      </c>
      <c r="M30" s="472">
        <v>15382</v>
      </c>
      <c r="N30" s="472">
        <v>5394</v>
      </c>
      <c r="O30" s="473">
        <v>2.42</v>
      </c>
      <c r="P30" s="474">
        <v>0</v>
      </c>
      <c r="Q30" s="483">
        <v>2.42</v>
      </c>
      <c r="R30" s="485">
        <f t="shared" si="45"/>
        <v>0</v>
      </c>
      <c r="S30" s="475">
        <v>0</v>
      </c>
      <c r="T30" s="755">
        <v>-7791</v>
      </c>
      <c r="U30" s="475">
        <v>0</v>
      </c>
      <c r="V30" s="475">
        <v>0</v>
      </c>
      <c r="W30" s="475">
        <v>0</v>
      </c>
      <c r="X30" s="475">
        <f t="shared" si="46"/>
        <v>-7791</v>
      </c>
      <c r="Y30" s="475">
        <v>0</v>
      </c>
      <c r="Z30" s="475">
        <v>0</v>
      </c>
      <c r="AA30" s="475">
        <v>0</v>
      </c>
      <c r="AB30" s="475">
        <f t="shared" si="47"/>
        <v>0</v>
      </c>
      <c r="AC30" s="475">
        <f t="shared" si="48"/>
        <v>-7791</v>
      </c>
      <c r="AD30" s="70">
        <f t="shared" si="49"/>
        <v>-2633</v>
      </c>
      <c r="AE30" s="70">
        <f t="shared" si="50"/>
        <v>-156</v>
      </c>
      <c r="AF30" s="475">
        <v>0</v>
      </c>
      <c r="AG30" s="475">
        <v>0</v>
      </c>
      <c r="AH30" s="475">
        <f t="shared" si="51"/>
        <v>0</v>
      </c>
      <c r="AI30" s="475">
        <f t="shared" si="52"/>
        <v>-10580</v>
      </c>
      <c r="AJ30" s="476">
        <v>0</v>
      </c>
      <c r="AK30" s="476">
        <v>0</v>
      </c>
      <c r="AL30" s="476">
        <v>0</v>
      </c>
      <c r="AM30" s="476">
        <v>0</v>
      </c>
      <c r="AN30" s="756">
        <v>-3.0000000000000027E-2</v>
      </c>
      <c r="AO30" s="476">
        <v>0</v>
      </c>
      <c r="AP30" s="476">
        <v>0</v>
      </c>
      <c r="AQ30" s="476">
        <v>0</v>
      </c>
      <c r="AR30" s="476">
        <f t="shared" si="17"/>
        <v>0</v>
      </c>
      <c r="AS30" s="476">
        <f t="shared" si="18"/>
        <v>-3.0000000000000027E-2</v>
      </c>
      <c r="AT30" s="478">
        <f t="shared" si="19"/>
        <v>-3.0000000000000027E-2</v>
      </c>
      <c r="AU30" s="484">
        <f>I30+AI30</f>
        <v>1039253</v>
      </c>
      <c r="AV30" s="475">
        <f>J30+X30</f>
        <v>761310</v>
      </c>
      <c r="AW30" s="475">
        <f>K30+AB30</f>
        <v>0</v>
      </c>
      <c r="AX30" s="475">
        <f t="shared" si="53"/>
        <v>257323</v>
      </c>
      <c r="AY30" s="475">
        <f t="shared" si="53"/>
        <v>15226</v>
      </c>
      <c r="AZ30" s="475">
        <f>N30+AH30</f>
        <v>5394</v>
      </c>
      <c r="BA30" s="476">
        <f>O30+AT30</f>
        <v>2.3899999999999997</v>
      </c>
      <c r="BB30" s="476">
        <f t="shared" si="54"/>
        <v>0</v>
      </c>
      <c r="BC30" s="478">
        <f t="shared" si="54"/>
        <v>2.3899999999999997</v>
      </c>
    </row>
    <row r="31" spans="1:55" ht="14.1" customHeight="1" x14ac:dyDescent="0.2">
      <c r="A31" s="74">
        <v>5</v>
      </c>
      <c r="B31" s="71">
        <v>2411</v>
      </c>
      <c r="C31" s="72">
        <v>600079554</v>
      </c>
      <c r="D31" s="71">
        <v>72742666</v>
      </c>
      <c r="E31" s="73" t="s">
        <v>574</v>
      </c>
      <c r="F31" s="74"/>
      <c r="G31" s="73"/>
      <c r="H31" s="75"/>
      <c r="I31" s="76">
        <v>8305990</v>
      </c>
      <c r="J31" s="77">
        <v>6080321</v>
      </c>
      <c r="K31" s="77">
        <v>1248</v>
      </c>
      <c r="L31" s="77">
        <v>2055571</v>
      </c>
      <c r="M31" s="77">
        <v>121606</v>
      </c>
      <c r="N31" s="77">
        <v>47244</v>
      </c>
      <c r="O31" s="78">
        <v>13.9475</v>
      </c>
      <c r="P31" s="78">
        <v>8.6692999999999998</v>
      </c>
      <c r="Q31" s="718">
        <v>5.2782</v>
      </c>
      <c r="R31" s="76">
        <f t="shared" ref="R31:BC31" si="55">SUM(R28:R30)</f>
        <v>0</v>
      </c>
      <c r="S31" s="77">
        <f t="shared" si="55"/>
        <v>-28871</v>
      </c>
      <c r="T31" s="77">
        <f t="shared" si="55"/>
        <v>-7791</v>
      </c>
      <c r="U31" s="77">
        <f t="shared" si="55"/>
        <v>0</v>
      </c>
      <c r="V31" s="77">
        <f t="shared" si="55"/>
        <v>-33137</v>
      </c>
      <c r="W31" s="77">
        <f t="shared" si="55"/>
        <v>0</v>
      </c>
      <c r="X31" s="77">
        <f t="shared" si="55"/>
        <v>-69799</v>
      </c>
      <c r="Y31" s="77">
        <f t="shared" si="55"/>
        <v>0</v>
      </c>
      <c r="Z31" s="77">
        <f t="shared" si="55"/>
        <v>0</v>
      </c>
      <c r="AA31" s="77">
        <f t="shared" si="55"/>
        <v>0</v>
      </c>
      <c r="AB31" s="77">
        <f t="shared" si="55"/>
        <v>0</v>
      </c>
      <c r="AC31" s="77">
        <f t="shared" si="55"/>
        <v>-69799</v>
      </c>
      <c r="AD31" s="77">
        <f t="shared" si="55"/>
        <v>-23591</v>
      </c>
      <c r="AE31" s="77">
        <f t="shared" si="55"/>
        <v>-1396</v>
      </c>
      <c r="AF31" s="77">
        <f t="shared" si="55"/>
        <v>0</v>
      </c>
      <c r="AG31" s="77">
        <f t="shared" si="55"/>
        <v>45000</v>
      </c>
      <c r="AH31" s="77">
        <f t="shared" si="55"/>
        <v>45000</v>
      </c>
      <c r="AI31" s="77">
        <f t="shared" si="55"/>
        <v>-49786</v>
      </c>
      <c r="AJ31" s="78">
        <f t="shared" si="55"/>
        <v>0</v>
      </c>
      <c r="AK31" s="78">
        <f t="shared" si="55"/>
        <v>0</v>
      </c>
      <c r="AL31" s="78">
        <f t="shared" si="55"/>
        <v>-0.08</v>
      </c>
      <c r="AM31" s="78">
        <f t="shared" si="55"/>
        <v>0</v>
      </c>
      <c r="AN31" s="78">
        <f t="shared" si="55"/>
        <v>-3.0000000000000027E-2</v>
      </c>
      <c r="AO31" s="78">
        <f t="shared" si="55"/>
        <v>0</v>
      </c>
      <c r="AP31" s="78">
        <f t="shared" si="55"/>
        <v>0</v>
      </c>
      <c r="AQ31" s="78">
        <f t="shared" si="55"/>
        <v>0</v>
      </c>
      <c r="AR31" s="78">
        <f t="shared" si="55"/>
        <v>-0.08</v>
      </c>
      <c r="AS31" s="78">
        <f t="shared" si="55"/>
        <v>-3.0000000000000027E-2</v>
      </c>
      <c r="AT31" s="79">
        <f t="shared" si="55"/>
        <v>-0.11000000000000003</v>
      </c>
      <c r="AU31" s="433">
        <f t="shared" si="55"/>
        <v>8256204</v>
      </c>
      <c r="AV31" s="77">
        <f t="shared" si="55"/>
        <v>6010522</v>
      </c>
      <c r="AW31" s="77">
        <f t="shared" si="55"/>
        <v>1248</v>
      </c>
      <c r="AX31" s="77">
        <f t="shared" si="55"/>
        <v>2031980</v>
      </c>
      <c r="AY31" s="77">
        <f t="shared" si="55"/>
        <v>120210</v>
      </c>
      <c r="AZ31" s="77">
        <f t="shared" si="55"/>
        <v>92244</v>
      </c>
      <c r="BA31" s="78">
        <f t="shared" si="55"/>
        <v>13.837499999999999</v>
      </c>
      <c r="BB31" s="78">
        <f t="shared" si="55"/>
        <v>8.5892999999999997</v>
      </c>
      <c r="BC31" s="79">
        <f t="shared" si="55"/>
        <v>5.2481999999999998</v>
      </c>
    </row>
    <row r="32" spans="1:55" ht="14.1" customHeight="1" x14ac:dyDescent="0.2">
      <c r="A32" s="68">
        <v>6</v>
      </c>
      <c r="B32" s="65">
        <v>2407</v>
      </c>
      <c r="C32" s="66">
        <v>600079520</v>
      </c>
      <c r="D32" s="65">
        <v>72741465</v>
      </c>
      <c r="E32" s="67" t="s">
        <v>575</v>
      </c>
      <c r="F32" s="68">
        <v>3111</v>
      </c>
      <c r="G32" s="67" t="s">
        <v>311</v>
      </c>
      <c r="H32" s="69" t="s">
        <v>277</v>
      </c>
      <c r="I32" s="477">
        <v>14367784</v>
      </c>
      <c r="J32" s="643">
        <v>10492352</v>
      </c>
      <c r="K32" s="643">
        <v>22810</v>
      </c>
      <c r="L32" s="472">
        <v>3554125</v>
      </c>
      <c r="M32" s="472">
        <v>209847</v>
      </c>
      <c r="N32" s="472">
        <v>88650</v>
      </c>
      <c r="O32" s="473">
        <v>22.7912</v>
      </c>
      <c r="P32" s="473">
        <v>17.451599999999999</v>
      </c>
      <c r="Q32" s="483">
        <v>5.3395999999999999</v>
      </c>
      <c r="R32" s="485">
        <f t="shared" ref="R32:R34" si="56">Y32*-1</f>
        <v>0</v>
      </c>
      <c r="S32" s="475">
        <v>0</v>
      </c>
      <c r="T32" s="475">
        <v>0</v>
      </c>
      <c r="U32" s="475">
        <v>0</v>
      </c>
      <c r="V32" s="475">
        <v>-103093</v>
      </c>
      <c r="W32" s="475">
        <v>0</v>
      </c>
      <c r="X32" s="475">
        <f t="shared" ref="X32:X34" si="57">SUM(R32:W32)</f>
        <v>-103093</v>
      </c>
      <c r="Y32" s="475">
        <v>0</v>
      </c>
      <c r="Z32" s="475">
        <v>0</v>
      </c>
      <c r="AA32" s="475">
        <v>0</v>
      </c>
      <c r="AB32" s="475">
        <f t="shared" ref="AB32:AB34" si="58">SUM(Y32:AA32)</f>
        <v>0</v>
      </c>
      <c r="AC32" s="475">
        <f t="shared" ref="AC32:AC34" si="59">X32+AB32</f>
        <v>-103093</v>
      </c>
      <c r="AD32" s="70">
        <f t="shared" ref="AD32:AD34" si="60">ROUND((X32+Y32+Z32)*33.8%,0)</f>
        <v>-34845</v>
      </c>
      <c r="AE32" s="70">
        <f t="shared" ref="AE32:AE34" si="61">ROUND(X32*2%,0)</f>
        <v>-2062</v>
      </c>
      <c r="AF32" s="475">
        <v>0</v>
      </c>
      <c r="AG32" s="475">
        <v>140000</v>
      </c>
      <c r="AH32" s="475">
        <f t="shared" ref="AH32:AH34" si="62">SUM(AF32:AG32)</f>
        <v>140000</v>
      </c>
      <c r="AI32" s="475">
        <f t="shared" ref="AI32:AI34" si="63">AC32+AD32+AE32+AH32</f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 t="shared" si="17"/>
        <v>0</v>
      </c>
      <c r="AS32" s="476">
        <f t="shared" si="18"/>
        <v>0</v>
      </c>
      <c r="AT32" s="478">
        <f t="shared" si="19"/>
        <v>0</v>
      </c>
      <c r="AU32" s="484">
        <f>I32+AI32</f>
        <v>14367784</v>
      </c>
      <c r="AV32" s="475">
        <f>J32+X32</f>
        <v>10389259</v>
      </c>
      <c r="AW32" s="475">
        <f>K32+AB32</f>
        <v>22810</v>
      </c>
      <c r="AX32" s="475">
        <f t="shared" ref="AX32:AY34" si="64">L32+AD32</f>
        <v>3519280</v>
      </c>
      <c r="AY32" s="475">
        <f t="shared" si="64"/>
        <v>207785</v>
      </c>
      <c r="AZ32" s="475">
        <f>N32+AH32</f>
        <v>228650</v>
      </c>
      <c r="BA32" s="476">
        <f>O32+AT32</f>
        <v>22.7912</v>
      </c>
      <c r="BB32" s="476">
        <f t="shared" ref="BB32:BC34" si="65">P32+AR32</f>
        <v>17.451599999999999</v>
      </c>
      <c r="BC32" s="478">
        <f t="shared" si="65"/>
        <v>5.3395999999999999</v>
      </c>
    </row>
    <row r="33" spans="1:55" ht="14.1" customHeight="1" x14ac:dyDescent="0.2">
      <c r="A33" s="68">
        <v>6</v>
      </c>
      <c r="B33" s="65">
        <v>2407</v>
      </c>
      <c r="C33" s="66">
        <v>600079520</v>
      </c>
      <c r="D33" s="65">
        <v>72741465</v>
      </c>
      <c r="E33" s="67" t="s">
        <v>575</v>
      </c>
      <c r="F33" s="68">
        <v>3111</v>
      </c>
      <c r="G33" s="80" t="s">
        <v>312</v>
      </c>
      <c r="H33" s="69" t="s">
        <v>278</v>
      </c>
      <c r="I33" s="477">
        <v>571091</v>
      </c>
      <c r="J33" s="472">
        <v>420539</v>
      </c>
      <c r="K33" s="472">
        <v>0</v>
      </c>
      <c r="L33" s="472">
        <v>142142</v>
      </c>
      <c r="M33" s="472">
        <v>8410</v>
      </c>
      <c r="N33" s="472">
        <v>0</v>
      </c>
      <c r="O33" s="473">
        <v>1.29</v>
      </c>
      <c r="P33" s="474">
        <v>1.29</v>
      </c>
      <c r="Q33" s="483">
        <v>0</v>
      </c>
      <c r="R33" s="485">
        <f t="shared" si="56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57"/>
        <v>0</v>
      </c>
      <c r="Y33" s="475">
        <v>0</v>
      </c>
      <c r="Z33" s="475">
        <v>0</v>
      </c>
      <c r="AA33" s="475">
        <v>0</v>
      </c>
      <c r="AB33" s="475">
        <f t="shared" si="58"/>
        <v>0</v>
      </c>
      <c r="AC33" s="475">
        <f t="shared" si="59"/>
        <v>0</v>
      </c>
      <c r="AD33" s="70">
        <f t="shared" si="60"/>
        <v>0</v>
      </c>
      <c r="AE33" s="70">
        <f t="shared" si="61"/>
        <v>0</v>
      </c>
      <c r="AF33" s="475">
        <v>0</v>
      </c>
      <c r="AG33" s="475">
        <v>0</v>
      </c>
      <c r="AH33" s="475">
        <f t="shared" si="62"/>
        <v>0</v>
      </c>
      <c r="AI33" s="475">
        <f t="shared" si="63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si="17"/>
        <v>0</v>
      </c>
      <c r="AS33" s="476">
        <f t="shared" si="18"/>
        <v>0</v>
      </c>
      <c r="AT33" s="478">
        <f t="shared" si="19"/>
        <v>0</v>
      </c>
      <c r="AU33" s="484">
        <f>I33+AI33</f>
        <v>571091</v>
      </c>
      <c r="AV33" s="475">
        <f>J33+X33</f>
        <v>420539</v>
      </c>
      <c r="AW33" s="475">
        <f>K33+AB33</f>
        <v>0</v>
      </c>
      <c r="AX33" s="475">
        <f t="shared" si="64"/>
        <v>142142</v>
      </c>
      <c r="AY33" s="475">
        <f t="shared" si="64"/>
        <v>8410</v>
      </c>
      <c r="AZ33" s="475">
        <f>N33+AH33</f>
        <v>0</v>
      </c>
      <c r="BA33" s="476">
        <f>O33+AT33</f>
        <v>1.29</v>
      </c>
      <c r="BB33" s="476">
        <f t="shared" si="65"/>
        <v>1.29</v>
      </c>
      <c r="BC33" s="478">
        <f t="shared" si="65"/>
        <v>0</v>
      </c>
    </row>
    <row r="34" spans="1:55" ht="14.1" customHeight="1" x14ac:dyDescent="0.2">
      <c r="A34" s="68">
        <v>6</v>
      </c>
      <c r="B34" s="65">
        <v>2407</v>
      </c>
      <c r="C34" s="66">
        <v>600079520</v>
      </c>
      <c r="D34" s="65">
        <v>72741465</v>
      </c>
      <c r="E34" s="67" t="s">
        <v>575</v>
      </c>
      <c r="F34" s="68">
        <v>3141</v>
      </c>
      <c r="G34" s="67" t="s">
        <v>315</v>
      </c>
      <c r="H34" s="69" t="s">
        <v>278</v>
      </c>
      <c r="I34" s="477">
        <v>1952750</v>
      </c>
      <c r="J34" s="472">
        <v>1427158</v>
      </c>
      <c r="K34" s="472">
        <v>2640</v>
      </c>
      <c r="L34" s="472">
        <v>483272</v>
      </c>
      <c r="M34" s="472">
        <v>28544</v>
      </c>
      <c r="N34" s="472">
        <v>11136</v>
      </c>
      <c r="O34" s="473">
        <v>4.49</v>
      </c>
      <c r="P34" s="474">
        <v>0</v>
      </c>
      <c r="Q34" s="483">
        <v>4.49</v>
      </c>
      <c r="R34" s="485">
        <f t="shared" si="56"/>
        <v>0</v>
      </c>
      <c r="S34" s="475">
        <v>0</v>
      </c>
      <c r="T34" s="755">
        <v>-9702</v>
      </c>
      <c r="U34" s="475">
        <v>0</v>
      </c>
      <c r="V34" s="475">
        <v>0</v>
      </c>
      <c r="W34" s="475">
        <v>0</v>
      </c>
      <c r="X34" s="475">
        <f t="shared" si="57"/>
        <v>-9702</v>
      </c>
      <c r="Y34" s="475">
        <v>0</v>
      </c>
      <c r="Z34" s="475">
        <v>0</v>
      </c>
      <c r="AA34" s="475">
        <v>0</v>
      </c>
      <c r="AB34" s="475">
        <f t="shared" si="58"/>
        <v>0</v>
      </c>
      <c r="AC34" s="475">
        <f t="shared" si="59"/>
        <v>-9702</v>
      </c>
      <c r="AD34" s="70">
        <f t="shared" si="60"/>
        <v>-3279</v>
      </c>
      <c r="AE34" s="70">
        <f t="shared" si="61"/>
        <v>-194</v>
      </c>
      <c r="AF34" s="475">
        <v>0</v>
      </c>
      <c r="AG34" s="475">
        <v>0</v>
      </c>
      <c r="AH34" s="475">
        <f t="shared" si="62"/>
        <v>0</v>
      </c>
      <c r="AI34" s="475">
        <f t="shared" si="63"/>
        <v>-13175</v>
      </c>
      <c r="AJ34" s="476">
        <v>0</v>
      </c>
      <c r="AK34" s="476">
        <v>0</v>
      </c>
      <c r="AL34" s="476">
        <v>0</v>
      </c>
      <c r="AM34" s="476">
        <v>0</v>
      </c>
      <c r="AN34" s="756">
        <v>-3.0000000000000027E-2</v>
      </c>
      <c r="AO34" s="476">
        <v>0</v>
      </c>
      <c r="AP34" s="476">
        <v>0</v>
      </c>
      <c r="AQ34" s="476">
        <v>0</v>
      </c>
      <c r="AR34" s="476">
        <f t="shared" si="17"/>
        <v>0</v>
      </c>
      <c r="AS34" s="476">
        <f t="shared" si="18"/>
        <v>-3.0000000000000027E-2</v>
      </c>
      <c r="AT34" s="478">
        <f t="shared" si="19"/>
        <v>-3.0000000000000027E-2</v>
      </c>
      <c r="AU34" s="484">
        <f>I34+AI34</f>
        <v>1939575</v>
      </c>
      <c r="AV34" s="475">
        <f>J34+X34</f>
        <v>1417456</v>
      </c>
      <c r="AW34" s="475">
        <f>K34+AB34</f>
        <v>2640</v>
      </c>
      <c r="AX34" s="475">
        <f t="shared" si="64"/>
        <v>479993</v>
      </c>
      <c r="AY34" s="475">
        <f t="shared" si="64"/>
        <v>28350</v>
      </c>
      <c r="AZ34" s="475">
        <f>N34+AH34</f>
        <v>11136</v>
      </c>
      <c r="BA34" s="476">
        <f>O34+AT34</f>
        <v>4.46</v>
      </c>
      <c r="BB34" s="476">
        <f t="shared" si="65"/>
        <v>0</v>
      </c>
      <c r="BC34" s="478">
        <f t="shared" si="65"/>
        <v>4.46</v>
      </c>
    </row>
    <row r="35" spans="1:55" ht="14.1" customHeight="1" x14ac:dyDescent="0.2">
      <c r="A35" s="74">
        <v>6</v>
      </c>
      <c r="B35" s="71">
        <v>2407</v>
      </c>
      <c r="C35" s="72">
        <v>600079520</v>
      </c>
      <c r="D35" s="71">
        <v>72741465</v>
      </c>
      <c r="E35" s="73" t="s">
        <v>576</v>
      </c>
      <c r="F35" s="74"/>
      <c r="G35" s="73"/>
      <c r="H35" s="75"/>
      <c r="I35" s="76">
        <v>16891625</v>
      </c>
      <c r="J35" s="77">
        <v>12340049</v>
      </c>
      <c r="K35" s="77">
        <v>25450</v>
      </c>
      <c r="L35" s="77">
        <v>4179539</v>
      </c>
      <c r="M35" s="77">
        <v>246801</v>
      </c>
      <c r="N35" s="77">
        <v>99786</v>
      </c>
      <c r="O35" s="78">
        <v>28.571199999999997</v>
      </c>
      <c r="P35" s="78">
        <v>18.741599999999998</v>
      </c>
      <c r="Q35" s="718">
        <v>9.8295999999999992</v>
      </c>
      <c r="R35" s="76">
        <f t="shared" ref="R35:BC35" si="66">SUM(R32:R34)</f>
        <v>0</v>
      </c>
      <c r="S35" s="77">
        <f t="shared" si="66"/>
        <v>0</v>
      </c>
      <c r="T35" s="77">
        <f t="shared" si="66"/>
        <v>-9702</v>
      </c>
      <c r="U35" s="77">
        <f t="shared" si="66"/>
        <v>0</v>
      </c>
      <c r="V35" s="77">
        <f t="shared" si="66"/>
        <v>-103093</v>
      </c>
      <c r="W35" s="77">
        <f t="shared" si="66"/>
        <v>0</v>
      </c>
      <c r="X35" s="77">
        <f t="shared" si="66"/>
        <v>-112795</v>
      </c>
      <c r="Y35" s="77">
        <f t="shared" si="66"/>
        <v>0</v>
      </c>
      <c r="Z35" s="77">
        <f t="shared" si="66"/>
        <v>0</v>
      </c>
      <c r="AA35" s="77">
        <f t="shared" si="66"/>
        <v>0</v>
      </c>
      <c r="AB35" s="77">
        <f t="shared" si="66"/>
        <v>0</v>
      </c>
      <c r="AC35" s="77">
        <f t="shared" si="66"/>
        <v>-112795</v>
      </c>
      <c r="AD35" s="77">
        <f t="shared" si="66"/>
        <v>-38124</v>
      </c>
      <c r="AE35" s="77">
        <f t="shared" si="66"/>
        <v>-2256</v>
      </c>
      <c r="AF35" s="77">
        <f t="shared" si="66"/>
        <v>0</v>
      </c>
      <c r="AG35" s="77">
        <f t="shared" si="66"/>
        <v>140000</v>
      </c>
      <c r="AH35" s="77">
        <f t="shared" si="66"/>
        <v>140000</v>
      </c>
      <c r="AI35" s="77">
        <f t="shared" si="66"/>
        <v>-13175</v>
      </c>
      <c r="AJ35" s="78">
        <f t="shared" si="66"/>
        <v>0</v>
      </c>
      <c r="AK35" s="78">
        <f t="shared" si="66"/>
        <v>0</v>
      </c>
      <c r="AL35" s="78">
        <f t="shared" si="66"/>
        <v>0</v>
      </c>
      <c r="AM35" s="78">
        <f t="shared" si="66"/>
        <v>0</v>
      </c>
      <c r="AN35" s="78">
        <f t="shared" si="66"/>
        <v>-3.0000000000000027E-2</v>
      </c>
      <c r="AO35" s="78">
        <f t="shared" si="66"/>
        <v>0</v>
      </c>
      <c r="AP35" s="78">
        <f t="shared" si="66"/>
        <v>0</v>
      </c>
      <c r="AQ35" s="78">
        <f t="shared" si="66"/>
        <v>0</v>
      </c>
      <c r="AR35" s="78">
        <f t="shared" si="66"/>
        <v>0</v>
      </c>
      <c r="AS35" s="78">
        <f t="shared" si="66"/>
        <v>-3.0000000000000027E-2</v>
      </c>
      <c r="AT35" s="79">
        <f t="shared" si="66"/>
        <v>-3.0000000000000027E-2</v>
      </c>
      <c r="AU35" s="433">
        <f t="shared" si="66"/>
        <v>16878450</v>
      </c>
      <c r="AV35" s="77">
        <f t="shared" si="66"/>
        <v>12227254</v>
      </c>
      <c r="AW35" s="77">
        <f t="shared" si="66"/>
        <v>25450</v>
      </c>
      <c r="AX35" s="77">
        <f t="shared" si="66"/>
        <v>4141415</v>
      </c>
      <c r="AY35" s="77">
        <f t="shared" si="66"/>
        <v>244545</v>
      </c>
      <c r="AZ35" s="77">
        <f t="shared" si="66"/>
        <v>239786</v>
      </c>
      <c r="BA35" s="78">
        <f t="shared" si="66"/>
        <v>28.5412</v>
      </c>
      <c r="BB35" s="78">
        <f t="shared" si="66"/>
        <v>18.741599999999998</v>
      </c>
      <c r="BC35" s="79">
        <f t="shared" si="66"/>
        <v>9.7995999999999999</v>
      </c>
    </row>
    <row r="36" spans="1:55" ht="14.1" customHeight="1" x14ac:dyDescent="0.2">
      <c r="A36" s="68">
        <v>7</v>
      </c>
      <c r="B36" s="65">
        <v>2422</v>
      </c>
      <c r="C36" s="66">
        <v>600079082</v>
      </c>
      <c r="D36" s="65">
        <v>72742585</v>
      </c>
      <c r="E36" s="67" t="s">
        <v>577</v>
      </c>
      <c r="F36" s="68">
        <v>3111</v>
      </c>
      <c r="G36" s="67" t="s">
        <v>311</v>
      </c>
      <c r="H36" s="69" t="s">
        <v>277</v>
      </c>
      <c r="I36" s="477">
        <v>8949779</v>
      </c>
      <c r="J36" s="643">
        <v>6457270</v>
      </c>
      <c r="K36" s="643">
        <v>33600</v>
      </c>
      <c r="L36" s="472">
        <v>2193914</v>
      </c>
      <c r="M36" s="472">
        <v>129145</v>
      </c>
      <c r="N36" s="472">
        <v>135850</v>
      </c>
      <c r="O36" s="473">
        <v>14.338699999999999</v>
      </c>
      <c r="P36" s="473">
        <v>10.8065</v>
      </c>
      <c r="Q36" s="483">
        <v>3.5322000000000005</v>
      </c>
      <c r="R36" s="485">
        <f t="shared" ref="R36:R38" si="67">Y36*-1</f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ref="X36:X38" si="68">SUM(R36:W36)</f>
        <v>0</v>
      </c>
      <c r="Y36" s="475">
        <v>0</v>
      </c>
      <c r="Z36" s="475">
        <v>0</v>
      </c>
      <c r="AA36" s="475">
        <v>0</v>
      </c>
      <c r="AB36" s="475">
        <f t="shared" ref="AB36:AB38" si="69">SUM(Y36:AA36)</f>
        <v>0</v>
      </c>
      <c r="AC36" s="475">
        <f t="shared" ref="AC36:AC38" si="70">X36+AB36</f>
        <v>0</v>
      </c>
      <c r="AD36" s="70">
        <f t="shared" ref="AD36:AD38" si="71">ROUND((X36+Y36+Z36)*33.8%,0)</f>
        <v>0</v>
      </c>
      <c r="AE36" s="70">
        <f t="shared" ref="AE36:AE38" si="72">ROUND(X36*2%,0)</f>
        <v>0</v>
      </c>
      <c r="AF36" s="475">
        <v>0</v>
      </c>
      <c r="AG36" s="475">
        <v>0</v>
      </c>
      <c r="AH36" s="475">
        <f t="shared" ref="AH36:AH38" si="73">SUM(AF36:AG36)</f>
        <v>0</v>
      </c>
      <c r="AI36" s="475">
        <f t="shared" ref="AI36:AI38" si="74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si="17"/>
        <v>0</v>
      </c>
      <c r="AS36" s="476">
        <f t="shared" si="18"/>
        <v>0</v>
      </c>
      <c r="AT36" s="478">
        <f t="shared" si="19"/>
        <v>0</v>
      </c>
      <c r="AU36" s="484">
        <f>I36+AI36</f>
        <v>8949779</v>
      </c>
      <c r="AV36" s="475">
        <f>J36+X36</f>
        <v>6457270</v>
      </c>
      <c r="AW36" s="475">
        <f>K36+AB36</f>
        <v>33600</v>
      </c>
      <c r="AX36" s="475">
        <f t="shared" ref="AX36:AY38" si="75">L36+AD36</f>
        <v>2193914</v>
      </c>
      <c r="AY36" s="475">
        <f t="shared" si="75"/>
        <v>129145</v>
      </c>
      <c r="AZ36" s="475">
        <f>N36+AH36</f>
        <v>135850</v>
      </c>
      <c r="BA36" s="476">
        <f>O36+AT36</f>
        <v>14.338699999999999</v>
      </c>
      <c r="BB36" s="476">
        <f t="shared" ref="BB36:BC38" si="76">P36+AR36</f>
        <v>10.8065</v>
      </c>
      <c r="BC36" s="478">
        <f t="shared" si="76"/>
        <v>3.5322000000000005</v>
      </c>
    </row>
    <row r="37" spans="1:55" ht="14.1" customHeight="1" x14ac:dyDescent="0.2">
      <c r="A37" s="68">
        <v>7</v>
      </c>
      <c r="B37" s="65">
        <v>2422</v>
      </c>
      <c r="C37" s="66">
        <v>600079082</v>
      </c>
      <c r="D37" s="65">
        <v>72742585</v>
      </c>
      <c r="E37" s="67" t="s">
        <v>577</v>
      </c>
      <c r="F37" s="68">
        <v>3111</v>
      </c>
      <c r="G37" s="80" t="s">
        <v>312</v>
      </c>
      <c r="H37" s="69" t="s">
        <v>278</v>
      </c>
      <c r="I37" s="477">
        <v>620761</v>
      </c>
      <c r="J37" s="472">
        <v>457114</v>
      </c>
      <c r="K37" s="472">
        <v>0</v>
      </c>
      <c r="L37" s="472">
        <v>154505</v>
      </c>
      <c r="M37" s="472">
        <v>9142</v>
      </c>
      <c r="N37" s="472">
        <v>0</v>
      </c>
      <c r="O37" s="473">
        <v>1.3199999999999998</v>
      </c>
      <c r="P37" s="474">
        <v>1.3199999999999998</v>
      </c>
      <c r="Q37" s="483">
        <v>0</v>
      </c>
      <c r="R37" s="485">
        <f t="shared" si="67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68"/>
        <v>0</v>
      </c>
      <c r="Y37" s="475">
        <v>0</v>
      </c>
      <c r="Z37" s="475">
        <v>0</v>
      </c>
      <c r="AA37" s="475">
        <v>0</v>
      </c>
      <c r="AB37" s="475">
        <f t="shared" si="69"/>
        <v>0</v>
      </c>
      <c r="AC37" s="475">
        <f t="shared" si="70"/>
        <v>0</v>
      </c>
      <c r="AD37" s="70">
        <f t="shared" si="71"/>
        <v>0</v>
      </c>
      <c r="AE37" s="70">
        <f t="shared" si="72"/>
        <v>0</v>
      </c>
      <c r="AF37" s="475">
        <v>0</v>
      </c>
      <c r="AG37" s="475">
        <v>0</v>
      </c>
      <c r="AH37" s="475">
        <f t="shared" si="73"/>
        <v>0</v>
      </c>
      <c r="AI37" s="475">
        <f t="shared" si="74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 t="shared" si="17"/>
        <v>0</v>
      </c>
      <c r="AS37" s="476">
        <f t="shared" si="18"/>
        <v>0</v>
      </c>
      <c r="AT37" s="478">
        <f t="shared" si="19"/>
        <v>0</v>
      </c>
      <c r="AU37" s="484">
        <f>I37+AI37</f>
        <v>620761</v>
      </c>
      <c r="AV37" s="475">
        <f>J37+X37</f>
        <v>457114</v>
      </c>
      <c r="AW37" s="475">
        <f>K37+AB37</f>
        <v>0</v>
      </c>
      <c r="AX37" s="475">
        <f t="shared" si="75"/>
        <v>154505</v>
      </c>
      <c r="AY37" s="475">
        <f t="shared" si="75"/>
        <v>9142</v>
      </c>
      <c r="AZ37" s="475">
        <f>N37+AH37</f>
        <v>0</v>
      </c>
      <c r="BA37" s="476">
        <f>O37+AT37</f>
        <v>1.3199999999999998</v>
      </c>
      <c r="BB37" s="476">
        <f t="shared" si="76"/>
        <v>1.3199999999999998</v>
      </c>
      <c r="BC37" s="478">
        <f t="shared" si="76"/>
        <v>0</v>
      </c>
    </row>
    <row r="38" spans="1:55" ht="14.1" customHeight="1" x14ac:dyDescent="0.2">
      <c r="A38" s="68">
        <v>7</v>
      </c>
      <c r="B38" s="65">
        <v>2422</v>
      </c>
      <c r="C38" s="66">
        <v>600079082</v>
      </c>
      <c r="D38" s="65">
        <v>72742585</v>
      </c>
      <c r="E38" s="67" t="s">
        <v>577</v>
      </c>
      <c r="F38" s="68">
        <v>3141</v>
      </c>
      <c r="G38" s="67" t="s">
        <v>315</v>
      </c>
      <c r="H38" s="69" t="s">
        <v>278</v>
      </c>
      <c r="I38" s="477">
        <v>1210991</v>
      </c>
      <c r="J38" s="472">
        <v>884949</v>
      </c>
      <c r="K38" s="472">
        <v>2000</v>
      </c>
      <c r="L38" s="472">
        <v>299789</v>
      </c>
      <c r="M38" s="472">
        <v>17699</v>
      </c>
      <c r="N38" s="472">
        <v>6554</v>
      </c>
      <c r="O38" s="473">
        <v>2.79</v>
      </c>
      <c r="P38" s="474">
        <v>0</v>
      </c>
      <c r="Q38" s="483">
        <v>2.79</v>
      </c>
      <c r="R38" s="485">
        <f t="shared" si="67"/>
        <v>0</v>
      </c>
      <c r="S38" s="475">
        <v>0</v>
      </c>
      <c r="T38" s="755">
        <v>-3987</v>
      </c>
      <c r="U38" s="475">
        <v>0</v>
      </c>
      <c r="V38" s="475">
        <v>0</v>
      </c>
      <c r="W38" s="475">
        <v>0</v>
      </c>
      <c r="X38" s="475">
        <f t="shared" si="68"/>
        <v>-3987</v>
      </c>
      <c r="Y38" s="475">
        <v>0</v>
      </c>
      <c r="Z38" s="475">
        <v>0</v>
      </c>
      <c r="AA38" s="475">
        <v>0</v>
      </c>
      <c r="AB38" s="475">
        <f t="shared" si="69"/>
        <v>0</v>
      </c>
      <c r="AC38" s="475">
        <f t="shared" si="70"/>
        <v>-3987</v>
      </c>
      <c r="AD38" s="70">
        <f t="shared" si="71"/>
        <v>-1348</v>
      </c>
      <c r="AE38" s="70">
        <f t="shared" si="72"/>
        <v>-80</v>
      </c>
      <c r="AF38" s="475">
        <v>0</v>
      </c>
      <c r="AG38" s="475">
        <v>0</v>
      </c>
      <c r="AH38" s="475">
        <f t="shared" si="73"/>
        <v>0</v>
      </c>
      <c r="AI38" s="475">
        <f t="shared" si="74"/>
        <v>-5415</v>
      </c>
      <c r="AJ38" s="476">
        <v>0</v>
      </c>
      <c r="AK38" s="476">
        <v>0</v>
      </c>
      <c r="AL38" s="476">
        <v>0</v>
      </c>
      <c r="AM38" s="476">
        <v>0</v>
      </c>
      <c r="AN38" s="756">
        <v>-1.0000000000000009E-2</v>
      </c>
      <c r="AO38" s="476">
        <v>0</v>
      </c>
      <c r="AP38" s="476">
        <v>0</v>
      </c>
      <c r="AQ38" s="476">
        <v>0</v>
      </c>
      <c r="AR38" s="476">
        <f t="shared" si="17"/>
        <v>0</v>
      </c>
      <c r="AS38" s="476">
        <f t="shared" si="18"/>
        <v>-1.0000000000000009E-2</v>
      </c>
      <c r="AT38" s="478">
        <f t="shared" si="19"/>
        <v>-1.0000000000000009E-2</v>
      </c>
      <c r="AU38" s="484">
        <f>I38+AI38</f>
        <v>1205576</v>
      </c>
      <c r="AV38" s="475">
        <f>J38+X38</f>
        <v>880962</v>
      </c>
      <c r="AW38" s="475">
        <f>K38+AB38</f>
        <v>2000</v>
      </c>
      <c r="AX38" s="475">
        <f t="shared" si="75"/>
        <v>298441</v>
      </c>
      <c r="AY38" s="475">
        <f t="shared" si="75"/>
        <v>17619</v>
      </c>
      <c r="AZ38" s="475">
        <f>N38+AH38</f>
        <v>6554</v>
      </c>
      <c r="BA38" s="476">
        <f>O38+AT38</f>
        <v>2.7800000000000002</v>
      </c>
      <c r="BB38" s="476">
        <f t="shared" si="76"/>
        <v>0</v>
      </c>
      <c r="BC38" s="478">
        <f t="shared" si="76"/>
        <v>2.7800000000000002</v>
      </c>
    </row>
    <row r="39" spans="1:55" ht="14.1" customHeight="1" x14ac:dyDescent="0.2">
      <c r="A39" s="74">
        <v>7</v>
      </c>
      <c r="B39" s="71">
        <v>2422</v>
      </c>
      <c r="C39" s="72">
        <v>600079082</v>
      </c>
      <c r="D39" s="71">
        <v>72742585</v>
      </c>
      <c r="E39" s="73" t="s">
        <v>578</v>
      </c>
      <c r="F39" s="74"/>
      <c r="G39" s="73"/>
      <c r="H39" s="75"/>
      <c r="I39" s="76">
        <v>10781531</v>
      </c>
      <c r="J39" s="77">
        <v>7799333</v>
      </c>
      <c r="K39" s="77">
        <v>35600</v>
      </c>
      <c r="L39" s="77">
        <v>2648208</v>
      </c>
      <c r="M39" s="77">
        <v>155986</v>
      </c>
      <c r="N39" s="77">
        <v>142404</v>
      </c>
      <c r="O39" s="78">
        <v>18.448699999999999</v>
      </c>
      <c r="P39" s="78">
        <v>12.1265</v>
      </c>
      <c r="Q39" s="718">
        <v>6.3222000000000005</v>
      </c>
      <c r="R39" s="76">
        <f t="shared" ref="R39:BC39" si="77">SUM(R36:R38)</f>
        <v>0</v>
      </c>
      <c r="S39" s="77">
        <f t="shared" si="77"/>
        <v>0</v>
      </c>
      <c r="T39" s="77">
        <f t="shared" si="77"/>
        <v>-3987</v>
      </c>
      <c r="U39" s="77">
        <f t="shared" si="77"/>
        <v>0</v>
      </c>
      <c r="V39" s="77">
        <f t="shared" si="77"/>
        <v>0</v>
      </c>
      <c r="W39" s="77">
        <f t="shared" si="77"/>
        <v>0</v>
      </c>
      <c r="X39" s="77">
        <f t="shared" si="77"/>
        <v>-3987</v>
      </c>
      <c r="Y39" s="77">
        <f t="shared" si="77"/>
        <v>0</v>
      </c>
      <c r="Z39" s="77">
        <f t="shared" si="77"/>
        <v>0</v>
      </c>
      <c r="AA39" s="77">
        <f t="shared" si="77"/>
        <v>0</v>
      </c>
      <c r="AB39" s="77">
        <f t="shared" si="77"/>
        <v>0</v>
      </c>
      <c r="AC39" s="77">
        <f t="shared" si="77"/>
        <v>-3987</v>
      </c>
      <c r="AD39" s="77">
        <f t="shared" si="77"/>
        <v>-1348</v>
      </c>
      <c r="AE39" s="77">
        <f t="shared" si="77"/>
        <v>-80</v>
      </c>
      <c r="AF39" s="77">
        <f t="shared" si="77"/>
        <v>0</v>
      </c>
      <c r="AG39" s="77">
        <f t="shared" si="77"/>
        <v>0</v>
      </c>
      <c r="AH39" s="77">
        <f t="shared" si="77"/>
        <v>0</v>
      </c>
      <c r="AI39" s="77">
        <f t="shared" si="77"/>
        <v>-5415</v>
      </c>
      <c r="AJ39" s="78">
        <f t="shared" si="77"/>
        <v>0</v>
      </c>
      <c r="AK39" s="78">
        <f t="shared" si="77"/>
        <v>0</v>
      </c>
      <c r="AL39" s="78">
        <f t="shared" si="77"/>
        <v>0</v>
      </c>
      <c r="AM39" s="78">
        <f t="shared" si="77"/>
        <v>0</v>
      </c>
      <c r="AN39" s="78">
        <f t="shared" si="77"/>
        <v>-1.0000000000000009E-2</v>
      </c>
      <c r="AO39" s="78">
        <f t="shared" si="77"/>
        <v>0</v>
      </c>
      <c r="AP39" s="78">
        <f t="shared" si="77"/>
        <v>0</v>
      </c>
      <c r="AQ39" s="78">
        <f t="shared" si="77"/>
        <v>0</v>
      </c>
      <c r="AR39" s="78">
        <f t="shared" si="77"/>
        <v>0</v>
      </c>
      <c r="AS39" s="78">
        <f t="shared" si="77"/>
        <v>-1.0000000000000009E-2</v>
      </c>
      <c r="AT39" s="79">
        <f t="shared" si="77"/>
        <v>-1.0000000000000009E-2</v>
      </c>
      <c r="AU39" s="433">
        <f t="shared" si="77"/>
        <v>10776116</v>
      </c>
      <c r="AV39" s="77">
        <f t="shared" si="77"/>
        <v>7795346</v>
      </c>
      <c r="AW39" s="77">
        <f t="shared" si="77"/>
        <v>35600</v>
      </c>
      <c r="AX39" s="77">
        <f t="shared" si="77"/>
        <v>2646860</v>
      </c>
      <c r="AY39" s="77">
        <f t="shared" si="77"/>
        <v>155906</v>
      </c>
      <c r="AZ39" s="77">
        <f t="shared" si="77"/>
        <v>142404</v>
      </c>
      <c r="BA39" s="78">
        <f t="shared" si="77"/>
        <v>18.438700000000001</v>
      </c>
      <c r="BB39" s="78">
        <f t="shared" si="77"/>
        <v>12.1265</v>
      </c>
      <c r="BC39" s="79">
        <f t="shared" si="77"/>
        <v>6.3122000000000007</v>
      </c>
    </row>
    <row r="40" spans="1:55" ht="14.1" customHeight="1" x14ac:dyDescent="0.2">
      <c r="A40" s="68">
        <v>8</v>
      </c>
      <c r="B40" s="65">
        <v>2427</v>
      </c>
      <c r="C40" s="66">
        <v>600079091</v>
      </c>
      <c r="D40" s="65">
        <v>72741627</v>
      </c>
      <c r="E40" s="67" t="s">
        <v>579</v>
      </c>
      <c r="F40" s="68">
        <v>3111</v>
      </c>
      <c r="G40" s="67" t="s">
        <v>311</v>
      </c>
      <c r="H40" s="69" t="s">
        <v>277</v>
      </c>
      <c r="I40" s="477">
        <v>5393156</v>
      </c>
      <c r="J40" s="643">
        <v>3910387</v>
      </c>
      <c r="K40" s="643">
        <v>0</v>
      </c>
      <c r="L40" s="472">
        <v>1321711</v>
      </c>
      <c r="M40" s="472">
        <v>78208</v>
      </c>
      <c r="N40" s="472">
        <v>82850</v>
      </c>
      <c r="O40" s="473">
        <v>8.3759999999999994</v>
      </c>
      <c r="P40" s="473">
        <v>6.2417999999999996</v>
      </c>
      <c r="Q40" s="483">
        <v>2.1341999999999999</v>
      </c>
      <c r="R40" s="485">
        <f t="shared" ref="R40:R41" si="78">Y40*-1</f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ref="X40:X41" si="79">SUM(R40:W40)</f>
        <v>0</v>
      </c>
      <c r="Y40" s="475">
        <v>0</v>
      </c>
      <c r="Z40" s="475">
        <v>0</v>
      </c>
      <c r="AA40" s="475">
        <v>0</v>
      </c>
      <c r="AB40" s="475">
        <f t="shared" ref="AB40:AB41" si="80">SUM(Y40:AA40)</f>
        <v>0</v>
      </c>
      <c r="AC40" s="475">
        <f t="shared" ref="AC40:AC41" si="81">X40+AB40</f>
        <v>0</v>
      </c>
      <c r="AD40" s="70">
        <f t="shared" ref="AD40:AD41" si="82">ROUND((X40+Y40+Z40)*33.8%,0)</f>
        <v>0</v>
      </c>
      <c r="AE40" s="70">
        <f t="shared" ref="AE40:AE41" si="83">ROUND(X40*2%,0)</f>
        <v>0</v>
      </c>
      <c r="AF40" s="475">
        <v>0</v>
      </c>
      <c r="AG40" s="475">
        <v>0</v>
      </c>
      <c r="AH40" s="475">
        <f t="shared" ref="AH40:AH41" si="84">SUM(AF40:AG40)</f>
        <v>0</v>
      </c>
      <c r="AI40" s="475">
        <f t="shared" ref="AI40:AI41" si="85">AC40+AD40+AE40+AH40</f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 t="shared" si="17"/>
        <v>0</v>
      </c>
      <c r="AS40" s="476">
        <f t="shared" si="18"/>
        <v>0</v>
      </c>
      <c r="AT40" s="478">
        <f t="shared" si="19"/>
        <v>0</v>
      </c>
      <c r="AU40" s="484">
        <f>I40+AI40</f>
        <v>5393156</v>
      </c>
      <c r="AV40" s="475">
        <f>J40+X40</f>
        <v>3910387</v>
      </c>
      <c r="AW40" s="475">
        <f>K40+AB40</f>
        <v>0</v>
      </c>
      <c r="AX40" s="475">
        <f>L40+AD40</f>
        <v>1321711</v>
      </c>
      <c r="AY40" s="475">
        <f>M40+AE40</f>
        <v>78208</v>
      </c>
      <c r="AZ40" s="475">
        <f>N40+AH40</f>
        <v>82850</v>
      </c>
      <c r="BA40" s="476">
        <f>O40+AT40</f>
        <v>8.3759999999999994</v>
      </c>
      <c r="BB40" s="476">
        <f>P40+AR40</f>
        <v>6.2417999999999996</v>
      </c>
      <c r="BC40" s="478">
        <f>Q40+AS40</f>
        <v>2.1341999999999999</v>
      </c>
    </row>
    <row r="41" spans="1:55" ht="14.1" customHeight="1" x14ac:dyDescent="0.2">
      <c r="A41" s="68">
        <v>8</v>
      </c>
      <c r="B41" s="65">
        <v>2427</v>
      </c>
      <c r="C41" s="66">
        <v>600079091</v>
      </c>
      <c r="D41" s="65">
        <v>72741627</v>
      </c>
      <c r="E41" s="67" t="s">
        <v>579</v>
      </c>
      <c r="F41" s="68">
        <v>3141</v>
      </c>
      <c r="G41" s="67" t="s">
        <v>315</v>
      </c>
      <c r="H41" s="69" t="s">
        <v>278</v>
      </c>
      <c r="I41" s="477">
        <v>356429</v>
      </c>
      <c r="J41" s="472">
        <v>260424</v>
      </c>
      <c r="K41" s="472">
        <v>0</v>
      </c>
      <c r="L41" s="472">
        <v>88023</v>
      </c>
      <c r="M41" s="472">
        <v>5208</v>
      </c>
      <c r="N41" s="472">
        <v>2774</v>
      </c>
      <c r="O41" s="473">
        <v>0.82</v>
      </c>
      <c r="P41" s="474">
        <v>0</v>
      </c>
      <c r="Q41" s="483">
        <v>0.82</v>
      </c>
      <c r="R41" s="485">
        <f t="shared" si="78"/>
        <v>0</v>
      </c>
      <c r="S41" s="475">
        <v>0</v>
      </c>
      <c r="T41" s="755">
        <v>-4877</v>
      </c>
      <c r="U41" s="475">
        <v>0</v>
      </c>
      <c r="V41" s="475">
        <v>0</v>
      </c>
      <c r="W41" s="475">
        <v>0</v>
      </c>
      <c r="X41" s="475">
        <f t="shared" si="79"/>
        <v>-4877</v>
      </c>
      <c r="Y41" s="475">
        <v>0</v>
      </c>
      <c r="Z41" s="475">
        <v>0</v>
      </c>
      <c r="AA41" s="475">
        <v>0</v>
      </c>
      <c r="AB41" s="475">
        <f t="shared" si="80"/>
        <v>0</v>
      </c>
      <c r="AC41" s="475">
        <f t="shared" si="81"/>
        <v>-4877</v>
      </c>
      <c r="AD41" s="70">
        <f t="shared" si="82"/>
        <v>-1648</v>
      </c>
      <c r="AE41" s="70">
        <f t="shared" si="83"/>
        <v>-98</v>
      </c>
      <c r="AF41" s="475">
        <v>0</v>
      </c>
      <c r="AG41" s="475">
        <v>0</v>
      </c>
      <c r="AH41" s="475">
        <f t="shared" si="84"/>
        <v>0</v>
      </c>
      <c r="AI41" s="475">
        <f t="shared" si="85"/>
        <v>-6623</v>
      </c>
      <c r="AJ41" s="476">
        <v>0</v>
      </c>
      <c r="AK41" s="476">
        <v>0</v>
      </c>
      <c r="AL41" s="476">
        <v>0</v>
      </c>
      <c r="AM41" s="476">
        <v>0</v>
      </c>
      <c r="AN41" s="756">
        <v>-1.0000000000000009E-2</v>
      </c>
      <c r="AO41" s="476">
        <v>0</v>
      </c>
      <c r="AP41" s="476">
        <v>0</v>
      </c>
      <c r="AQ41" s="476">
        <v>0</v>
      </c>
      <c r="AR41" s="476">
        <f t="shared" si="17"/>
        <v>0</v>
      </c>
      <c r="AS41" s="476">
        <f t="shared" si="18"/>
        <v>-1.0000000000000009E-2</v>
      </c>
      <c r="AT41" s="478">
        <f t="shared" si="19"/>
        <v>-1.0000000000000009E-2</v>
      </c>
      <c r="AU41" s="484">
        <f>I41+AI41</f>
        <v>349806</v>
      </c>
      <c r="AV41" s="475">
        <f>J41+X41</f>
        <v>255547</v>
      </c>
      <c r="AW41" s="475">
        <f>K41+AB41</f>
        <v>0</v>
      </c>
      <c r="AX41" s="475">
        <f>L41+AD41</f>
        <v>86375</v>
      </c>
      <c r="AY41" s="475">
        <f>M41+AE41</f>
        <v>5110</v>
      </c>
      <c r="AZ41" s="475">
        <f>N41+AH41</f>
        <v>2774</v>
      </c>
      <c r="BA41" s="476">
        <f>O41+AT41</f>
        <v>0.80999999999999994</v>
      </c>
      <c r="BB41" s="476">
        <f>P41+AR41</f>
        <v>0</v>
      </c>
      <c r="BC41" s="478">
        <f>Q41+AS41</f>
        <v>0.80999999999999994</v>
      </c>
    </row>
    <row r="42" spans="1:55" ht="14.1" customHeight="1" x14ac:dyDescent="0.2">
      <c r="A42" s="74">
        <v>8</v>
      </c>
      <c r="B42" s="71">
        <v>2427</v>
      </c>
      <c r="C42" s="72">
        <v>600079091</v>
      </c>
      <c r="D42" s="71">
        <v>72741627</v>
      </c>
      <c r="E42" s="73" t="s">
        <v>580</v>
      </c>
      <c r="F42" s="74"/>
      <c r="G42" s="73"/>
      <c r="H42" s="75"/>
      <c r="I42" s="76">
        <v>5749585</v>
      </c>
      <c r="J42" s="77">
        <v>4170811</v>
      </c>
      <c r="K42" s="77">
        <v>0</v>
      </c>
      <c r="L42" s="77">
        <v>1409734</v>
      </c>
      <c r="M42" s="77">
        <v>83416</v>
      </c>
      <c r="N42" s="77">
        <v>85624</v>
      </c>
      <c r="O42" s="78">
        <v>9.1959999999999997</v>
      </c>
      <c r="P42" s="78">
        <v>6.2417999999999996</v>
      </c>
      <c r="Q42" s="718">
        <v>2.9541999999999997</v>
      </c>
      <c r="R42" s="76">
        <f t="shared" ref="R42:BC42" si="86">SUM(R40:R41)</f>
        <v>0</v>
      </c>
      <c r="S42" s="77">
        <f t="shared" si="86"/>
        <v>0</v>
      </c>
      <c r="T42" s="77">
        <f t="shared" si="86"/>
        <v>-4877</v>
      </c>
      <c r="U42" s="77">
        <f t="shared" si="86"/>
        <v>0</v>
      </c>
      <c r="V42" s="77">
        <f t="shared" si="86"/>
        <v>0</v>
      </c>
      <c r="W42" s="77">
        <f t="shared" si="86"/>
        <v>0</v>
      </c>
      <c r="X42" s="77">
        <f t="shared" si="86"/>
        <v>-4877</v>
      </c>
      <c r="Y42" s="77">
        <f t="shared" si="86"/>
        <v>0</v>
      </c>
      <c r="Z42" s="77">
        <f t="shared" si="86"/>
        <v>0</v>
      </c>
      <c r="AA42" s="77">
        <f t="shared" si="86"/>
        <v>0</v>
      </c>
      <c r="AB42" s="77">
        <f t="shared" si="86"/>
        <v>0</v>
      </c>
      <c r="AC42" s="77">
        <f t="shared" si="86"/>
        <v>-4877</v>
      </c>
      <c r="AD42" s="77">
        <f t="shared" si="86"/>
        <v>-1648</v>
      </c>
      <c r="AE42" s="77">
        <f t="shared" si="86"/>
        <v>-98</v>
      </c>
      <c r="AF42" s="77">
        <f t="shared" si="86"/>
        <v>0</v>
      </c>
      <c r="AG42" s="77">
        <f t="shared" si="86"/>
        <v>0</v>
      </c>
      <c r="AH42" s="77">
        <f t="shared" si="86"/>
        <v>0</v>
      </c>
      <c r="AI42" s="77">
        <f t="shared" si="86"/>
        <v>-6623</v>
      </c>
      <c r="AJ42" s="78">
        <f t="shared" si="86"/>
        <v>0</v>
      </c>
      <c r="AK42" s="78">
        <f t="shared" si="86"/>
        <v>0</v>
      </c>
      <c r="AL42" s="78">
        <f t="shared" si="86"/>
        <v>0</v>
      </c>
      <c r="AM42" s="78">
        <f t="shared" si="86"/>
        <v>0</v>
      </c>
      <c r="AN42" s="78">
        <f t="shared" si="86"/>
        <v>-1.0000000000000009E-2</v>
      </c>
      <c r="AO42" s="78">
        <f t="shared" si="86"/>
        <v>0</v>
      </c>
      <c r="AP42" s="78">
        <f t="shared" si="86"/>
        <v>0</v>
      </c>
      <c r="AQ42" s="78">
        <f t="shared" si="86"/>
        <v>0</v>
      </c>
      <c r="AR42" s="78">
        <f t="shared" si="86"/>
        <v>0</v>
      </c>
      <c r="AS42" s="78">
        <f t="shared" si="86"/>
        <v>-1.0000000000000009E-2</v>
      </c>
      <c r="AT42" s="79">
        <f t="shared" si="86"/>
        <v>-1.0000000000000009E-2</v>
      </c>
      <c r="AU42" s="433">
        <f t="shared" si="86"/>
        <v>5742962</v>
      </c>
      <c r="AV42" s="77">
        <f t="shared" si="86"/>
        <v>4165934</v>
      </c>
      <c r="AW42" s="77">
        <f t="shared" si="86"/>
        <v>0</v>
      </c>
      <c r="AX42" s="77">
        <f t="shared" si="86"/>
        <v>1408086</v>
      </c>
      <c r="AY42" s="77">
        <f t="shared" si="86"/>
        <v>83318</v>
      </c>
      <c r="AZ42" s="77">
        <f t="shared" si="86"/>
        <v>85624</v>
      </c>
      <c r="BA42" s="78">
        <f t="shared" si="86"/>
        <v>9.1859999999999999</v>
      </c>
      <c r="BB42" s="78">
        <f t="shared" si="86"/>
        <v>6.2417999999999996</v>
      </c>
      <c r="BC42" s="79">
        <f t="shared" si="86"/>
        <v>2.9441999999999999</v>
      </c>
    </row>
    <row r="43" spans="1:55" ht="14.1" customHeight="1" x14ac:dyDescent="0.2">
      <c r="A43" s="68">
        <v>9</v>
      </c>
      <c r="B43" s="65">
        <v>2327</v>
      </c>
      <c r="C43" s="66">
        <v>691002606</v>
      </c>
      <c r="D43" s="65">
        <v>72076950</v>
      </c>
      <c r="E43" s="67" t="s">
        <v>581</v>
      </c>
      <c r="F43" s="68">
        <v>3111</v>
      </c>
      <c r="G43" s="67" t="s">
        <v>311</v>
      </c>
      <c r="H43" s="69" t="s">
        <v>277</v>
      </c>
      <c r="I43" s="477">
        <v>9326480</v>
      </c>
      <c r="J43" s="643">
        <v>6763424</v>
      </c>
      <c r="K43" s="643">
        <v>0</v>
      </c>
      <c r="L43" s="472">
        <v>2286037</v>
      </c>
      <c r="M43" s="472">
        <v>135269</v>
      </c>
      <c r="N43" s="472">
        <v>141750</v>
      </c>
      <c r="O43" s="473">
        <v>14.761800000000001</v>
      </c>
      <c r="P43" s="473">
        <v>11.2096</v>
      </c>
      <c r="Q43" s="483">
        <v>3.5522</v>
      </c>
      <c r="R43" s="485">
        <f t="shared" ref="R43:R45" si="87">Y43*-1</f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ref="X43:X45" si="88">SUM(R43:W43)</f>
        <v>0</v>
      </c>
      <c r="Y43" s="475">
        <v>0</v>
      </c>
      <c r="Z43" s="475">
        <v>0</v>
      </c>
      <c r="AA43" s="475">
        <v>0</v>
      </c>
      <c r="AB43" s="475">
        <f t="shared" ref="AB43:AB45" si="89">SUM(Y43:AA43)</f>
        <v>0</v>
      </c>
      <c r="AC43" s="475">
        <f t="shared" ref="AC43:AC45" si="90">X43+AB43</f>
        <v>0</v>
      </c>
      <c r="AD43" s="70">
        <f t="shared" ref="AD43:AD45" si="91">ROUND((X43+Y43+Z43)*33.8%,0)</f>
        <v>0</v>
      </c>
      <c r="AE43" s="70">
        <f t="shared" ref="AE43:AE45" si="92">ROUND(X43*2%,0)</f>
        <v>0</v>
      </c>
      <c r="AF43" s="475">
        <v>0</v>
      </c>
      <c r="AG43" s="475">
        <v>0</v>
      </c>
      <c r="AH43" s="475">
        <f t="shared" ref="AH43:AH45" si="93">SUM(AF43:AG43)</f>
        <v>0</v>
      </c>
      <c r="AI43" s="475">
        <f t="shared" ref="AI43:AI45" si="94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si="17"/>
        <v>0</v>
      </c>
      <c r="AS43" s="476">
        <f t="shared" si="18"/>
        <v>0</v>
      </c>
      <c r="AT43" s="478">
        <f t="shared" si="19"/>
        <v>0</v>
      </c>
      <c r="AU43" s="484">
        <f>I43+AI43</f>
        <v>9326480</v>
      </c>
      <c r="AV43" s="475">
        <f>J43+X43</f>
        <v>6763424</v>
      </c>
      <c r="AW43" s="475">
        <f>K43+AB43</f>
        <v>0</v>
      </c>
      <c r="AX43" s="475">
        <f t="shared" ref="AX43:AY45" si="95">L43+AD43</f>
        <v>2286037</v>
      </c>
      <c r="AY43" s="475">
        <f t="shared" si="95"/>
        <v>135269</v>
      </c>
      <c r="AZ43" s="475">
        <f>N43+AH43</f>
        <v>141750</v>
      </c>
      <c r="BA43" s="476">
        <f>O43+AT43</f>
        <v>14.761800000000001</v>
      </c>
      <c r="BB43" s="476">
        <f t="shared" ref="BB43:BC45" si="96">P43+AR43</f>
        <v>11.2096</v>
      </c>
      <c r="BC43" s="478">
        <f t="shared" si="96"/>
        <v>3.5522</v>
      </c>
    </row>
    <row r="44" spans="1:55" ht="14.1" customHeight="1" x14ac:dyDescent="0.2">
      <c r="A44" s="68">
        <v>9</v>
      </c>
      <c r="B44" s="65">
        <v>2327</v>
      </c>
      <c r="C44" s="66">
        <v>691002606</v>
      </c>
      <c r="D44" s="65">
        <v>72076950</v>
      </c>
      <c r="E44" s="67" t="s">
        <v>581</v>
      </c>
      <c r="F44" s="68">
        <v>3111</v>
      </c>
      <c r="G44" s="80" t="s">
        <v>312</v>
      </c>
      <c r="H44" s="69" t="s">
        <v>278</v>
      </c>
      <c r="I44" s="477">
        <v>470470</v>
      </c>
      <c r="J44" s="472">
        <v>346443</v>
      </c>
      <c r="K44" s="472">
        <v>0</v>
      </c>
      <c r="L44" s="472">
        <v>117098</v>
      </c>
      <c r="M44" s="472">
        <v>6929</v>
      </c>
      <c r="N44" s="472">
        <v>0</v>
      </c>
      <c r="O44" s="473">
        <v>1</v>
      </c>
      <c r="P44" s="474">
        <v>1</v>
      </c>
      <c r="Q44" s="483">
        <v>0</v>
      </c>
      <c r="R44" s="485">
        <f t="shared" si="87"/>
        <v>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si="88"/>
        <v>0</v>
      </c>
      <c r="Y44" s="475">
        <v>0</v>
      </c>
      <c r="Z44" s="475">
        <v>0</v>
      </c>
      <c r="AA44" s="475">
        <v>0</v>
      </c>
      <c r="AB44" s="475">
        <f t="shared" si="89"/>
        <v>0</v>
      </c>
      <c r="AC44" s="475">
        <f t="shared" si="90"/>
        <v>0</v>
      </c>
      <c r="AD44" s="70">
        <f t="shared" si="91"/>
        <v>0</v>
      </c>
      <c r="AE44" s="70">
        <f t="shared" si="92"/>
        <v>0</v>
      </c>
      <c r="AF44" s="475">
        <v>0</v>
      </c>
      <c r="AG44" s="475">
        <v>0</v>
      </c>
      <c r="AH44" s="475">
        <f t="shared" si="93"/>
        <v>0</v>
      </c>
      <c r="AI44" s="475">
        <f t="shared" si="94"/>
        <v>0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476">
        <f t="shared" si="17"/>
        <v>0</v>
      </c>
      <c r="AS44" s="476">
        <f t="shared" si="18"/>
        <v>0</v>
      </c>
      <c r="AT44" s="478">
        <f t="shared" si="19"/>
        <v>0</v>
      </c>
      <c r="AU44" s="484">
        <f>I44+AI44</f>
        <v>470470</v>
      </c>
      <c r="AV44" s="475">
        <f>J44+X44</f>
        <v>346443</v>
      </c>
      <c r="AW44" s="475">
        <f>K44+AB44</f>
        <v>0</v>
      </c>
      <c r="AX44" s="475">
        <f t="shared" si="95"/>
        <v>117098</v>
      </c>
      <c r="AY44" s="475">
        <f t="shared" si="95"/>
        <v>6929</v>
      </c>
      <c r="AZ44" s="475">
        <f>N44+AH44</f>
        <v>0</v>
      </c>
      <c r="BA44" s="476">
        <f>O44+AT44</f>
        <v>1</v>
      </c>
      <c r="BB44" s="476">
        <f t="shared" si="96"/>
        <v>1</v>
      </c>
      <c r="BC44" s="478">
        <f t="shared" si="96"/>
        <v>0</v>
      </c>
    </row>
    <row r="45" spans="1:55" ht="14.1" customHeight="1" x14ac:dyDescent="0.2">
      <c r="A45" s="68">
        <v>9</v>
      </c>
      <c r="B45" s="65">
        <v>2327</v>
      </c>
      <c r="C45" s="66">
        <v>691002606</v>
      </c>
      <c r="D45" s="65">
        <v>72076950</v>
      </c>
      <c r="E45" s="67" t="s">
        <v>581</v>
      </c>
      <c r="F45" s="68">
        <v>3141</v>
      </c>
      <c r="G45" s="67" t="s">
        <v>315</v>
      </c>
      <c r="H45" s="69" t="s">
        <v>278</v>
      </c>
      <c r="I45" s="477">
        <v>1244004</v>
      </c>
      <c r="J45" s="472">
        <v>911059</v>
      </c>
      <c r="K45" s="472">
        <v>0</v>
      </c>
      <c r="L45" s="472">
        <v>307938</v>
      </c>
      <c r="M45" s="472">
        <v>18221</v>
      </c>
      <c r="N45" s="472">
        <v>6786</v>
      </c>
      <c r="O45" s="473">
        <v>2.87</v>
      </c>
      <c r="P45" s="474">
        <v>0</v>
      </c>
      <c r="Q45" s="483">
        <v>2.87</v>
      </c>
      <c r="R45" s="485">
        <f t="shared" si="87"/>
        <v>0</v>
      </c>
      <c r="S45" s="475">
        <v>0</v>
      </c>
      <c r="T45" s="755">
        <v>-12023</v>
      </c>
      <c r="U45" s="475">
        <v>0</v>
      </c>
      <c r="V45" s="475">
        <v>0</v>
      </c>
      <c r="W45" s="475">
        <v>0</v>
      </c>
      <c r="X45" s="475">
        <f t="shared" si="88"/>
        <v>-12023</v>
      </c>
      <c r="Y45" s="475">
        <v>0</v>
      </c>
      <c r="Z45" s="475">
        <v>0</v>
      </c>
      <c r="AA45" s="475">
        <v>0</v>
      </c>
      <c r="AB45" s="475">
        <f t="shared" si="89"/>
        <v>0</v>
      </c>
      <c r="AC45" s="475">
        <f t="shared" si="90"/>
        <v>-12023</v>
      </c>
      <c r="AD45" s="70">
        <f t="shared" si="91"/>
        <v>-4064</v>
      </c>
      <c r="AE45" s="70">
        <f t="shared" si="92"/>
        <v>-240</v>
      </c>
      <c r="AF45" s="475">
        <v>0</v>
      </c>
      <c r="AG45" s="475">
        <v>0</v>
      </c>
      <c r="AH45" s="475">
        <f t="shared" si="93"/>
        <v>0</v>
      </c>
      <c r="AI45" s="475">
        <f t="shared" si="94"/>
        <v>-16327</v>
      </c>
      <c r="AJ45" s="476">
        <v>0</v>
      </c>
      <c r="AK45" s="476">
        <v>0</v>
      </c>
      <c r="AL45" s="476">
        <v>0</v>
      </c>
      <c r="AM45" s="476">
        <v>0</v>
      </c>
      <c r="AN45" s="756">
        <v>-3.9999999999999925E-2</v>
      </c>
      <c r="AO45" s="476">
        <v>0</v>
      </c>
      <c r="AP45" s="476">
        <v>0</v>
      </c>
      <c r="AQ45" s="476">
        <v>0</v>
      </c>
      <c r="AR45" s="476">
        <f t="shared" si="17"/>
        <v>0</v>
      </c>
      <c r="AS45" s="476">
        <f t="shared" si="18"/>
        <v>-3.9999999999999925E-2</v>
      </c>
      <c r="AT45" s="478">
        <f t="shared" si="19"/>
        <v>-3.9999999999999925E-2</v>
      </c>
      <c r="AU45" s="484">
        <f>I45+AI45</f>
        <v>1227677</v>
      </c>
      <c r="AV45" s="475">
        <f>J45+X45</f>
        <v>899036</v>
      </c>
      <c r="AW45" s="475">
        <f>K45+AB45</f>
        <v>0</v>
      </c>
      <c r="AX45" s="475">
        <f t="shared" si="95"/>
        <v>303874</v>
      </c>
      <c r="AY45" s="475">
        <f t="shared" si="95"/>
        <v>17981</v>
      </c>
      <c r="AZ45" s="475">
        <f>N45+AH45</f>
        <v>6786</v>
      </c>
      <c r="BA45" s="476">
        <f>O45+AT45</f>
        <v>2.83</v>
      </c>
      <c r="BB45" s="476">
        <f t="shared" si="96"/>
        <v>0</v>
      </c>
      <c r="BC45" s="478">
        <f t="shared" si="96"/>
        <v>2.83</v>
      </c>
    </row>
    <row r="46" spans="1:55" ht="14.1" customHeight="1" x14ac:dyDescent="0.2">
      <c r="A46" s="74">
        <v>9</v>
      </c>
      <c r="B46" s="71">
        <v>2327</v>
      </c>
      <c r="C46" s="72">
        <v>691002606</v>
      </c>
      <c r="D46" s="71">
        <v>72076950</v>
      </c>
      <c r="E46" s="73" t="s">
        <v>582</v>
      </c>
      <c r="F46" s="74"/>
      <c r="G46" s="73"/>
      <c r="H46" s="75"/>
      <c r="I46" s="76">
        <v>11040954</v>
      </c>
      <c r="J46" s="77">
        <v>8020926</v>
      </c>
      <c r="K46" s="77">
        <v>0</v>
      </c>
      <c r="L46" s="77">
        <v>2711073</v>
      </c>
      <c r="M46" s="77">
        <v>160419</v>
      </c>
      <c r="N46" s="77">
        <v>148536</v>
      </c>
      <c r="O46" s="78">
        <v>18.631800000000002</v>
      </c>
      <c r="P46" s="78">
        <v>12.2096</v>
      </c>
      <c r="Q46" s="718">
        <v>6.4222000000000001</v>
      </c>
      <c r="R46" s="76">
        <f t="shared" ref="R46:BC46" si="97">SUM(R43:R45)</f>
        <v>0</v>
      </c>
      <c r="S46" s="77">
        <f t="shared" si="97"/>
        <v>0</v>
      </c>
      <c r="T46" s="77">
        <f t="shared" si="97"/>
        <v>-12023</v>
      </c>
      <c r="U46" s="77">
        <f t="shared" si="97"/>
        <v>0</v>
      </c>
      <c r="V46" s="77">
        <f t="shared" si="97"/>
        <v>0</v>
      </c>
      <c r="W46" s="77">
        <f t="shared" si="97"/>
        <v>0</v>
      </c>
      <c r="X46" s="77">
        <f t="shared" si="97"/>
        <v>-12023</v>
      </c>
      <c r="Y46" s="77">
        <f t="shared" si="97"/>
        <v>0</v>
      </c>
      <c r="Z46" s="77">
        <f t="shared" si="97"/>
        <v>0</v>
      </c>
      <c r="AA46" s="77">
        <f t="shared" si="97"/>
        <v>0</v>
      </c>
      <c r="AB46" s="77">
        <f t="shared" si="97"/>
        <v>0</v>
      </c>
      <c r="AC46" s="77">
        <f t="shared" si="97"/>
        <v>-12023</v>
      </c>
      <c r="AD46" s="77">
        <f t="shared" si="97"/>
        <v>-4064</v>
      </c>
      <c r="AE46" s="77">
        <f t="shared" si="97"/>
        <v>-240</v>
      </c>
      <c r="AF46" s="77">
        <f t="shared" si="97"/>
        <v>0</v>
      </c>
      <c r="AG46" s="77">
        <f t="shared" si="97"/>
        <v>0</v>
      </c>
      <c r="AH46" s="77">
        <f t="shared" si="97"/>
        <v>0</v>
      </c>
      <c r="AI46" s="77">
        <f t="shared" si="97"/>
        <v>-16327</v>
      </c>
      <c r="AJ46" s="78">
        <f t="shared" si="97"/>
        <v>0</v>
      </c>
      <c r="AK46" s="78">
        <f t="shared" si="97"/>
        <v>0</v>
      </c>
      <c r="AL46" s="78">
        <f t="shared" si="97"/>
        <v>0</v>
      </c>
      <c r="AM46" s="78">
        <f t="shared" si="97"/>
        <v>0</v>
      </c>
      <c r="AN46" s="78">
        <f t="shared" si="97"/>
        <v>-3.9999999999999925E-2</v>
      </c>
      <c r="AO46" s="78">
        <f t="shared" si="97"/>
        <v>0</v>
      </c>
      <c r="AP46" s="78">
        <f t="shared" si="97"/>
        <v>0</v>
      </c>
      <c r="AQ46" s="78">
        <f t="shared" si="97"/>
        <v>0</v>
      </c>
      <c r="AR46" s="78">
        <f t="shared" si="97"/>
        <v>0</v>
      </c>
      <c r="AS46" s="78">
        <f t="shared" si="97"/>
        <v>-3.9999999999999925E-2</v>
      </c>
      <c r="AT46" s="79">
        <f t="shared" si="97"/>
        <v>-3.9999999999999925E-2</v>
      </c>
      <c r="AU46" s="433">
        <f t="shared" si="97"/>
        <v>11024627</v>
      </c>
      <c r="AV46" s="77">
        <f t="shared" si="97"/>
        <v>8008903</v>
      </c>
      <c r="AW46" s="77">
        <f t="shared" si="97"/>
        <v>0</v>
      </c>
      <c r="AX46" s="77">
        <f t="shared" si="97"/>
        <v>2707009</v>
      </c>
      <c r="AY46" s="77">
        <f t="shared" si="97"/>
        <v>160179</v>
      </c>
      <c r="AZ46" s="77">
        <f t="shared" si="97"/>
        <v>148536</v>
      </c>
      <c r="BA46" s="78">
        <f t="shared" si="97"/>
        <v>18.591799999999999</v>
      </c>
      <c r="BB46" s="78">
        <f t="shared" si="97"/>
        <v>12.2096</v>
      </c>
      <c r="BC46" s="79">
        <f t="shared" si="97"/>
        <v>6.3822000000000001</v>
      </c>
    </row>
    <row r="47" spans="1:55" ht="14.1" customHeight="1" x14ac:dyDescent="0.2">
      <c r="A47" s="68">
        <v>10</v>
      </c>
      <c r="B47" s="65">
        <v>2321</v>
      </c>
      <c r="C47" s="66">
        <v>600079287</v>
      </c>
      <c r="D47" s="65">
        <v>72742976</v>
      </c>
      <c r="E47" s="67" t="s">
        <v>583</v>
      </c>
      <c r="F47" s="68">
        <v>3111</v>
      </c>
      <c r="G47" s="67" t="s">
        <v>311</v>
      </c>
      <c r="H47" s="69" t="s">
        <v>277</v>
      </c>
      <c r="I47" s="477">
        <v>8890598</v>
      </c>
      <c r="J47" s="643">
        <v>6487996</v>
      </c>
      <c r="K47" s="643">
        <v>0</v>
      </c>
      <c r="L47" s="472">
        <v>2192942</v>
      </c>
      <c r="M47" s="472">
        <v>129760</v>
      </c>
      <c r="N47" s="472">
        <v>79900</v>
      </c>
      <c r="O47" s="473">
        <v>14.4038</v>
      </c>
      <c r="P47" s="473">
        <v>10.451599999999999</v>
      </c>
      <c r="Q47" s="483">
        <v>3.9522000000000004</v>
      </c>
      <c r="R47" s="485">
        <f t="shared" ref="R47:R48" si="98">Y47*-1</f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ref="X47:X48" si="99">SUM(R47:W47)</f>
        <v>0</v>
      </c>
      <c r="Y47" s="475">
        <v>0</v>
      </c>
      <c r="Z47" s="475">
        <v>0</v>
      </c>
      <c r="AA47" s="475">
        <v>0</v>
      </c>
      <c r="AB47" s="475">
        <f t="shared" ref="AB47:AB48" si="100">SUM(Y47:AA47)</f>
        <v>0</v>
      </c>
      <c r="AC47" s="475">
        <f t="shared" ref="AC47:AC48" si="101">X47+AB47</f>
        <v>0</v>
      </c>
      <c r="AD47" s="70">
        <f t="shared" ref="AD47:AD48" si="102">ROUND((X47+Y47+Z47)*33.8%,0)</f>
        <v>0</v>
      </c>
      <c r="AE47" s="70">
        <f t="shared" ref="AE47:AE48" si="103">ROUND(X47*2%,0)</f>
        <v>0</v>
      </c>
      <c r="AF47" s="475">
        <v>0</v>
      </c>
      <c r="AG47" s="475">
        <v>0</v>
      </c>
      <c r="AH47" s="475">
        <f t="shared" ref="AH47:AH48" si="104">SUM(AF47:AG47)</f>
        <v>0</v>
      </c>
      <c r="AI47" s="475">
        <f t="shared" ref="AI47:AI48" si="105">AC47+AD47+AE47+AH47</f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 t="shared" si="17"/>
        <v>0</v>
      </c>
      <c r="AS47" s="476">
        <f t="shared" si="18"/>
        <v>0</v>
      </c>
      <c r="AT47" s="478">
        <f t="shared" si="19"/>
        <v>0</v>
      </c>
      <c r="AU47" s="484">
        <f>I47+AI47</f>
        <v>8890598</v>
      </c>
      <c r="AV47" s="475">
        <f>J47+X47</f>
        <v>6487996</v>
      </c>
      <c r="AW47" s="475">
        <f>K47+AB47</f>
        <v>0</v>
      </c>
      <c r="AX47" s="475">
        <f>L47+AD47</f>
        <v>2192942</v>
      </c>
      <c r="AY47" s="475">
        <f>M47+AE47</f>
        <v>129760</v>
      </c>
      <c r="AZ47" s="475">
        <f>N47+AH47</f>
        <v>79900</v>
      </c>
      <c r="BA47" s="476">
        <f>O47+AT47</f>
        <v>14.4038</v>
      </c>
      <c r="BB47" s="476">
        <f>P47+AR47</f>
        <v>10.451599999999999</v>
      </c>
      <c r="BC47" s="478">
        <f>Q47+AS47</f>
        <v>3.9522000000000004</v>
      </c>
    </row>
    <row r="48" spans="1:55" ht="14.1" customHeight="1" x14ac:dyDescent="0.2">
      <c r="A48" s="68">
        <v>10</v>
      </c>
      <c r="B48" s="65">
        <v>2321</v>
      </c>
      <c r="C48" s="66">
        <v>600079287</v>
      </c>
      <c r="D48" s="65">
        <v>72742976</v>
      </c>
      <c r="E48" s="67" t="s">
        <v>583</v>
      </c>
      <c r="F48" s="68">
        <v>3141</v>
      </c>
      <c r="G48" s="67" t="s">
        <v>315</v>
      </c>
      <c r="H48" s="69" t="s">
        <v>278</v>
      </c>
      <c r="I48" s="477">
        <v>1574885</v>
      </c>
      <c r="J48" s="472">
        <v>1154456</v>
      </c>
      <c r="K48" s="472">
        <v>0</v>
      </c>
      <c r="L48" s="472">
        <v>390206</v>
      </c>
      <c r="M48" s="472">
        <v>23089</v>
      </c>
      <c r="N48" s="472">
        <v>7134</v>
      </c>
      <c r="O48" s="473">
        <v>3.6399999999999997</v>
      </c>
      <c r="P48" s="474">
        <v>0</v>
      </c>
      <c r="Q48" s="483">
        <v>3.6399999999999997</v>
      </c>
      <c r="R48" s="485">
        <f t="shared" si="98"/>
        <v>0</v>
      </c>
      <c r="S48" s="475">
        <v>0</v>
      </c>
      <c r="T48" s="755">
        <v>-2323</v>
      </c>
      <c r="U48" s="475">
        <v>0</v>
      </c>
      <c r="V48" s="475">
        <v>0</v>
      </c>
      <c r="W48" s="475">
        <v>0</v>
      </c>
      <c r="X48" s="475">
        <f t="shared" si="99"/>
        <v>-2323</v>
      </c>
      <c r="Y48" s="475">
        <v>0</v>
      </c>
      <c r="Z48" s="475">
        <v>0</v>
      </c>
      <c r="AA48" s="475">
        <v>0</v>
      </c>
      <c r="AB48" s="475">
        <f t="shared" si="100"/>
        <v>0</v>
      </c>
      <c r="AC48" s="475">
        <f t="shared" si="101"/>
        <v>-2323</v>
      </c>
      <c r="AD48" s="70">
        <f t="shared" si="102"/>
        <v>-785</v>
      </c>
      <c r="AE48" s="70">
        <f t="shared" si="103"/>
        <v>-46</v>
      </c>
      <c r="AF48" s="475">
        <v>0</v>
      </c>
      <c r="AG48" s="475">
        <v>0</v>
      </c>
      <c r="AH48" s="475">
        <f t="shared" si="104"/>
        <v>0</v>
      </c>
      <c r="AI48" s="475">
        <f t="shared" si="105"/>
        <v>-3154</v>
      </c>
      <c r="AJ48" s="476">
        <v>0</v>
      </c>
      <c r="AK48" s="476">
        <v>0</v>
      </c>
      <c r="AL48" s="476">
        <v>0</v>
      </c>
      <c r="AM48" s="476">
        <v>0</v>
      </c>
      <c r="AN48" s="756">
        <v>-1.0000000000000009E-2</v>
      </c>
      <c r="AO48" s="476">
        <v>0</v>
      </c>
      <c r="AP48" s="476">
        <v>0</v>
      </c>
      <c r="AQ48" s="476">
        <v>0</v>
      </c>
      <c r="AR48" s="476">
        <f t="shared" si="17"/>
        <v>0</v>
      </c>
      <c r="AS48" s="476">
        <f t="shared" si="18"/>
        <v>-1.0000000000000009E-2</v>
      </c>
      <c r="AT48" s="478">
        <f t="shared" si="19"/>
        <v>-1.0000000000000009E-2</v>
      </c>
      <c r="AU48" s="484">
        <f>I48+AI48</f>
        <v>1571731</v>
      </c>
      <c r="AV48" s="475">
        <f>J48+X48</f>
        <v>1152133</v>
      </c>
      <c r="AW48" s="475">
        <f>K48+AB48</f>
        <v>0</v>
      </c>
      <c r="AX48" s="475">
        <f>L48+AD48</f>
        <v>389421</v>
      </c>
      <c r="AY48" s="475">
        <f>M48+AE48</f>
        <v>23043</v>
      </c>
      <c r="AZ48" s="475">
        <f>N48+AH48</f>
        <v>7134</v>
      </c>
      <c r="BA48" s="476">
        <f>O48+AT48</f>
        <v>3.63</v>
      </c>
      <c r="BB48" s="476">
        <f>P48+AR48</f>
        <v>0</v>
      </c>
      <c r="BC48" s="478">
        <f>Q48+AS48</f>
        <v>3.63</v>
      </c>
    </row>
    <row r="49" spans="1:55" ht="14.1" customHeight="1" x14ac:dyDescent="0.2">
      <c r="A49" s="74">
        <v>10</v>
      </c>
      <c r="B49" s="71">
        <v>2321</v>
      </c>
      <c r="C49" s="72">
        <v>600079287</v>
      </c>
      <c r="D49" s="71">
        <v>72742976</v>
      </c>
      <c r="E49" s="73" t="s">
        <v>584</v>
      </c>
      <c r="F49" s="74"/>
      <c r="G49" s="73"/>
      <c r="H49" s="75"/>
      <c r="I49" s="76">
        <v>10465483</v>
      </c>
      <c r="J49" s="77">
        <v>7642452</v>
      </c>
      <c r="K49" s="77">
        <v>0</v>
      </c>
      <c r="L49" s="77">
        <v>2583148</v>
      </c>
      <c r="M49" s="77">
        <v>152849</v>
      </c>
      <c r="N49" s="77">
        <v>87034</v>
      </c>
      <c r="O49" s="78">
        <v>18.043800000000001</v>
      </c>
      <c r="P49" s="78">
        <v>10.451599999999999</v>
      </c>
      <c r="Q49" s="718">
        <v>7.5922000000000001</v>
      </c>
      <c r="R49" s="76">
        <f t="shared" ref="R49:BC49" si="106">SUM(R47:R48)</f>
        <v>0</v>
      </c>
      <c r="S49" s="77">
        <f t="shared" si="106"/>
        <v>0</v>
      </c>
      <c r="T49" s="77">
        <f t="shared" si="106"/>
        <v>-2323</v>
      </c>
      <c r="U49" s="77">
        <f t="shared" si="106"/>
        <v>0</v>
      </c>
      <c r="V49" s="77">
        <f t="shared" si="106"/>
        <v>0</v>
      </c>
      <c r="W49" s="77">
        <f t="shared" si="106"/>
        <v>0</v>
      </c>
      <c r="X49" s="77">
        <f t="shared" si="106"/>
        <v>-2323</v>
      </c>
      <c r="Y49" s="77">
        <f t="shared" si="106"/>
        <v>0</v>
      </c>
      <c r="Z49" s="77">
        <f t="shared" si="106"/>
        <v>0</v>
      </c>
      <c r="AA49" s="77">
        <f t="shared" si="106"/>
        <v>0</v>
      </c>
      <c r="AB49" s="77">
        <f t="shared" si="106"/>
        <v>0</v>
      </c>
      <c r="AC49" s="77">
        <f t="shared" si="106"/>
        <v>-2323</v>
      </c>
      <c r="AD49" s="77">
        <f t="shared" si="106"/>
        <v>-785</v>
      </c>
      <c r="AE49" s="77">
        <f t="shared" si="106"/>
        <v>-46</v>
      </c>
      <c r="AF49" s="77">
        <f t="shared" si="106"/>
        <v>0</v>
      </c>
      <c r="AG49" s="77">
        <f t="shared" si="106"/>
        <v>0</v>
      </c>
      <c r="AH49" s="77">
        <f t="shared" si="106"/>
        <v>0</v>
      </c>
      <c r="AI49" s="77">
        <f t="shared" si="106"/>
        <v>-3154</v>
      </c>
      <c r="AJ49" s="78">
        <f t="shared" si="106"/>
        <v>0</v>
      </c>
      <c r="AK49" s="78">
        <f t="shared" si="106"/>
        <v>0</v>
      </c>
      <c r="AL49" s="78">
        <f t="shared" si="106"/>
        <v>0</v>
      </c>
      <c r="AM49" s="78">
        <f t="shared" si="106"/>
        <v>0</v>
      </c>
      <c r="AN49" s="78">
        <f t="shared" si="106"/>
        <v>-1.0000000000000009E-2</v>
      </c>
      <c r="AO49" s="78">
        <f t="shared" si="106"/>
        <v>0</v>
      </c>
      <c r="AP49" s="78">
        <f t="shared" si="106"/>
        <v>0</v>
      </c>
      <c r="AQ49" s="78">
        <f t="shared" si="106"/>
        <v>0</v>
      </c>
      <c r="AR49" s="78">
        <f t="shared" si="106"/>
        <v>0</v>
      </c>
      <c r="AS49" s="78">
        <f t="shared" si="106"/>
        <v>-1.0000000000000009E-2</v>
      </c>
      <c r="AT49" s="79">
        <f t="shared" si="106"/>
        <v>-1.0000000000000009E-2</v>
      </c>
      <c r="AU49" s="433">
        <f t="shared" si="106"/>
        <v>10462329</v>
      </c>
      <c r="AV49" s="77">
        <f t="shared" si="106"/>
        <v>7640129</v>
      </c>
      <c r="AW49" s="77">
        <f t="shared" si="106"/>
        <v>0</v>
      </c>
      <c r="AX49" s="77">
        <f t="shared" si="106"/>
        <v>2582363</v>
      </c>
      <c r="AY49" s="77">
        <f t="shared" si="106"/>
        <v>152803</v>
      </c>
      <c r="AZ49" s="77">
        <f t="shared" si="106"/>
        <v>87034</v>
      </c>
      <c r="BA49" s="78">
        <f t="shared" si="106"/>
        <v>18.033799999999999</v>
      </c>
      <c r="BB49" s="78">
        <f t="shared" si="106"/>
        <v>10.451599999999999</v>
      </c>
      <c r="BC49" s="79">
        <f t="shared" si="106"/>
        <v>7.5822000000000003</v>
      </c>
    </row>
    <row r="50" spans="1:55" ht="14.1" customHeight="1" x14ac:dyDescent="0.2">
      <c r="A50" s="68">
        <v>11</v>
      </c>
      <c r="B50" s="65">
        <v>2423</v>
      </c>
      <c r="C50" s="66">
        <v>600079368</v>
      </c>
      <c r="D50" s="65">
        <v>72742828</v>
      </c>
      <c r="E50" s="67" t="s">
        <v>585</v>
      </c>
      <c r="F50" s="68">
        <v>3111</v>
      </c>
      <c r="G50" s="67" t="s">
        <v>311</v>
      </c>
      <c r="H50" s="69" t="s">
        <v>277</v>
      </c>
      <c r="I50" s="477">
        <v>3695857</v>
      </c>
      <c r="J50" s="643">
        <v>2683300</v>
      </c>
      <c r="K50" s="643">
        <v>22000</v>
      </c>
      <c r="L50" s="472">
        <v>914391</v>
      </c>
      <c r="M50" s="472">
        <v>53666</v>
      </c>
      <c r="N50" s="472">
        <v>22500</v>
      </c>
      <c r="O50" s="473">
        <v>5.7155999999999993</v>
      </c>
      <c r="P50" s="473">
        <v>4.2257999999999996</v>
      </c>
      <c r="Q50" s="483">
        <v>1.4898</v>
      </c>
      <c r="R50" s="485">
        <f t="shared" ref="R50:R51" si="107">Y50*-1</f>
        <v>0</v>
      </c>
      <c r="S50" s="475">
        <v>0</v>
      </c>
      <c r="T50" s="475">
        <v>0</v>
      </c>
      <c r="U50" s="475">
        <v>0</v>
      </c>
      <c r="V50" s="475">
        <v>-14728</v>
      </c>
      <c r="W50" s="475">
        <v>0</v>
      </c>
      <c r="X50" s="475">
        <f t="shared" ref="X50:X51" si="108">SUM(R50:W50)</f>
        <v>-14728</v>
      </c>
      <c r="Y50" s="475">
        <v>0</v>
      </c>
      <c r="Z50" s="475">
        <v>0</v>
      </c>
      <c r="AA50" s="475">
        <v>0</v>
      </c>
      <c r="AB50" s="475">
        <f t="shared" ref="AB50:AB51" si="109">SUM(Y50:AA50)</f>
        <v>0</v>
      </c>
      <c r="AC50" s="475">
        <f t="shared" ref="AC50:AC51" si="110">X50+AB50</f>
        <v>-14728</v>
      </c>
      <c r="AD50" s="70">
        <f t="shared" ref="AD50:AD51" si="111">ROUND((X50+Y50+Z50)*33.8%,0)</f>
        <v>-4978</v>
      </c>
      <c r="AE50" s="70">
        <f t="shared" ref="AE50:AE51" si="112">ROUND(X50*2%,0)</f>
        <v>-295</v>
      </c>
      <c r="AF50" s="475">
        <v>0</v>
      </c>
      <c r="AG50" s="475">
        <v>20001</v>
      </c>
      <c r="AH50" s="475">
        <f t="shared" ref="AH50:AH51" si="113">SUM(AF50:AG50)</f>
        <v>20001</v>
      </c>
      <c r="AI50" s="475">
        <f t="shared" ref="AI50:AI51" si="114">AC50+AD50+AE50+AH50</f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si="17"/>
        <v>0</v>
      </c>
      <c r="AS50" s="476">
        <f t="shared" si="18"/>
        <v>0</v>
      </c>
      <c r="AT50" s="478">
        <f t="shared" si="19"/>
        <v>0</v>
      </c>
      <c r="AU50" s="484">
        <f>I50+AI50</f>
        <v>3695857</v>
      </c>
      <c r="AV50" s="475">
        <f>J50+X50</f>
        <v>2668572</v>
      </c>
      <c r="AW50" s="475">
        <f>K50+AB50</f>
        <v>22000</v>
      </c>
      <c r="AX50" s="475">
        <f>L50+AD50</f>
        <v>909413</v>
      </c>
      <c r="AY50" s="475">
        <f>M50+AE50</f>
        <v>53371</v>
      </c>
      <c r="AZ50" s="475">
        <f>N50+AH50</f>
        <v>42501</v>
      </c>
      <c r="BA50" s="476">
        <f>O50+AT50</f>
        <v>5.7155999999999993</v>
      </c>
      <c r="BB50" s="476">
        <f>P50+AR50</f>
        <v>4.2257999999999996</v>
      </c>
      <c r="BC50" s="478">
        <f>Q50+AS50</f>
        <v>1.4898</v>
      </c>
    </row>
    <row r="51" spans="1:55" ht="14.1" customHeight="1" x14ac:dyDescent="0.2">
      <c r="A51" s="68">
        <v>11</v>
      </c>
      <c r="B51" s="65">
        <v>2423</v>
      </c>
      <c r="C51" s="66">
        <v>600079368</v>
      </c>
      <c r="D51" s="65">
        <v>72742828</v>
      </c>
      <c r="E51" s="67" t="s">
        <v>585</v>
      </c>
      <c r="F51" s="68">
        <v>3141</v>
      </c>
      <c r="G51" s="67" t="s">
        <v>315</v>
      </c>
      <c r="H51" s="69" t="s">
        <v>278</v>
      </c>
      <c r="I51" s="477">
        <v>687718</v>
      </c>
      <c r="J51" s="472">
        <v>504284</v>
      </c>
      <c r="K51" s="472">
        <v>0</v>
      </c>
      <c r="L51" s="472">
        <v>170448</v>
      </c>
      <c r="M51" s="472">
        <v>10086</v>
      </c>
      <c r="N51" s="472">
        <v>2900</v>
      </c>
      <c r="O51" s="473">
        <v>1.59</v>
      </c>
      <c r="P51" s="474">
        <v>0</v>
      </c>
      <c r="Q51" s="483">
        <v>1.59</v>
      </c>
      <c r="R51" s="485">
        <f t="shared" si="107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108"/>
        <v>0</v>
      </c>
      <c r="Y51" s="475">
        <v>0</v>
      </c>
      <c r="Z51" s="475">
        <v>0</v>
      </c>
      <c r="AA51" s="475">
        <v>0</v>
      </c>
      <c r="AB51" s="475">
        <f t="shared" si="109"/>
        <v>0</v>
      </c>
      <c r="AC51" s="475">
        <f t="shared" si="110"/>
        <v>0</v>
      </c>
      <c r="AD51" s="70">
        <f t="shared" si="111"/>
        <v>0</v>
      </c>
      <c r="AE51" s="70">
        <f t="shared" si="112"/>
        <v>0</v>
      </c>
      <c r="AF51" s="475">
        <v>0</v>
      </c>
      <c r="AG51" s="475">
        <v>0</v>
      </c>
      <c r="AH51" s="475">
        <f t="shared" si="113"/>
        <v>0</v>
      </c>
      <c r="AI51" s="475">
        <f t="shared" si="114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 t="shared" si="17"/>
        <v>0</v>
      </c>
      <c r="AS51" s="476">
        <f t="shared" si="18"/>
        <v>0</v>
      </c>
      <c r="AT51" s="478">
        <f t="shared" si="19"/>
        <v>0</v>
      </c>
      <c r="AU51" s="484">
        <f>I51+AI51</f>
        <v>687718</v>
      </c>
      <c r="AV51" s="475">
        <f>J51+X51</f>
        <v>504284</v>
      </c>
      <c r="AW51" s="475">
        <f>K51+AB51</f>
        <v>0</v>
      </c>
      <c r="AX51" s="475">
        <f>L51+AD51</f>
        <v>170448</v>
      </c>
      <c r="AY51" s="475">
        <f>M51+AE51</f>
        <v>10086</v>
      </c>
      <c r="AZ51" s="475">
        <f>N51+AH51</f>
        <v>2900</v>
      </c>
      <c r="BA51" s="476">
        <f>O51+AT51</f>
        <v>1.59</v>
      </c>
      <c r="BB51" s="476">
        <f>P51+AR51</f>
        <v>0</v>
      </c>
      <c r="BC51" s="478">
        <f>Q51+AS51</f>
        <v>1.59</v>
      </c>
    </row>
    <row r="52" spans="1:55" ht="14.1" customHeight="1" x14ac:dyDescent="0.2">
      <c r="A52" s="74">
        <v>11</v>
      </c>
      <c r="B52" s="71">
        <v>2423</v>
      </c>
      <c r="C52" s="72">
        <v>600079368</v>
      </c>
      <c r="D52" s="71">
        <v>72742828</v>
      </c>
      <c r="E52" s="73" t="s">
        <v>586</v>
      </c>
      <c r="F52" s="74"/>
      <c r="G52" s="73"/>
      <c r="H52" s="75"/>
      <c r="I52" s="76">
        <v>4383575</v>
      </c>
      <c r="J52" s="77">
        <v>3187584</v>
      </c>
      <c r="K52" s="77">
        <v>22000</v>
      </c>
      <c r="L52" s="77">
        <v>1084839</v>
      </c>
      <c r="M52" s="77">
        <v>63752</v>
      </c>
      <c r="N52" s="77">
        <v>25400</v>
      </c>
      <c r="O52" s="78">
        <v>7.3055999999999992</v>
      </c>
      <c r="P52" s="78">
        <v>4.2257999999999996</v>
      </c>
      <c r="Q52" s="718">
        <v>3.0798000000000001</v>
      </c>
      <c r="R52" s="76">
        <f t="shared" ref="R52:BC52" si="115">SUM(R50:R51)</f>
        <v>0</v>
      </c>
      <c r="S52" s="77">
        <f t="shared" si="115"/>
        <v>0</v>
      </c>
      <c r="T52" s="77">
        <f t="shared" si="115"/>
        <v>0</v>
      </c>
      <c r="U52" s="77">
        <f t="shared" si="115"/>
        <v>0</v>
      </c>
      <c r="V52" s="77">
        <f t="shared" si="115"/>
        <v>-14728</v>
      </c>
      <c r="W52" s="77">
        <f t="shared" si="115"/>
        <v>0</v>
      </c>
      <c r="X52" s="77">
        <f t="shared" si="115"/>
        <v>-14728</v>
      </c>
      <c r="Y52" s="77">
        <f t="shared" si="115"/>
        <v>0</v>
      </c>
      <c r="Z52" s="77">
        <f t="shared" si="115"/>
        <v>0</v>
      </c>
      <c r="AA52" s="77">
        <f t="shared" si="115"/>
        <v>0</v>
      </c>
      <c r="AB52" s="77">
        <f t="shared" si="115"/>
        <v>0</v>
      </c>
      <c r="AC52" s="77">
        <f t="shared" si="115"/>
        <v>-14728</v>
      </c>
      <c r="AD52" s="77">
        <f t="shared" si="115"/>
        <v>-4978</v>
      </c>
      <c r="AE52" s="77">
        <f t="shared" si="115"/>
        <v>-295</v>
      </c>
      <c r="AF52" s="77">
        <f t="shared" si="115"/>
        <v>0</v>
      </c>
      <c r="AG52" s="77">
        <f t="shared" si="115"/>
        <v>20001</v>
      </c>
      <c r="AH52" s="77">
        <f t="shared" si="115"/>
        <v>20001</v>
      </c>
      <c r="AI52" s="77">
        <f t="shared" si="115"/>
        <v>0</v>
      </c>
      <c r="AJ52" s="78">
        <f t="shared" si="115"/>
        <v>0</v>
      </c>
      <c r="AK52" s="78">
        <f t="shared" si="115"/>
        <v>0</v>
      </c>
      <c r="AL52" s="78">
        <f t="shared" si="115"/>
        <v>0</v>
      </c>
      <c r="AM52" s="78">
        <f t="shared" si="115"/>
        <v>0</v>
      </c>
      <c r="AN52" s="78">
        <f t="shared" si="115"/>
        <v>0</v>
      </c>
      <c r="AO52" s="78">
        <f t="shared" si="115"/>
        <v>0</v>
      </c>
      <c r="AP52" s="78">
        <f t="shared" si="115"/>
        <v>0</v>
      </c>
      <c r="AQ52" s="78">
        <f t="shared" si="115"/>
        <v>0</v>
      </c>
      <c r="AR52" s="78">
        <f t="shared" si="115"/>
        <v>0</v>
      </c>
      <c r="AS52" s="78">
        <f t="shared" si="115"/>
        <v>0</v>
      </c>
      <c r="AT52" s="79">
        <f t="shared" si="115"/>
        <v>0</v>
      </c>
      <c r="AU52" s="433">
        <f t="shared" si="115"/>
        <v>4383575</v>
      </c>
      <c r="AV52" s="77">
        <f t="shared" si="115"/>
        <v>3172856</v>
      </c>
      <c r="AW52" s="77">
        <f t="shared" si="115"/>
        <v>22000</v>
      </c>
      <c r="AX52" s="77">
        <f t="shared" si="115"/>
        <v>1079861</v>
      </c>
      <c r="AY52" s="77">
        <f t="shared" si="115"/>
        <v>63457</v>
      </c>
      <c r="AZ52" s="77">
        <f t="shared" si="115"/>
        <v>45401</v>
      </c>
      <c r="BA52" s="78">
        <f t="shared" si="115"/>
        <v>7.3055999999999992</v>
      </c>
      <c r="BB52" s="78">
        <f t="shared" si="115"/>
        <v>4.2257999999999996</v>
      </c>
      <c r="BC52" s="79">
        <f t="shared" si="115"/>
        <v>3.0798000000000001</v>
      </c>
    </row>
    <row r="53" spans="1:55" ht="14.1" customHeight="1" x14ac:dyDescent="0.2">
      <c r="A53" s="68">
        <v>12</v>
      </c>
      <c r="B53" s="65">
        <v>2428</v>
      </c>
      <c r="C53" s="66">
        <v>600079112</v>
      </c>
      <c r="D53" s="65">
        <v>72743140</v>
      </c>
      <c r="E53" s="67" t="s">
        <v>587</v>
      </c>
      <c r="F53" s="68">
        <v>3111</v>
      </c>
      <c r="G53" s="67" t="s">
        <v>311</v>
      </c>
      <c r="H53" s="69" t="s">
        <v>277</v>
      </c>
      <c r="I53" s="477">
        <v>7239208</v>
      </c>
      <c r="J53" s="643">
        <v>5228035</v>
      </c>
      <c r="K53" s="643">
        <v>72000</v>
      </c>
      <c r="L53" s="472">
        <v>1791412</v>
      </c>
      <c r="M53" s="472">
        <v>104561</v>
      </c>
      <c r="N53" s="472">
        <v>43200</v>
      </c>
      <c r="O53" s="473">
        <v>11.282399999999999</v>
      </c>
      <c r="P53" s="473">
        <v>8.7742000000000004</v>
      </c>
      <c r="Q53" s="483">
        <v>2.5082</v>
      </c>
      <c r="R53" s="485">
        <f t="shared" ref="R53:R54" si="116">Y53*-1</f>
        <v>0</v>
      </c>
      <c r="S53" s="475">
        <v>0</v>
      </c>
      <c r="T53" s="475">
        <v>0</v>
      </c>
      <c r="U53" s="475">
        <v>0</v>
      </c>
      <c r="V53" s="475">
        <v>-11046</v>
      </c>
      <c r="W53" s="475">
        <v>0</v>
      </c>
      <c r="X53" s="475">
        <f t="shared" ref="X53:X54" si="117">SUM(R53:W53)</f>
        <v>-11046</v>
      </c>
      <c r="Y53" s="475">
        <v>0</v>
      </c>
      <c r="Z53" s="475">
        <v>0</v>
      </c>
      <c r="AA53" s="475">
        <v>0</v>
      </c>
      <c r="AB53" s="475">
        <f t="shared" ref="AB53:AB54" si="118">SUM(Y53:AA53)</f>
        <v>0</v>
      </c>
      <c r="AC53" s="475">
        <f t="shared" ref="AC53:AC54" si="119">X53+AB53</f>
        <v>-11046</v>
      </c>
      <c r="AD53" s="70">
        <f t="shared" ref="AD53:AD54" si="120">ROUND((X53+Y53+Z53)*33.8%,0)</f>
        <v>-3734</v>
      </c>
      <c r="AE53" s="70">
        <f t="shared" ref="AE53:AE54" si="121">ROUND(X53*2%,0)</f>
        <v>-221</v>
      </c>
      <c r="AF53" s="475">
        <v>0</v>
      </c>
      <c r="AG53" s="475">
        <v>15001</v>
      </c>
      <c r="AH53" s="475">
        <f t="shared" ref="AH53:AH54" si="122">SUM(AF53:AG53)</f>
        <v>15001</v>
      </c>
      <c r="AI53" s="475">
        <f t="shared" ref="AI53:AI54" si="123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 t="shared" si="17"/>
        <v>0</v>
      </c>
      <c r="AS53" s="476">
        <f t="shared" si="18"/>
        <v>0</v>
      </c>
      <c r="AT53" s="478">
        <f t="shared" si="19"/>
        <v>0</v>
      </c>
      <c r="AU53" s="484">
        <f>I53+AI53</f>
        <v>7239208</v>
      </c>
      <c r="AV53" s="475">
        <f>J53+X53</f>
        <v>5216989</v>
      </c>
      <c r="AW53" s="475">
        <f>K53+AB53</f>
        <v>72000</v>
      </c>
      <c r="AX53" s="475">
        <f>L53+AD53</f>
        <v>1787678</v>
      </c>
      <c r="AY53" s="475">
        <f>M53+AE53</f>
        <v>104340</v>
      </c>
      <c r="AZ53" s="475">
        <f>N53+AH53</f>
        <v>58201</v>
      </c>
      <c r="BA53" s="476">
        <f>O53+AT53</f>
        <v>11.282399999999999</v>
      </c>
      <c r="BB53" s="476">
        <f>P53+AR53</f>
        <v>8.7742000000000004</v>
      </c>
      <c r="BC53" s="478">
        <f>Q53+AS53</f>
        <v>2.5082</v>
      </c>
    </row>
    <row r="54" spans="1:55" ht="14.1" customHeight="1" x14ac:dyDescent="0.2">
      <c r="A54" s="68">
        <v>12</v>
      </c>
      <c r="B54" s="65">
        <v>2428</v>
      </c>
      <c r="C54" s="66">
        <v>600079112</v>
      </c>
      <c r="D54" s="65">
        <v>72743140</v>
      </c>
      <c r="E54" s="67" t="s">
        <v>587</v>
      </c>
      <c r="F54" s="68">
        <v>3141</v>
      </c>
      <c r="G54" s="67" t="s">
        <v>315</v>
      </c>
      <c r="H54" s="69" t="s">
        <v>278</v>
      </c>
      <c r="I54" s="477">
        <v>1073787</v>
      </c>
      <c r="J54" s="472">
        <v>785626</v>
      </c>
      <c r="K54" s="472">
        <v>1000</v>
      </c>
      <c r="L54" s="472">
        <v>265880</v>
      </c>
      <c r="M54" s="472">
        <v>15713</v>
      </c>
      <c r="N54" s="472">
        <v>5568</v>
      </c>
      <c r="O54" s="473">
        <v>2.48</v>
      </c>
      <c r="P54" s="474">
        <v>0</v>
      </c>
      <c r="Q54" s="483">
        <v>2.48</v>
      </c>
      <c r="R54" s="485">
        <f t="shared" si="116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17"/>
        <v>0</v>
      </c>
      <c r="Y54" s="475">
        <v>0</v>
      </c>
      <c r="Z54" s="475">
        <v>0</v>
      </c>
      <c r="AA54" s="475">
        <v>0</v>
      </c>
      <c r="AB54" s="475">
        <f t="shared" si="118"/>
        <v>0</v>
      </c>
      <c r="AC54" s="475">
        <f t="shared" si="119"/>
        <v>0</v>
      </c>
      <c r="AD54" s="70">
        <f t="shared" si="120"/>
        <v>0</v>
      </c>
      <c r="AE54" s="70">
        <f t="shared" si="121"/>
        <v>0</v>
      </c>
      <c r="AF54" s="475">
        <v>0</v>
      </c>
      <c r="AG54" s="475">
        <v>0</v>
      </c>
      <c r="AH54" s="475">
        <f t="shared" si="122"/>
        <v>0</v>
      </c>
      <c r="AI54" s="475">
        <f t="shared" si="123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 t="shared" si="17"/>
        <v>0</v>
      </c>
      <c r="AS54" s="476">
        <f t="shared" si="18"/>
        <v>0</v>
      </c>
      <c r="AT54" s="478">
        <f t="shared" si="19"/>
        <v>0</v>
      </c>
      <c r="AU54" s="484">
        <f>I54+AI54</f>
        <v>1073787</v>
      </c>
      <c r="AV54" s="475">
        <f>J54+X54</f>
        <v>785626</v>
      </c>
      <c r="AW54" s="475">
        <f>K54+AB54</f>
        <v>1000</v>
      </c>
      <c r="AX54" s="475">
        <f>L54+AD54</f>
        <v>265880</v>
      </c>
      <c r="AY54" s="475">
        <f>M54+AE54</f>
        <v>15713</v>
      </c>
      <c r="AZ54" s="475">
        <f>N54+AH54</f>
        <v>5568</v>
      </c>
      <c r="BA54" s="476">
        <f>O54+AT54</f>
        <v>2.48</v>
      </c>
      <c r="BB54" s="476">
        <f>P54+AR54</f>
        <v>0</v>
      </c>
      <c r="BC54" s="478">
        <f>Q54+AS54</f>
        <v>2.48</v>
      </c>
    </row>
    <row r="55" spans="1:55" ht="14.1" customHeight="1" x14ac:dyDescent="0.2">
      <c r="A55" s="74">
        <v>12</v>
      </c>
      <c r="B55" s="71">
        <v>2428</v>
      </c>
      <c r="C55" s="72">
        <v>600079112</v>
      </c>
      <c r="D55" s="71">
        <v>72743140</v>
      </c>
      <c r="E55" s="73" t="s">
        <v>588</v>
      </c>
      <c r="F55" s="74"/>
      <c r="G55" s="73"/>
      <c r="H55" s="75"/>
      <c r="I55" s="76">
        <v>8312995</v>
      </c>
      <c r="J55" s="77">
        <v>6013661</v>
      </c>
      <c r="K55" s="77">
        <v>73000</v>
      </c>
      <c r="L55" s="77">
        <v>2057292</v>
      </c>
      <c r="M55" s="77">
        <v>120274</v>
      </c>
      <c r="N55" s="77">
        <v>48768</v>
      </c>
      <c r="O55" s="78">
        <v>13.7624</v>
      </c>
      <c r="P55" s="78">
        <v>8.7742000000000004</v>
      </c>
      <c r="Q55" s="718">
        <v>4.9882</v>
      </c>
      <c r="R55" s="76">
        <f t="shared" ref="R55:BC55" si="124">SUM(R53:R54)</f>
        <v>0</v>
      </c>
      <c r="S55" s="77">
        <f t="shared" si="124"/>
        <v>0</v>
      </c>
      <c r="T55" s="77">
        <f t="shared" si="124"/>
        <v>0</v>
      </c>
      <c r="U55" s="77">
        <f t="shared" si="124"/>
        <v>0</v>
      </c>
      <c r="V55" s="77">
        <f t="shared" si="124"/>
        <v>-11046</v>
      </c>
      <c r="W55" s="77">
        <f t="shared" si="124"/>
        <v>0</v>
      </c>
      <c r="X55" s="77">
        <f t="shared" si="124"/>
        <v>-11046</v>
      </c>
      <c r="Y55" s="77">
        <f t="shared" si="124"/>
        <v>0</v>
      </c>
      <c r="Z55" s="77">
        <f t="shared" si="124"/>
        <v>0</v>
      </c>
      <c r="AA55" s="77">
        <f t="shared" si="124"/>
        <v>0</v>
      </c>
      <c r="AB55" s="77">
        <f t="shared" si="124"/>
        <v>0</v>
      </c>
      <c r="AC55" s="77">
        <f t="shared" si="124"/>
        <v>-11046</v>
      </c>
      <c r="AD55" s="77">
        <f t="shared" si="124"/>
        <v>-3734</v>
      </c>
      <c r="AE55" s="77">
        <f t="shared" si="124"/>
        <v>-221</v>
      </c>
      <c r="AF55" s="77">
        <f t="shared" si="124"/>
        <v>0</v>
      </c>
      <c r="AG55" s="77">
        <f t="shared" si="124"/>
        <v>15001</v>
      </c>
      <c r="AH55" s="77">
        <f t="shared" si="124"/>
        <v>15001</v>
      </c>
      <c r="AI55" s="77">
        <f t="shared" si="124"/>
        <v>0</v>
      </c>
      <c r="AJ55" s="78">
        <f t="shared" si="124"/>
        <v>0</v>
      </c>
      <c r="AK55" s="78">
        <f t="shared" si="124"/>
        <v>0</v>
      </c>
      <c r="AL55" s="78">
        <f t="shared" si="124"/>
        <v>0</v>
      </c>
      <c r="AM55" s="78">
        <f t="shared" si="124"/>
        <v>0</v>
      </c>
      <c r="AN55" s="78">
        <f t="shared" si="124"/>
        <v>0</v>
      </c>
      <c r="AO55" s="78">
        <f t="shared" si="124"/>
        <v>0</v>
      </c>
      <c r="AP55" s="78">
        <f t="shared" si="124"/>
        <v>0</v>
      </c>
      <c r="AQ55" s="78">
        <f t="shared" si="124"/>
        <v>0</v>
      </c>
      <c r="AR55" s="78">
        <f t="shared" si="124"/>
        <v>0</v>
      </c>
      <c r="AS55" s="78">
        <f t="shared" si="124"/>
        <v>0</v>
      </c>
      <c r="AT55" s="79">
        <f t="shared" si="124"/>
        <v>0</v>
      </c>
      <c r="AU55" s="433">
        <f t="shared" si="124"/>
        <v>8312995</v>
      </c>
      <c r="AV55" s="77">
        <f t="shared" si="124"/>
        <v>6002615</v>
      </c>
      <c r="AW55" s="77">
        <f t="shared" si="124"/>
        <v>73000</v>
      </c>
      <c r="AX55" s="77">
        <f t="shared" si="124"/>
        <v>2053558</v>
      </c>
      <c r="AY55" s="77">
        <f t="shared" si="124"/>
        <v>120053</v>
      </c>
      <c r="AZ55" s="77">
        <f t="shared" si="124"/>
        <v>63769</v>
      </c>
      <c r="BA55" s="78">
        <f t="shared" si="124"/>
        <v>13.7624</v>
      </c>
      <c r="BB55" s="78">
        <f t="shared" si="124"/>
        <v>8.7742000000000004</v>
      </c>
      <c r="BC55" s="79">
        <f t="shared" si="124"/>
        <v>4.9882</v>
      </c>
    </row>
    <row r="56" spans="1:55" ht="14.1" customHeight="1" x14ac:dyDescent="0.2">
      <c r="A56" s="68">
        <v>13</v>
      </c>
      <c r="B56" s="65">
        <v>2413</v>
      </c>
      <c r="C56" s="66">
        <v>600079601</v>
      </c>
      <c r="D56" s="65">
        <v>72742909</v>
      </c>
      <c r="E56" s="67" t="s">
        <v>589</v>
      </c>
      <c r="F56" s="68">
        <v>3111</v>
      </c>
      <c r="G56" s="67" t="s">
        <v>311</v>
      </c>
      <c r="H56" s="69" t="s">
        <v>277</v>
      </c>
      <c r="I56" s="477">
        <v>5286202</v>
      </c>
      <c r="J56" s="643">
        <v>3859173</v>
      </c>
      <c r="K56" s="643">
        <v>9750</v>
      </c>
      <c r="L56" s="472">
        <v>1307696</v>
      </c>
      <c r="M56" s="472">
        <v>77183</v>
      </c>
      <c r="N56" s="472">
        <v>32400</v>
      </c>
      <c r="O56" s="473">
        <v>8.3765999999999998</v>
      </c>
      <c r="P56" s="473">
        <v>6.2423999999999999</v>
      </c>
      <c r="Q56" s="483">
        <v>2.1341999999999999</v>
      </c>
      <c r="R56" s="485">
        <f t="shared" ref="R56:R58" si="125">Y56*-1</f>
        <v>0</v>
      </c>
      <c r="S56" s="475">
        <v>0</v>
      </c>
      <c r="T56" s="475">
        <v>0</v>
      </c>
      <c r="U56" s="475">
        <v>0</v>
      </c>
      <c r="V56" s="475">
        <v>-29455</v>
      </c>
      <c r="W56" s="475">
        <v>0</v>
      </c>
      <c r="X56" s="475">
        <f t="shared" ref="X56:X58" si="126">SUM(R56:W56)</f>
        <v>-29455</v>
      </c>
      <c r="Y56" s="475">
        <v>0</v>
      </c>
      <c r="Z56" s="475">
        <v>0</v>
      </c>
      <c r="AA56" s="475">
        <v>0</v>
      </c>
      <c r="AB56" s="475">
        <f t="shared" ref="AB56:AB58" si="127">SUM(Y56:AA56)</f>
        <v>0</v>
      </c>
      <c r="AC56" s="475">
        <f t="shared" ref="AC56:AC58" si="128">X56+AB56</f>
        <v>-29455</v>
      </c>
      <c r="AD56" s="70">
        <f t="shared" ref="AD56:AD58" si="129">ROUND((X56+Y56+Z56)*33.8%,0)</f>
        <v>-9956</v>
      </c>
      <c r="AE56" s="70">
        <f t="shared" ref="AE56:AE58" si="130">ROUND(X56*2%,0)</f>
        <v>-589</v>
      </c>
      <c r="AF56" s="475">
        <v>0</v>
      </c>
      <c r="AG56" s="475">
        <v>40000</v>
      </c>
      <c r="AH56" s="475">
        <f t="shared" ref="AH56:AH58" si="131">SUM(AF56:AG56)</f>
        <v>40000</v>
      </c>
      <c r="AI56" s="475">
        <f t="shared" ref="AI56:AI58" si="132">AC56+AD56+AE56+AH56</f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 t="shared" si="17"/>
        <v>0</v>
      </c>
      <c r="AS56" s="476">
        <f t="shared" si="18"/>
        <v>0</v>
      </c>
      <c r="AT56" s="478">
        <f t="shared" si="19"/>
        <v>0</v>
      </c>
      <c r="AU56" s="484">
        <f>I56+AI56</f>
        <v>5286202</v>
      </c>
      <c r="AV56" s="475">
        <f>J56+X56</f>
        <v>3829718</v>
      </c>
      <c r="AW56" s="475">
        <f>K56+AB56</f>
        <v>9750</v>
      </c>
      <c r="AX56" s="475">
        <f t="shared" ref="AX56:AY58" si="133">L56+AD56</f>
        <v>1297740</v>
      </c>
      <c r="AY56" s="475">
        <f t="shared" si="133"/>
        <v>76594</v>
      </c>
      <c r="AZ56" s="475">
        <f>N56+AH56</f>
        <v>72400</v>
      </c>
      <c r="BA56" s="476">
        <f>O56+AT56</f>
        <v>8.3765999999999998</v>
      </c>
      <c r="BB56" s="476">
        <f t="shared" ref="BB56:BC58" si="134">P56+AR56</f>
        <v>6.2423999999999999</v>
      </c>
      <c r="BC56" s="478">
        <f t="shared" si="134"/>
        <v>2.1341999999999999</v>
      </c>
    </row>
    <row r="57" spans="1:55" ht="14.1" customHeight="1" x14ac:dyDescent="0.2">
      <c r="A57" s="68">
        <v>13</v>
      </c>
      <c r="B57" s="65">
        <v>2413</v>
      </c>
      <c r="C57" s="66">
        <v>600079601</v>
      </c>
      <c r="D57" s="65">
        <v>72742909</v>
      </c>
      <c r="E57" s="67" t="s">
        <v>589</v>
      </c>
      <c r="F57" s="68">
        <v>3111</v>
      </c>
      <c r="G57" s="80" t="s">
        <v>312</v>
      </c>
      <c r="H57" s="69" t="s">
        <v>278</v>
      </c>
      <c r="I57" s="477">
        <v>0</v>
      </c>
      <c r="J57" s="472">
        <v>0</v>
      </c>
      <c r="K57" s="472">
        <v>0</v>
      </c>
      <c r="L57" s="472">
        <v>0</v>
      </c>
      <c r="M57" s="472">
        <v>0</v>
      </c>
      <c r="N57" s="472">
        <v>0</v>
      </c>
      <c r="O57" s="473">
        <v>0</v>
      </c>
      <c r="P57" s="474">
        <v>0</v>
      </c>
      <c r="Q57" s="483">
        <v>0</v>
      </c>
      <c r="R57" s="485">
        <f t="shared" si="125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26"/>
        <v>0</v>
      </c>
      <c r="Y57" s="475">
        <v>0</v>
      </c>
      <c r="Z57" s="475">
        <v>0</v>
      </c>
      <c r="AA57" s="475">
        <v>0</v>
      </c>
      <c r="AB57" s="475">
        <f t="shared" si="127"/>
        <v>0</v>
      </c>
      <c r="AC57" s="475">
        <f t="shared" si="128"/>
        <v>0</v>
      </c>
      <c r="AD57" s="70">
        <f t="shared" si="129"/>
        <v>0</v>
      </c>
      <c r="AE57" s="70">
        <f t="shared" si="130"/>
        <v>0</v>
      </c>
      <c r="AF57" s="475">
        <v>0</v>
      </c>
      <c r="AG57" s="475">
        <v>0</v>
      </c>
      <c r="AH57" s="475">
        <f t="shared" si="131"/>
        <v>0</v>
      </c>
      <c r="AI57" s="475">
        <f t="shared" si="132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si="17"/>
        <v>0</v>
      </c>
      <c r="AS57" s="476">
        <f t="shared" si="18"/>
        <v>0</v>
      </c>
      <c r="AT57" s="478">
        <f t="shared" si="19"/>
        <v>0</v>
      </c>
      <c r="AU57" s="484">
        <f>I57+AI57</f>
        <v>0</v>
      </c>
      <c r="AV57" s="475">
        <f>J57+X57</f>
        <v>0</v>
      </c>
      <c r="AW57" s="475">
        <f>K57+AB57</f>
        <v>0</v>
      </c>
      <c r="AX57" s="475">
        <f t="shared" si="133"/>
        <v>0</v>
      </c>
      <c r="AY57" s="475">
        <f t="shared" si="133"/>
        <v>0</v>
      </c>
      <c r="AZ57" s="475">
        <f>N57+AH57</f>
        <v>0</v>
      </c>
      <c r="BA57" s="476">
        <f>O57+AT57</f>
        <v>0</v>
      </c>
      <c r="BB57" s="476">
        <f t="shared" si="134"/>
        <v>0</v>
      </c>
      <c r="BC57" s="478">
        <f t="shared" si="134"/>
        <v>0</v>
      </c>
    </row>
    <row r="58" spans="1:55" ht="14.1" customHeight="1" x14ac:dyDescent="0.2">
      <c r="A58" s="68">
        <v>13</v>
      </c>
      <c r="B58" s="65">
        <v>2413</v>
      </c>
      <c r="C58" s="66">
        <v>600079601</v>
      </c>
      <c r="D58" s="65">
        <v>72742909</v>
      </c>
      <c r="E58" s="67" t="s">
        <v>589</v>
      </c>
      <c r="F58" s="68">
        <v>3141</v>
      </c>
      <c r="G58" s="67" t="s">
        <v>315</v>
      </c>
      <c r="H58" s="69" t="s">
        <v>278</v>
      </c>
      <c r="I58" s="477">
        <v>880114</v>
      </c>
      <c r="J58" s="472">
        <v>645021</v>
      </c>
      <c r="K58" s="472">
        <v>0</v>
      </c>
      <c r="L58" s="472">
        <v>218017</v>
      </c>
      <c r="M58" s="472">
        <v>12900</v>
      </c>
      <c r="N58" s="472">
        <v>4176</v>
      </c>
      <c r="O58" s="473">
        <v>2.0299999999999998</v>
      </c>
      <c r="P58" s="474">
        <v>0</v>
      </c>
      <c r="Q58" s="483">
        <v>2.0299999999999998</v>
      </c>
      <c r="R58" s="485">
        <f t="shared" si="125"/>
        <v>0</v>
      </c>
      <c r="S58" s="475">
        <v>0</v>
      </c>
      <c r="T58" s="755">
        <v>-8128</v>
      </c>
      <c r="U58" s="475">
        <v>0</v>
      </c>
      <c r="V58" s="475">
        <v>0</v>
      </c>
      <c r="W58" s="475">
        <v>0</v>
      </c>
      <c r="X58" s="475">
        <f t="shared" si="126"/>
        <v>-8128</v>
      </c>
      <c r="Y58" s="475">
        <v>0</v>
      </c>
      <c r="Z58" s="475">
        <v>0</v>
      </c>
      <c r="AA58" s="475">
        <v>0</v>
      </c>
      <c r="AB58" s="475">
        <f t="shared" si="127"/>
        <v>0</v>
      </c>
      <c r="AC58" s="475">
        <f t="shared" si="128"/>
        <v>-8128</v>
      </c>
      <c r="AD58" s="70">
        <f t="shared" si="129"/>
        <v>-2747</v>
      </c>
      <c r="AE58" s="70">
        <f t="shared" si="130"/>
        <v>-163</v>
      </c>
      <c r="AF58" s="475">
        <v>0</v>
      </c>
      <c r="AG58" s="475">
        <v>0</v>
      </c>
      <c r="AH58" s="475">
        <f t="shared" si="131"/>
        <v>0</v>
      </c>
      <c r="AI58" s="475">
        <f t="shared" si="132"/>
        <v>-11038</v>
      </c>
      <c r="AJ58" s="476">
        <v>0</v>
      </c>
      <c r="AK58" s="476">
        <v>0</v>
      </c>
      <c r="AL58" s="476">
        <v>0</v>
      </c>
      <c r="AM58" s="476">
        <v>0</v>
      </c>
      <c r="AN58" s="756">
        <v>-3.0000000000000027E-2</v>
      </c>
      <c r="AO58" s="476">
        <v>0</v>
      </c>
      <c r="AP58" s="476">
        <v>0</v>
      </c>
      <c r="AQ58" s="476">
        <v>0</v>
      </c>
      <c r="AR58" s="476">
        <f t="shared" si="17"/>
        <v>0</v>
      </c>
      <c r="AS58" s="476">
        <f t="shared" si="18"/>
        <v>-3.0000000000000027E-2</v>
      </c>
      <c r="AT58" s="478">
        <f t="shared" si="19"/>
        <v>-3.0000000000000027E-2</v>
      </c>
      <c r="AU58" s="484">
        <f>I58+AI58</f>
        <v>869076</v>
      </c>
      <c r="AV58" s="475">
        <f>J58+X58</f>
        <v>636893</v>
      </c>
      <c r="AW58" s="475">
        <f>K58+AB58</f>
        <v>0</v>
      </c>
      <c r="AX58" s="475">
        <f t="shared" si="133"/>
        <v>215270</v>
      </c>
      <c r="AY58" s="475">
        <f t="shared" si="133"/>
        <v>12737</v>
      </c>
      <c r="AZ58" s="475">
        <f>N58+AH58</f>
        <v>4176</v>
      </c>
      <c r="BA58" s="476">
        <f>O58+AT58</f>
        <v>1.9999999999999998</v>
      </c>
      <c r="BB58" s="476">
        <f t="shared" si="134"/>
        <v>0</v>
      </c>
      <c r="BC58" s="478">
        <f t="shared" si="134"/>
        <v>1.9999999999999998</v>
      </c>
    </row>
    <row r="59" spans="1:55" ht="14.1" customHeight="1" x14ac:dyDescent="0.2">
      <c r="A59" s="74">
        <v>13</v>
      </c>
      <c r="B59" s="71">
        <v>2413</v>
      </c>
      <c r="C59" s="72">
        <v>600079601</v>
      </c>
      <c r="D59" s="71">
        <v>72742909</v>
      </c>
      <c r="E59" s="73" t="s">
        <v>590</v>
      </c>
      <c r="F59" s="74"/>
      <c r="G59" s="73"/>
      <c r="H59" s="75"/>
      <c r="I59" s="76">
        <v>6166316</v>
      </c>
      <c r="J59" s="77">
        <v>4504194</v>
      </c>
      <c r="K59" s="77">
        <v>9750</v>
      </c>
      <c r="L59" s="77">
        <v>1525713</v>
      </c>
      <c r="M59" s="77">
        <v>90083</v>
      </c>
      <c r="N59" s="77">
        <v>36576</v>
      </c>
      <c r="O59" s="78">
        <v>10.406599999999999</v>
      </c>
      <c r="P59" s="78">
        <v>6.2423999999999999</v>
      </c>
      <c r="Q59" s="718">
        <v>4.1641999999999992</v>
      </c>
      <c r="R59" s="76">
        <f t="shared" ref="R59:BC59" si="135">SUM(R56:R58)</f>
        <v>0</v>
      </c>
      <c r="S59" s="77">
        <f t="shared" si="135"/>
        <v>0</v>
      </c>
      <c r="T59" s="77">
        <f t="shared" si="135"/>
        <v>-8128</v>
      </c>
      <c r="U59" s="77">
        <f t="shared" si="135"/>
        <v>0</v>
      </c>
      <c r="V59" s="77">
        <f t="shared" si="135"/>
        <v>-29455</v>
      </c>
      <c r="W59" s="77">
        <f t="shared" si="135"/>
        <v>0</v>
      </c>
      <c r="X59" s="77">
        <f t="shared" si="135"/>
        <v>-37583</v>
      </c>
      <c r="Y59" s="77">
        <f t="shared" si="135"/>
        <v>0</v>
      </c>
      <c r="Z59" s="77">
        <f t="shared" si="135"/>
        <v>0</v>
      </c>
      <c r="AA59" s="77">
        <f t="shared" si="135"/>
        <v>0</v>
      </c>
      <c r="AB59" s="77">
        <f t="shared" si="135"/>
        <v>0</v>
      </c>
      <c r="AC59" s="77">
        <f t="shared" si="135"/>
        <v>-37583</v>
      </c>
      <c r="AD59" s="77">
        <f t="shared" si="135"/>
        <v>-12703</v>
      </c>
      <c r="AE59" s="77">
        <f t="shared" si="135"/>
        <v>-752</v>
      </c>
      <c r="AF59" s="77">
        <f t="shared" si="135"/>
        <v>0</v>
      </c>
      <c r="AG59" s="77">
        <f t="shared" si="135"/>
        <v>40000</v>
      </c>
      <c r="AH59" s="77">
        <f t="shared" si="135"/>
        <v>40000</v>
      </c>
      <c r="AI59" s="77">
        <f t="shared" si="135"/>
        <v>-11038</v>
      </c>
      <c r="AJ59" s="78">
        <f t="shared" si="135"/>
        <v>0</v>
      </c>
      <c r="AK59" s="78">
        <f t="shared" si="135"/>
        <v>0</v>
      </c>
      <c r="AL59" s="78">
        <f t="shared" si="135"/>
        <v>0</v>
      </c>
      <c r="AM59" s="78">
        <f t="shared" si="135"/>
        <v>0</v>
      </c>
      <c r="AN59" s="78">
        <f t="shared" si="135"/>
        <v>-3.0000000000000027E-2</v>
      </c>
      <c r="AO59" s="78">
        <f t="shared" si="135"/>
        <v>0</v>
      </c>
      <c r="AP59" s="78">
        <f t="shared" si="135"/>
        <v>0</v>
      </c>
      <c r="AQ59" s="78">
        <f t="shared" si="135"/>
        <v>0</v>
      </c>
      <c r="AR59" s="78">
        <f t="shared" si="135"/>
        <v>0</v>
      </c>
      <c r="AS59" s="78">
        <f t="shared" si="135"/>
        <v>-3.0000000000000027E-2</v>
      </c>
      <c r="AT59" s="79">
        <f t="shared" si="135"/>
        <v>-3.0000000000000027E-2</v>
      </c>
      <c r="AU59" s="433">
        <f t="shared" si="135"/>
        <v>6155278</v>
      </c>
      <c r="AV59" s="77">
        <f t="shared" si="135"/>
        <v>4466611</v>
      </c>
      <c r="AW59" s="77">
        <f t="shared" si="135"/>
        <v>9750</v>
      </c>
      <c r="AX59" s="77">
        <f t="shared" si="135"/>
        <v>1513010</v>
      </c>
      <c r="AY59" s="77">
        <f t="shared" si="135"/>
        <v>89331</v>
      </c>
      <c r="AZ59" s="77">
        <f t="shared" si="135"/>
        <v>76576</v>
      </c>
      <c r="BA59" s="78">
        <f t="shared" si="135"/>
        <v>10.3766</v>
      </c>
      <c r="BB59" s="78">
        <f t="shared" si="135"/>
        <v>6.2423999999999999</v>
      </c>
      <c r="BC59" s="79">
        <f t="shared" si="135"/>
        <v>4.1341999999999999</v>
      </c>
    </row>
    <row r="60" spans="1:55" ht="14.1" customHeight="1" x14ac:dyDescent="0.2">
      <c r="A60" s="68">
        <v>14</v>
      </c>
      <c r="B60" s="65">
        <v>2410</v>
      </c>
      <c r="C60" s="66">
        <v>600079121</v>
      </c>
      <c r="D60" s="65">
        <v>72742348</v>
      </c>
      <c r="E60" s="67" t="s">
        <v>591</v>
      </c>
      <c r="F60" s="68">
        <v>3111</v>
      </c>
      <c r="G60" s="67" t="s">
        <v>311</v>
      </c>
      <c r="H60" s="69" t="s">
        <v>277</v>
      </c>
      <c r="I60" s="477">
        <v>7317682</v>
      </c>
      <c r="J60" s="643">
        <v>5301495</v>
      </c>
      <c r="K60" s="643">
        <v>37520</v>
      </c>
      <c r="L60" s="472">
        <v>1804588</v>
      </c>
      <c r="M60" s="472">
        <v>106029</v>
      </c>
      <c r="N60" s="472">
        <v>68050</v>
      </c>
      <c r="O60" s="473">
        <v>11.4358</v>
      </c>
      <c r="P60" s="473">
        <v>8.5206000000000017</v>
      </c>
      <c r="Q60" s="483">
        <v>2.9152</v>
      </c>
      <c r="R60" s="485">
        <f t="shared" ref="R60:R62" si="136">Y60*-1</f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ref="X60:X62" si="137">SUM(R60:W60)</f>
        <v>0</v>
      </c>
      <c r="Y60" s="475">
        <v>0</v>
      </c>
      <c r="Z60" s="475">
        <v>0</v>
      </c>
      <c r="AA60" s="475">
        <v>0</v>
      </c>
      <c r="AB60" s="475">
        <f t="shared" ref="AB60:AB62" si="138">SUM(Y60:AA60)</f>
        <v>0</v>
      </c>
      <c r="AC60" s="475">
        <f t="shared" ref="AC60:AC62" si="139">X60+AB60</f>
        <v>0</v>
      </c>
      <c r="AD60" s="70">
        <f t="shared" ref="AD60:AD62" si="140">ROUND((X60+Y60+Z60)*33.8%,0)</f>
        <v>0</v>
      </c>
      <c r="AE60" s="70">
        <f t="shared" ref="AE60:AE62" si="141">ROUND(X60*2%,0)</f>
        <v>0</v>
      </c>
      <c r="AF60" s="475">
        <v>0</v>
      </c>
      <c r="AG60" s="475">
        <v>0</v>
      </c>
      <c r="AH60" s="475">
        <f t="shared" ref="AH60:AH62" si="142">SUM(AF60:AG60)</f>
        <v>0</v>
      </c>
      <c r="AI60" s="475">
        <f t="shared" ref="AI60:AI62" si="143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7"/>
        <v>0</v>
      </c>
      <c r="AS60" s="476">
        <f t="shared" si="18"/>
        <v>0</v>
      </c>
      <c r="AT60" s="478">
        <f t="shared" si="19"/>
        <v>0</v>
      </c>
      <c r="AU60" s="484">
        <f>I60+AI60</f>
        <v>7317682</v>
      </c>
      <c r="AV60" s="475">
        <f>J60+X60</f>
        <v>5301495</v>
      </c>
      <c r="AW60" s="475">
        <f>K60+AB60</f>
        <v>37520</v>
      </c>
      <c r="AX60" s="475">
        <f t="shared" ref="AX60:AY62" si="144">L60+AD60</f>
        <v>1804588</v>
      </c>
      <c r="AY60" s="475">
        <f t="shared" si="144"/>
        <v>106029</v>
      </c>
      <c r="AZ60" s="475">
        <f>N60+AH60</f>
        <v>68050</v>
      </c>
      <c r="BA60" s="476">
        <f>O60+AT60</f>
        <v>11.4358</v>
      </c>
      <c r="BB60" s="476">
        <f t="shared" ref="BB60:BC62" si="145">P60+AR60</f>
        <v>8.5206000000000017</v>
      </c>
      <c r="BC60" s="478">
        <f t="shared" si="145"/>
        <v>2.9152</v>
      </c>
    </row>
    <row r="61" spans="1:55" ht="14.1" customHeight="1" x14ac:dyDescent="0.2">
      <c r="A61" s="68">
        <v>14</v>
      </c>
      <c r="B61" s="65">
        <v>2410</v>
      </c>
      <c r="C61" s="66">
        <v>600079121</v>
      </c>
      <c r="D61" s="65">
        <v>72742348</v>
      </c>
      <c r="E61" s="67" t="s">
        <v>591</v>
      </c>
      <c r="F61" s="68">
        <v>3111</v>
      </c>
      <c r="G61" s="44" t="s">
        <v>313</v>
      </c>
      <c r="H61" s="69" t="s">
        <v>277</v>
      </c>
      <c r="I61" s="477">
        <v>427265</v>
      </c>
      <c r="J61" s="472">
        <v>314628</v>
      </c>
      <c r="K61" s="472">
        <v>0</v>
      </c>
      <c r="L61" s="472">
        <v>106344</v>
      </c>
      <c r="M61" s="472">
        <v>6293</v>
      </c>
      <c r="N61" s="472">
        <v>0</v>
      </c>
      <c r="O61" s="473">
        <v>1</v>
      </c>
      <c r="P61" s="473">
        <v>1</v>
      </c>
      <c r="Q61" s="483">
        <v>0</v>
      </c>
      <c r="R61" s="485">
        <f t="shared" si="136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37"/>
        <v>0</v>
      </c>
      <c r="Y61" s="475">
        <v>0</v>
      </c>
      <c r="Z61" s="475">
        <v>0</v>
      </c>
      <c r="AA61" s="475">
        <v>0</v>
      </c>
      <c r="AB61" s="475">
        <f t="shared" si="138"/>
        <v>0</v>
      </c>
      <c r="AC61" s="475">
        <f t="shared" si="139"/>
        <v>0</v>
      </c>
      <c r="AD61" s="70">
        <f t="shared" si="140"/>
        <v>0</v>
      </c>
      <c r="AE61" s="70">
        <f t="shared" si="141"/>
        <v>0</v>
      </c>
      <c r="AF61" s="475">
        <v>0</v>
      </c>
      <c r="AG61" s="475">
        <v>0</v>
      </c>
      <c r="AH61" s="475">
        <f t="shared" si="142"/>
        <v>0</v>
      </c>
      <c r="AI61" s="475">
        <f t="shared" si="143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7"/>
        <v>0</v>
      </c>
      <c r="AS61" s="476">
        <f t="shared" si="18"/>
        <v>0</v>
      </c>
      <c r="AT61" s="478">
        <f t="shared" si="19"/>
        <v>0</v>
      </c>
      <c r="AU61" s="484">
        <f>I61+AI61</f>
        <v>427265</v>
      </c>
      <c r="AV61" s="475">
        <f>J61+X61</f>
        <v>314628</v>
      </c>
      <c r="AW61" s="475">
        <f>K61+AB61</f>
        <v>0</v>
      </c>
      <c r="AX61" s="475">
        <f t="shared" si="144"/>
        <v>106344</v>
      </c>
      <c r="AY61" s="475">
        <f t="shared" si="144"/>
        <v>6293</v>
      </c>
      <c r="AZ61" s="475">
        <f>N61+AH61</f>
        <v>0</v>
      </c>
      <c r="BA61" s="476">
        <f>O61+AT61</f>
        <v>1</v>
      </c>
      <c r="BB61" s="476">
        <f t="shared" si="145"/>
        <v>1</v>
      </c>
      <c r="BC61" s="478">
        <f t="shared" si="145"/>
        <v>0</v>
      </c>
    </row>
    <row r="62" spans="1:55" ht="14.1" customHeight="1" x14ac:dyDescent="0.2">
      <c r="A62" s="68">
        <v>14</v>
      </c>
      <c r="B62" s="65">
        <v>2410</v>
      </c>
      <c r="C62" s="66">
        <v>600079121</v>
      </c>
      <c r="D62" s="65">
        <v>72742348</v>
      </c>
      <c r="E62" s="67" t="s">
        <v>591</v>
      </c>
      <c r="F62" s="68">
        <v>3141</v>
      </c>
      <c r="G62" s="67" t="s">
        <v>315</v>
      </c>
      <c r="H62" s="69" t="s">
        <v>278</v>
      </c>
      <c r="I62" s="477">
        <v>985813</v>
      </c>
      <c r="J62" s="472">
        <v>722300</v>
      </c>
      <c r="K62" s="472">
        <v>0</v>
      </c>
      <c r="L62" s="472">
        <v>244137</v>
      </c>
      <c r="M62" s="472">
        <v>14446</v>
      </c>
      <c r="N62" s="472">
        <v>4930</v>
      </c>
      <c r="O62" s="473">
        <v>2.27</v>
      </c>
      <c r="P62" s="474">
        <v>0</v>
      </c>
      <c r="Q62" s="483">
        <v>2.27</v>
      </c>
      <c r="R62" s="485">
        <f t="shared" si="136"/>
        <v>0</v>
      </c>
      <c r="S62" s="475">
        <v>0</v>
      </c>
      <c r="T62" s="755">
        <v>1955</v>
      </c>
      <c r="U62" s="475">
        <v>0</v>
      </c>
      <c r="V62" s="475">
        <v>0</v>
      </c>
      <c r="W62" s="475">
        <v>0</v>
      </c>
      <c r="X62" s="475">
        <f t="shared" si="137"/>
        <v>1955</v>
      </c>
      <c r="Y62" s="475">
        <v>0</v>
      </c>
      <c r="Z62" s="475">
        <v>0</v>
      </c>
      <c r="AA62" s="475">
        <v>0</v>
      </c>
      <c r="AB62" s="475">
        <f t="shared" si="138"/>
        <v>0</v>
      </c>
      <c r="AC62" s="475">
        <f t="shared" si="139"/>
        <v>1955</v>
      </c>
      <c r="AD62" s="70">
        <f t="shared" si="140"/>
        <v>661</v>
      </c>
      <c r="AE62" s="70">
        <f t="shared" si="141"/>
        <v>39</v>
      </c>
      <c r="AF62" s="475">
        <v>0</v>
      </c>
      <c r="AG62" s="475">
        <v>0</v>
      </c>
      <c r="AH62" s="475">
        <f t="shared" si="142"/>
        <v>0</v>
      </c>
      <c r="AI62" s="475">
        <f t="shared" si="143"/>
        <v>2655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7"/>
        <v>0</v>
      </c>
      <c r="AS62" s="476">
        <f t="shared" si="18"/>
        <v>0</v>
      </c>
      <c r="AT62" s="478">
        <f t="shared" si="19"/>
        <v>0</v>
      </c>
      <c r="AU62" s="484">
        <f>I62+AI62</f>
        <v>988468</v>
      </c>
      <c r="AV62" s="475">
        <f>J62+X62</f>
        <v>724255</v>
      </c>
      <c r="AW62" s="475">
        <f>K62+AB62</f>
        <v>0</v>
      </c>
      <c r="AX62" s="475">
        <f t="shared" si="144"/>
        <v>244798</v>
      </c>
      <c r="AY62" s="475">
        <f t="shared" si="144"/>
        <v>14485</v>
      </c>
      <c r="AZ62" s="475">
        <f>N62+AH62</f>
        <v>4930</v>
      </c>
      <c r="BA62" s="476">
        <f>O62+AT62</f>
        <v>2.27</v>
      </c>
      <c r="BB62" s="476">
        <f t="shared" si="145"/>
        <v>0</v>
      </c>
      <c r="BC62" s="478">
        <f t="shared" si="145"/>
        <v>2.27</v>
      </c>
    </row>
    <row r="63" spans="1:55" ht="14.1" customHeight="1" x14ac:dyDescent="0.2">
      <c r="A63" s="74">
        <v>14</v>
      </c>
      <c r="B63" s="71">
        <v>2410</v>
      </c>
      <c r="C63" s="72">
        <v>600079121</v>
      </c>
      <c r="D63" s="71">
        <v>72742348</v>
      </c>
      <c r="E63" s="73" t="s">
        <v>592</v>
      </c>
      <c r="F63" s="74"/>
      <c r="G63" s="73"/>
      <c r="H63" s="75"/>
      <c r="I63" s="76">
        <v>8730760</v>
      </c>
      <c r="J63" s="77">
        <v>6338423</v>
      </c>
      <c r="K63" s="77">
        <v>37520</v>
      </c>
      <c r="L63" s="77">
        <v>2155069</v>
      </c>
      <c r="M63" s="77">
        <v>126768</v>
      </c>
      <c r="N63" s="77">
        <v>72980</v>
      </c>
      <c r="O63" s="78">
        <v>14.7058</v>
      </c>
      <c r="P63" s="78">
        <v>9.5206000000000017</v>
      </c>
      <c r="Q63" s="718">
        <v>5.1852</v>
      </c>
      <c r="R63" s="76">
        <f t="shared" ref="R63:BC63" si="146">SUM(R60:R62)</f>
        <v>0</v>
      </c>
      <c r="S63" s="77">
        <f t="shared" si="146"/>
        <v>0</v>
      </c>
      <c r="T63" s="77">
        <f t="shared" si="146"/>
        <v>1955</v>
      </c>
      <c r="U63" s="77">
        <f t="shared" si="146"/>
        <v>0</v>
      </c>
      <c r="V63" s="77">
        <f t="shared" si="146"/>
        <v>0</v>
      </c>
      <c r="W63" s="77">
        <f t="shared" si="146"/>
        <v>0</v>
      </c>
      <c r="X63" s="77">
        <f t="shared" si="146"/>
        <v>1955</v>
      </c>
      <c r="Y63" s="77">
        <f t="shared" si="146"/>
        <v>0</v>
      </c>
      <c r="Z63" s="77">
        <f t="shared" si="146"/>
        <v>0</v>
      </c>
      <c r="AA63" s="77">
        <f t="shared" si="146"/>
        <v>0</v>
      </c>
      <c r="AB63" s="77">
        <f t="shared" si="146"/>
        <v>0</v>
      </c>
      <c r="AC63" s="77">
        <f t="shared" si="146"/>
        <v>1955</v>
      </c>
      <c r="AD63" s="77">
        <f t="shared" si="146"/>
        <v>661</v>
      </c>
      <c r="AE63" s="77">
        <f t="shared" si="146"/>
        <v>39</v>
      </c>
      <c r="AF63" s="77">
        <f t="shared" si="146"/>
        <v>0</v>
      </c>
      <c r="AG63" s="77">
        <f t="shared" si="146"/>
        <v>0</v>
      </c>
      <c r="AH63" s="77">
        <f t="shared" si="146"/>
        <v>0</v>
      </c>
      <c r="AI63" s="77">
        <f t="shared" si="146"/>
        <v>2655</v>
      </c>
      <c r="AJ63" s="78">
        <f t="shared" si="146"/>
        <v>0</v>
      </c>
      <c r="AK63" s="78">
        <f t="shared" si="146"/>
        <v>0</v>
      </c>
      <c r="AL63" s="78">
        <f t="shared" si="146"/>
        <v>0</v>
      </c>
      <c r="AM63" s="78">
        <f t="shared" si="146"/>
        <v>0</v>
      </c>
      <c r="AN63" s="78">
        <f t="shared" si="146"/>
        <v>0</v>
      </c>
      <c r="AO63" s="78">
        <f t="shared" si="146"/>
        <v>0</v>
      </c>
      <c r="AP63" s="78">
        <f t="shared" si="146"/>
        <v>0</v>
      </c>
      <c r="AQ63" s="78">
        <f t="shared" si="146"/>
        <v>0</v>
      </c>
      <c r="AR63" s="78">
        <f t="shared" si="146"/>
        <v>0</v>
      </c>
      <c r="AS63" s="78">
        <f t="shared" si="146"/>
        <v>0</v>
      </c>
      <c r="AT63" s="79">
        <f t="shared" si="146"/>
        <v>0</v>
      </c>
      <c r="AU63" s="433">
        <f t="shared" si="146"/>
        <v>8733415</v>
      </c>
      <c r="AV63" s="77">
        <f t="shared" si="146"/>
        <v>6340378</v>
      </c>
      <c r="AW63" s="77">
        <f t="shared" si="146"/>
        <v>37520</v>
      </c>
      <c r="AX63" s="77">
        <f t="shared" si="146"/>
        <v>2155730</v>
      </c>
      <c r="AY63" s="77">
        <f t="shared" si="146"/>
        <v>126807</v>
      </c>
      <c r="AZ63" s="77">
        <f t="shared" si="146"/>
        <v>72980</v>
      </c>
      <c r="BA63" s="78">
        <f t="shared" si="146"/>
        <v>14.7058</v>
      </c>
      <c r="BB63" s="78">
        <f t="shared" si="146"/>
        <v>9.5206000000000017</v>
      </c>
      <c r="BC63" s="79">
        <f t="shared" si="146"/>
        <v>5.1852</v>
      </c>
    </row>
    <row r="64" spans="1:55" ht="14.1" customHeight="1" x14ac:dyDescent="0.2">
      <c r="A64" s="68">
        <v>15</v>
      </c>
      <c r="B64" s="65">
        <v>2436</v>
      </c>
      <c r="C64" s="66">
        <v>600079538</v>
      </c>
      <c r="D64" s="65">
        <v>72741546</v>
      </c>
      <c r="E64" s="67" t="s">
        <v>593</v>
      </c>
      <c r="F64" s="68">
        <v>3111</v>
      </c>
      <c r="G64" s="67" t="s">
        <v>311</v>
      </c>
      <c r="H64" s="69" t="s">
        <v>277</v>
      </c>
      <c r="I64" s="477">
        <v>4846595</v>
      </c>
      <c r="J64" s="643">
        <v>3466294</v>
      </c>
      <c r="K64" s="643">
        <v>86000</v>
      </c>
      <c r="L64" s="472">
        <v>1200675</v>
      </c>
      <c r="M64" s="472">
        <v>69326</v>
      </c>
      <c r="N64" s="472">
        <v>24300</v>
      </c>
      <c r="O64" s="473">
        <v>7.8061000000000007</v>
      </c>
      <c r="P64" s="473">
        <v>6.2419000000000002</v>
      </c>
      <c r="Q64" s="483">
        <v>1.5642</v>
      </c>
      <c r="R64" s="485">
        <f t="shared" ref="R64:R66" si="147">Y64*-1</f>
        <v>0</v>
      </c>
      <c r="S64" s="475">
        <v>0</v>
      </c>
      <c r="T64" s="475">
        <v>607514</v>
      </c>
      <c r="U64" s="475">
        <v>0</v>
      </c>
      <c r="V64" s="475">
        <v>-36819</v>
      </c>
      <c r="W64" s="475">
        <v>0</v>
      </c>
      <c r="X64" s="475">
        <f t="shared" ref="X64:X66" si="148">SUM(R64:W64)</f>
        <v>570695</v>
      </c>
      <c r="Y64" s="475">
        <v>0</v>
      </c>
      <c r="Z64" s="475">
        <v>0</v>
      </c>
      <c r="AA64" s="475">
        <v>0</v>
      </c>
      <c r="AB64" s="475">
        <f t="shared" ref="AB64:AB66" si="149">SUM(Y64:AA64)</f>
        <v>0</v>
      </c>
      <c r="AC64" s="475">
        <f t="shared" ref="AC64:AC66" si="150">X64+AB64</f>
        <v>570695</v>
      </c>
      <c r="AD64" s="70">
        <f t="shared" ref="AD64:AD66" si="151">ROUND((X64+Y64+Z64)*33.8%,0)</f>
        <v>192895</v>
      </c>
      <c r="AE64" s="70">
        <f t="shared" ref="AE64:AE66" si="152">ROUND(X64*2%,0)</f>
        <v>11414</v>
      </c>
      <c r="AF64" s="475">
        <v>0</v>
      </c>
      <c r="AG64" s="475">
        <v>50000</v>
      </c>
      <c r="AH64" s="475">
        <f t="shared" ref="AH64:AH66" si="153">SUM(AF64:AG64)</f>
        <v>50000</v>
      </c>
      <c r="AI64" s="475">
        <f t="shared" ref="AI64:AI66" si="154">AC64+AD64+AE64+AH64</f>
        <v>825004</v>
      </c>
      <c r="AJ64" s="476">
        <v>0</v>
      </c>
      <c r="AK64" s="476">
        <v>0</v>
      </c>
      <c r="AL64" s="476">
        <v>0</v>
      </c>
      <c r="AM64" s="476">
        <v>1.27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si="17"/>
        <v>1.27</v>
      </c>
      <c r="AS64" s="476">
        <f t="shared" si="18"/>
        <v>0</v>
      </c>
      <c r="AT64" s="478">
        <f t="shared" si="19"/>
        <v>1.27</v>
      </c>
      <c r="AU64" s="484">
        <f>I64+AI64</f>
        <v>5671599</v>
      </c>
      <c r="AV64" s="475">
        <f>J64+X64</f>
        <v>4036989</v>
      </c>
      <c r="AW64" s="475">
        <f>K64+AB64</f>
        <v>86000</v>
      </c>
      <c r="AX64" s="475">
        <f t="shared" ref="AX64:AY66" si="155">L64+AD64</f>
        <v>1393570</v>
      </c>
      <c r="AY64" s="475">
        <f t="shared" si="155"/>
        <v>80740</v>
      </c>
      <c r="AZ64" s="475">
        <f>N64+AH64</f>
        <v>74300</v>
      </c>
      <c r="BA64" s="476">
        <f>O64+AT64</f>
        <v>9.0761000000000003</v>
      </c>
      <c r="BB64" s="476">
        <f t="shared" ref="BB64:BC66" si="156">P64+AR64</f>
        <v>7.5119000000000007</v>
      </c>
      <c r="BC64" s="478">
        <f t="shared" si="156"/>
        <v>1.5642</v>
      </c>
    </row>
    <row r="65" spans="1:55" ht="14.1" customHeight="1" x14ac:dyDescent="0.2">
      <c r="A65" s="68">
        <v>15</v>
      </c>
      <c r="B65" s="65">
        <v>2436</v>
      </c>
      <c r="C65" s="66">
        <v>600079538</v>
      </c>
      <c r="D65" s="65">
        <v>72741546</v>
      </c>
      <c r="E65" s="67" t="s">
        <v>593</v>
      </c>
      <c r="F65" s="68">
        <v>3111</v>
      </c>
      <c r="G65" s="80" t="s">
        <v>312</v>
      </c>
      <c r="H65" s="69" t="s">
        <v>278</v>
      </c>
      <c r="I65" s="477">
        <v>0</v>
      </c>
      <c r="J65" s="472">
        <v>0</v>
      </c>
      <c r="K65" s="472">
        <v>0</v>
      </c>
      <c r="L65" s="472">
        <v>0</v>
      </c>
      <c r="M65" s="472">
        <v>0</v>
      </c>
      <c r="N65" s="472">
        <v>0</v>
      </c>
      <c r="O65" s="473">
        <v>0</v>
      </c>
      <c r="P65" s="474">
        <v>0</v>
      </c>
      <c r="Q65" s="483">
        <v>0</v>
      </c>
      <c r="R65" s="485">
        <f t="shared" si="147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48"/>
        <v>0</v>
      </c>
      <c r="Y65" s="475">
        <v>0</v>
      </c>
      <c r="Z65" s="475">
        <v>0</v>
      </c>
      <c r="AA65" s="475">
        <v>0</v>
      </c>
      <c r="AB65" s="475">
        <f t="shared" si="149"/>
        <v>0</v>
      </c>
      <c r="AC65" s="475">
        <f t="shared" si="150"/>
        <v>0</v>
      </c>
      <c r="AD65" s="70">
        <f t="shared" si="151"/>
        <v>0</v>
      </c>
      <c r="AE65" s="70">
        <f t="shared" si="152"/>
        <v>0</v>
      </c>
      <c r="AF65" s="475">
        <v>0</v>
      </c>
      <c r="AG65" s="475">
        <v>0</v>
      </c>
      <c r="AH65" s="475">
        <f t="shared" si="153"/>
        <v>0</v>
      </c>
      <c r="AI65" s="475">
        <f t="shared" si="154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 t="shared" si="17"/>
        <v>0</v>
      </c>
      <c r="AS65" s="476">
        <f t="shared" si="18"/>
        <v>0</v>
      </c>
      <c r="AT65" s="478">
        <f t="shared" si="19"/>
        <v>0</v>
      </c>
      <c r="AU65" s="484">
        <f>I65+AI65</f>
        <v>0</v>
      </c>
      <c r="AV65" s="475">
        <f>J65+X65</f>
        <v>0</v>
      </c>
      <c r="AW65" s="475">
        <f>K65+AB65</f>
        <v>0</v>
      </c>
      <c r="AX65" s="475">
        <f t="shared" si="155"/>
        <v>0</v>
      </c>
      <c r="AY65" s="475">
        <f t="shared" si="155"/>
        <v>0</v>
      </c>
      <c r="AZ65" s="475">
        <f>N65+AH65</f>
        <v>0</v>
      </c>
      <c r="BA65" s="476">
        <f>O65+AT65</f>
        <v>0</v>
      </c>
      <c r="BB65" s="476">
        <f t="shared" si="156"/>
        <v>0</v>
      </c>
      <c r="BC65" s="478">
        <f t="shared" si="156"/>
        <v>0</v>
      </c>
    </row>
    <row r="66" spans="1:55" ht="14.1" customHeight="1" x14ac:dyDescent="0.2">
      <c r="A66" s="68">
        <v>15</v>
      </c>
      <c r="B66" s="65">
        <v>2436</v>
      </c>
      <c r="C66" s="66">
        <v>600079538</v>
      </c>
      <c r="D66" s="65">
        <v>72741546</v>
      </c>
      <c r="E66" s="67" t="s">
        <v>593</v>
      </c>
      <c r="F66" s="68">
        <v>3141</v>
      </c>
      <c r="G66" s="67" t="s">
        <v>315</v>
      </c>
      <c r="H66" s="69" t="s">
        <v>278</v>
      </c>
      <c r="I66" s="477">
        <v>724713</v>
      </c>
      <c r="J66" s="472">
        <v>531356</v>
      </c>
      <c r="K66" s="472">
        <v>0</v>
      </c>
      <c r="L66" s="472">
        <v>179598</v>
      </c>
      <c r="M66" s="472">
        <v>10627</v>
      </c>
      <c r="N66" s="472">
        <v>3132</v>
      </c>
      <c r="O66" s="473">
        <v>1.67</v>
      </c>
      <c r="P66" s="474">
        <v>0</v>
      </c>
      <c r="Q66" s="483">
        <v>1.67</v>
      </c>
      <c r="R66" s="485">
        <f t="shared" si="147"/>
        <v>0</v>
      </c>
      <c r="S66" s="475">
        <v>0</v>
      </c>
      <c r="T66" s="755">
        <v>104652</v>
      </c>
      <c r="U66" s="475">
        <v>0</v>
      </c>
      <c r="V66" s="475">
        <v>0</v>
      </c>
      <c r="W66" s="475">
        <v>0</v>
      </c>
      <c r="X66" s="475">
        <f t="shared" si="148"/>
        <v>104652</v>
      </c>
      <c r="Y66" s="475">
        <v>0</v>
      </c>
      <c r="Z66" s="475">
        <v>0</v>
      </c>
      <c r="AA66" s="475">
        <v>0</v>
      </c>
      <c r="AB66" s="475">
        <f t="shared" si="149"/>
        <v>0</v>
      </c>
      <c r="AC66" s="475">
        <f t="shared" si="150"/>
        <v>104652</v>
      </c>
      <c r="AD66" s="70">
        <f t="shared" si="151"/>
        <v>35372</v>
      </c>
      <c r="AE66" s="70">
        <f t="shared" si="152"/>
        <v>2093</v>
      </c>
      <c r="AF66" s="475">
        <v>0</v>
      </c>
      <c r="AG66" s="475">
        <v>0</v>
      </c>
      <c r="AH66" s="475">
        <f t="shared" si="153"/>
        <v>0</v>
      </c>
      <c r="AI66" s="475">
        <f t="shared" si="154"/>
        <v>142117</v>
      </c>
      <c r="AJ66" s="476">
        <v>0</v>
      </c>
      <c r="AK66" s="476">
        <v>0</v>
      </c>
      <c r="AL66" s="476">
        <v>0</v>
      </c>
      <c r="AM66" s="476">
        <v>0</v>
      </c>
      <c r="AN66" s="756">
        <v>0.32999999999999996</v>
      </c>
      <c r="AO66" s="476">
        <v>0</v>
      </c>
      <c r="AP66" s="476">
        <v>0</v>
      </c>
      <c r="AQ66" s="476">
        <v>0</v>
      </c>
      <c r="AR66" s="476">
        <f t="shared" si="17"/>
        <v>0</v>
      </c>
      <c r="AS66" s="476">
        <f t="shared" si="18"/>
        <v>0.32999999999999996</v>
      </c>
      <c r="AT66" s="478">
        <f t="shared" si="19"/>
        <v>0.32999999999999996</v>
      </c>
      <c r="AU66" s="484">
        <f>I66+AI66</f>
        <v>866830</v>
      </c>
      <c r="AV66" s="475">
        <f>J66+X66</f>
        <v>636008</v>
      </c>
      <c r="AW66" s="475">
        <f>K66+AB66</f>
        <v>0</v>
      </c>
      <c r="AX66" s="475">
        <f t="shared" si="155"/>
        <v>214970</v>
      </c>
      <c r="AY66" s="475">
        <f t="shared" si="155"/>
        <v>12720</v>
      </c>
      <c r="AZ66" s="475">
        <f>N66+AH66</f>
        <v>3132</v>
      </c>
      <c r="BA66" s="476">
        <f>O66+AT66</f>
        <v>2</v>
      </c>
      <c r="BB66" s="476">
        <f t="shared" si="156"/>
        <v>0</v>
      </c>
      <c r="BC66" s="478">
        <f t="shared" si="156"/>
        <v>2</v>
      </c>
    </row>
    <row r="67" spans="1:55" ht="14.1" customHeight="1" x14ac:dyDescent="0.2">
      <c r="A67" s="74">
        <v>15</v>
      </c>
      <c r="B67" s="71">
        <v>2436</v>
      </c>
      <c r="C67" s="72">
        <v>600079538</v>
      </c>
      <c r="D67" s="71">
        <v>72741546</v>
      </c>
      <c r="E67" s="73" t="s">
        <v>594</v>
      </c>
      <c r="F67" s="74"/>
      <c r="G67" s="73"/>
      <c r="H67" s="75"/>
      <c r="I67" s="76">
        <v>5571308</v>
      </c>
      <c r="J67" s="77">
        <v>3997650</v>
      </c>
      <c r="K67" s="77">
        <v>86000</v>
      </c>
      <c r="L67" s="77">
        <v>1380273</v>
      </c>
      <c r="M67" s="77">
        <v>79953</v>
      </c>
      <c r="N67" s="77">
        <v>27432</v>
      </c>
      <c r="O67" s="78">
        <v>9.4761000000000006</v>
      </c>
      <c r="P67" s="78">
        <v>6.2419000000000002</v>
      </c>
      <c r="Q67" s="718">
        <v>3.2342</v>
      </c>
      <c r="R67" s="76">
        <f t="shared" ref="R67:BC67" si="157">SUM(R64:R66)</f>
        <v>0</v>
      </c>
      <c r="S67" s="77">
        <f t="shared" si="157"/>
        <v>0</v>
      </c>
      <c r="T67" s="77">
        <f t="shared" si="157"/>
        <v>712166</v>
      </c>
      <c r="U67" s="77">
        <f t="shared" si="157"/>
        <v>0</v>
      </c>
      <c r="V67" s="77">
        <f t="shared" si="157"/>
        <v>-36819</v>
      </c>
      <c r="W67" s="77">
        <f t="shared" si="157"/>
        <v>0</v>
      </c>
      <c r="X67" s="77">
        <f t="shared" si="157"/>
        <v>675347</v>
      </c>
      <c r="Y67" s="77">
        <f t="shared" si="157"/>
        <v>0</v>
      </c>
      <c r="Z67" s="77">
        <f t="shared" si="157"/>
        <v>0</v>
      </c>
      <c r="AA67" s="77">
        <f t="shared" si="157"/>
        <v>0</v>
      </c>
      <c r="AB67" s="77">
        <f t="shared" si="157"/>
        <v>0</v>
      </c>
      <c r="AC67" s="77">
        <f t="shared" si="157"/>
        <v>675347</v>
      </c>
      <c r="AD67" s="77">
        <f t="shared" si="157"/>
        <v>228267</v>
      </c>
      <c r="AE67" s="77">
        <f t="shared" si="157"/>
        <v>13507</v>
      </c>
      <c r="AF67" s="77">
        <f t="shared" si="157"/>
        <v>0</v>
      </c>
      <c r="AG67" s="77">
        <f t="shared" si="157"/>
        <v>50000</v>
      </c>
      <c r="AH67" s="77">
        <f t="shared" si="157"/>
        <v>50000</v>
      </c>
      <c r="AI67" s="77">
        <f t="shared" si="157"/>
        <v>967121</v>
      </c>
      <c r="AJ67" s="78">
        <f t="shared" si="157"/>
        <v>0</v>
      </c>
      <c r="AK67" s="78">
        <f t="shared" si="157"/>
        <v>0</v>
      </c>
      <c r="AL67" s="78">
        <f t="shared" si="157"/>
        <v>0</v>
      </c>
      <c r="AM67" s="78">
        <f t="shared" si="157"/>
        <v>1.27</v>
      </c>
      <c r="AN67" s="78">
        <f t="shared" si="157"/>
        <v>0.32999999999999996</v>
      </c>
      <c r="AO67" s="78">
        <f t="shared" si="157"/>
        <v>0</v>
      </c>
      <c r="AP67" s="78">
        <f t="shared" si="157"/>
        <v>0</v>
      </c>
      <c r="AQ67" s="78">
        <f t="shared" si="157"/>
        <v>0</v>
      </c>
      <c r="AR67" s="78">
        <f t="shared" si="157"/>
        <v>1.27</v>
      </c>
      <c r="AS67" s="78">
        <f t="shared" si="157"/>
        <v>0.32999999999999996</v>
      </c>
      <c r="AT67" s="79">
        <f t="shared" si="157"/>
        <v>1.6</v>
      </c>
      <c r="AU67" s="433">
        <f t="shared" si="157"/>
        <v>6538429</v>
      </c>
      <c r="AV67" s="77">
        <f t="shared" si="157"/>
        <v>4672997</v>
      </c>
      <c r="AW67" s="77">
        <f t="shared" si="157"/>
        <v>86000</v>
      </c>
      <c r="AX67" s="77">
        <f t="shared" si="157"/>
        <v>1608540</v>
      </c>
      <c r="AY67" s="77">
        <f t="shared" si="157"/>
        <v>93460</v>
      </c>
      <c r="AZ67" s="77">
        <f t="shared" si="157"/>
        <v>77432</v>
      </c>
      <c r="BA67" s="78">
        <f t="shared" si="157"/>
        <v>11.0761</v>
      </c>
      <c r="BB67" s="78">
        <f t="shared" si="157"/>
        <v>7.5119000000000007</v>
      </c>
      <c r="BC67" s="79">
        <f t="shared" si="157"/>
        <v>3.5642</v>
      </c>
    </row>
    <row r="68" spans="1:55" ht="14.1" customHeight="1" x14ac:dyDescent="0.2">
      <c r="A68" s="68">
        <v>16</v>
      </c>
      <c r="B68" s="65">
        <v>2424</v>
      </c>
      <c r="C68" s="66">
        <v>600079147</v>
      </c>
      <c r="D68" s="65">
        <v>72741945</v>
      </c>
      <c r="E68" s="67" t="s">
        <v>595</v>
      </c>
      <c r="F68" s="68">
        <v>3111</v>
      </c>
      <c r="G68" s="67" t="s">
        <v>311</v>
      </c>
      <c r="H68" s="69" t="s">
        <v>277</v>
      </c>
      <c r="I68" s="477">
        <v>3380882</v>
      </c>
      <c r="J68" s="643">
        <v>2475024</v>
      </c>
      <c r="K68" s="643">
        <v>0</v>
      </c>
      <c r="L68" s="472">
        <v>836558</v>
      </c>
      <c r="M68" s="472">
        <v>49500</v>
      </c>
      <c r="N68" s="472">
        <v>19800</v>
      </c>
      <c r="O68" s="473">
        <v>5.4897999999999998</v>
      </c>
      <c r="P68" s="473">
        <v>4</v>
      </c>
      <c r="Q68" s="483">
        <v>1.4898</v>
      </c>
      <c r="R68" s="485">
        <f t="shared" ref="R68:R69" si="158">Y68*-1</f>
        <v>0</v>
      </c>
      <c r="S68" s="475">
        <v>0</v>
      </c>
      <c r="T68" s="475">
        <v>0</v>
      </c>
      <c r="U68" s="475">
        <v>0</v>
      </c>
      <c r="V68" s="475">
        <v>-14728</v>
      </c>
      <c r="W68" s="475">
        <v>0</v>
      </c>
      <c r="X68" s="475">
        <f t="shared" ref="X68:X69" si="159">SUM(R68:W68)</f>
        <v>-14728</v>
      </c>
      <c r="Y68" s="475">
        <v>0</v>
      </c>
      <c r="Z68" s="475">
        <v>0</v>
      </c>
      <c r="AA68" s="475">
        <v>0</v>
      </c>
      <c r="AB68" s="475">
        <f t="shared" ref="AB68:AB69" si="160">SUM(Y68:AA68)</f>
        <v>0</v>
      </c>
      <c r="AC68" s="475">
        <f t="shared" ref="AC68:AC69" si="161">X68+AB68</f>
        <v>-14728</v>
      </c>
      <c r="AD68" s="70">
        <f t="shared" ref="AD68:AD69" si="162">ROUND((X68+Y68+Z68)*33.8%,0)</f>
        <v>-4978</v>
      </c>
      <c r="AE68" s="70">
        <f t="shared" ref="AE68:AE69" si="163">ROUND(X68*2%,0)</f>
        <v>-295</v>
      </c>
      <c r="AF68" s="475">
        <v>0</v>
      </c>
      <c r="AG68" s="475">
        <v>20001</v>
      </c>
      <c r="AH68" s="475">
        <f t="shared" ref="AH68:AH69" si="164">SUM(AF68:AG68)</f>
        <v>20001</v>
      </c>
      <c r="AI68" s="475">
        <f t="shared" ref="AI68:AI69" si="165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si="17"/>
        <v>0</v>
      </c>
      <c r="AS68" s="476">
        <f t="shared" si="18"/>
        <v>0</v>
      </c>
      <c r="AT68" s="478">
        <f t="shared" si="19"/>
        <v>0</v>
      </c>
      <c r="AU68" s="484">
        <f>I68+AI68</f>
        <v>3380882</v>
      </c>
      <c r="AV68" s="475">
        <f>J68+X68</f>
        <v>2460296</v>
      </c>
      <c r="AW68" s="475">
        <f>K68+AB68</f>
        <v>0</v>
      </c>
      <c r="AX68" s="475">
        <f>L68+AD68</f>
        <v>831580</v>
      </c>
      <c r="AY68" s="475">
        <f>M68+AE68</f>
        <v>49205</v>
      </c>
      <c r="AZ68" s="475">
        <f>N68+AH68</f>
        <v>39801</v>
      </c>
      <c r="BA68" s="476">
        <f>O68+AT68</f>
        <v>5.4897999999999998</v>
      </c>
      <c r="BB68" s="476">
        <f>P68+AR68</f>
        <v>4</v>
      </c>
      <c r="BC68" s="478">
        <f>Q68+AS68</f>
        <v>1.4898</v>
      </c>
    </row>
    <row r="69" spans="1:55" ht="14.1" customHeight="1" x14ac:dyDescent="0.2">
      <c r="A69" s="68">
        <v>16</v>
      </c>
      <c r="B69" s="65">
        <v>2424</v>
      </c>
      <c r="C69" s="66">
        <v>600079147</v>
      </c>
      <c r="D69" s="65">
        <v>72741945</v>
      </c>
      <c r="E69" s="67" t="s">
        <v>595</v>
      </c>
      <c r="F69" s="68">
        <v>3141</v>
      </c>
      <c r="G69" s="67" t="s">
        <v>315</v>
      </c>
      <c r="H69" s="69" t="s">
        <v>278</v>
      </c>
      <c r="I69" s="477">
        <v>629784</v>
      </c>
      <c r="J69" s="472">
        <v>461879</v>
      </c>
      <c r="K69" s="472">
        <v>0</v>
      </c>
      <c r="L69" s="472">
        <v>156115</v>
      </c>
      <c r="M69" s="472">
        <v>9238</v>
      </c>
      <c r="N69" s="472">
        <v>2552</v>
      </c>
      <c r="O69" s="473">
        <v>1.45</v>
      </c>
      <c r="P69" s="474">
        <v>0</v>
      </c>
      <c r="Q69" s="483">
        <v>1.45</v>
      </c>
      <c r="R69" s="485">
        <f t="shared" si="158"/>
        <v>0</v>
      </c>
      <c r="S69" s="475">
        <v>0</v>
      </c>
      <c r="T69" s="755">
        <v>9509</v>
      </c>
      <c r="U69" s="475">
        <v>0</v>
      </c>
      <c r="V69" s="475">
        <v>0</v>
      </c>
      <c r="W69" s="475">
        <v>0</v>
      </c>
      <c r="X69" s="475">
        <f t="shared" si="159"/>
        <v>9509</v>
      </c>
      <c r="Y69" s="475">
        <v>0</v>
      </c>
      <c r="Z69" s="475">
        <v>0</v>
      </c>
      <c r="AA69" s="475">
        <v>0</v>
      </c>
      <c r="AB69" s="475">
        <f t="shared" si="160"/>
        <v>0</v>
      </c>
      <c r="AC69" s="475">
        <f t="shared" si="161"/>
        <v>9509</v>
      </c>
      <c r="AD69" s="70">
        <f t="shared" si="162"/>
        <v>3214</v>
      </c>
      <c r="AE69" s="70">
        <f t="shared" si="163"/>
        <v>190</v>
      </c>
      <c r="AF69" s="475">
        <v>0</v>
      </c>
      <c r="AG69" s="475">
        <v>0</v>
      </c>
      <c r="AH69" s="475">
        <f t="shared" si="164"/>
        <v>0</v>
      </c>
      <c r="AI69" s="475">
        <f t="shared" si="165"/>
        <v>12913</v>
      </c>
      <c r="AJ69" s="476">
        <v>0</v>
      </c>
      <c r="AK69" s="476">
        <v>0</v>
      </c>
      <c r="AL69" s="476">
        <v>0</v>
      </c>
      <c r="AM69" s="476">
        <v>0</v>
      </c>
      <c r="AN69" s="756">
        <v>3.0000000000000027E-2</v>
      </c>
      <c r="AO69" s="476">
        <v>0</v>
      </c>
      <c r="AP69" s="476">
        <v>0</v>
      </c>
      <c r="AQ69" s="476">
        <v>0</v>
      </c>
      <c r="AR69" s="476">
        <f t="shared" si="17"/>
        <v>0</v>
      </c>
      <c r="AS69" s="476">
        <f t="shared" si="18"/>
        <v>3.0000000000000027E-2</v>
      </c>
      <c r="AT69" s="478">
        <f t="shared" si="19"/>
        <v>3.0000000000000027E-2</v>
      </c>
      <c r="AU69" s="484">
        <f>I69+AI69</f>
        <v>642697</v>
      </c>
      <c r="AV69" s="475">
        <f>J69+X69</f>
        <v>471388</v>
      </c>
      <c r="AW69" s="475">
        <f>K69+AB69</f>
        <v>0</v>
      </c>
      <c r="AX69" s="475">
        <f>L69+AD69</f>
        <v>159329</v>
      </c>
      <c r="AY69" s="475">
        <f>M69+AE69</f>
        <v>9428</v>
      </c>
      <c r="AZ69" s="475">
        <f>N69+AH69</f>
        <v>2552</v>
      </c>
      <c r="BA69" s="476">
        <f>O69+AT69</f>
        <v>1.48</v>
      </c>
      <c r="BB69" s="476">
        <f>P69+AR69</f>
        <v>0</v>
      </c>
      <c r="BC69" s="478">
        <f>Q69+AS69</f>
        <v>1.48</v>
      </c>
    </row>
    <row r="70" spans="1:55" ht="14.1" customHeight="1" x14ac:dyDescent="0.2">
      <c r="A70" s="74">
        <v>16</v>
      </c>
      <c r="B70" s="71">
        <v>2424</v>
      </c>
      <c r="C70" s="72">
        <v>600079147</v>
      </c>
      <c r="D70" s="71">
        <v>72741945</v>
      </c>
      <c r="E70" s="73" t="s">
        <v>596</v>
      </c>
      <c r="F70" s="74"/>
      <c r="G70" s="73"/>
      <c r="H70" s="75"/>
      <c r="I70" s="76">
        <v>4010666</v>
      </c>
      <c r="J70" s="77">
        <v>2936903</v>
      </c>
      <c r="K70" s="77">
        <v>0</v>
      </c>
      <c r="L70" s="77">
        <v>992673</v>
      </c>
      <c r="M70" s="77">
        <v>58738</v>
      </c>
      <c r="N70" s="77">
        <v>22352</v>
      </c>
      <c r="O70" s="78">
        <v>6.9398</v>
      </c>
      <c r="P70" s="78">
        <v>4</v>
      </c>
      <c r="Q70" s="718">
        <v>2.9398</v>
      </c>
      <c r="R70" s="76">
        <f t="shared" ref="R70:BC70" si="166">SUM(R68:R69)</f>
        <v>0</v>
      </c>
      <c r="S70" s="77">
        <f t="shared" si="166"/>
        <v>0</v>
      </c>
      <c r="T70" s="77">
        <f t="shared" si="166"/>
        <v>9509</v>
      </c>
      <c r="U70" s="77">
        <f t="shared" si="166"/>
        <v>0</v>
      </c>
      <c r="V70" s="77">
        <f t="shared" si="166"/>
        <v>-14728</v>
      </c>
      <c r="W70" s="77">
        <f t="shared" si="166"/>
        <v>0</v>
      </c>
      <c r="X70" s="77">
        <f t="shared" si="166"/>
        <v>-5219</v>
      </c>
      <c r="Y70" s="77">
        <f t="shared" si="166"/>
        <v>0</v>
      </c>
      <c r="Z70" s="77">
        <f t="shared" si="166"/>
        <v>0</v>
      </c>
      <c r="AA70" s="77">
        <f t="shared" si="166"/>
        <v>0</v>
      </c>
      <c r="AB70" s="77">
        <f t="shared" si="166"/>
        <v>0</v>
      </c>
      <c r="AC70" s="77">
        <f t="shared" si="166"/>
        <v>-5219</v>
      </c>
      <c r="AD70" s="77">
        <f t="shared" si="166"/>
        <v>-1764</v>
      </c>
      <c r="AE70" s="77">
        <f t="shared" si="166"/>
        <v>-105</v>
      </c>
      <c r="AF70" s="77">
        <f t="shared" si="166"/>
        <v>0</v>
      </c>
      <c r="AG70" s="77">
        <f t="shared" si="166"/>
        <v>20001</v>
      </c>
      <c r="AH70" s="77">
        <f t="shared" si="166"/>
        <v>20001</v>
      </c>
      <c r="AI70" s="77">
        <f t="shared" si="166"/>
        <v>12913</v>
      </c>
      <c r="AJ70" s="78">
        <f t="shared" si="166"/>
        <v>0</v>
      </c>
      <c r="AK70" s="78">
        <f t="shared" si="166"/>
        <v>0</v>
      </c>
      <c r="AL70" s="78">
        <f t="shared" si="166"/>
        <v>0</v>
      </c>
      <c r="AM70" s="78">
        <f t="shared" si="166"/>
        <v>0</v>
      </c>
      <c r="AN70" s="78">
        <f t="shared" si="166"/>
        <v>3.0000000000000027E-2</v>
      </c>
      <c r="AO70" s="78">
        <f t="shared" si="166"/>
        <v>0</v>
      </c>
      <c r="AP70" s="78">
        <f t="shared" si="166"/>
        <v>0</v>
      </c>
      <c r="AQ70" s="78">
        <f t="shared" si="166"/>
        <v>0</v>
      </c>
      <c r="AR70" s="78">
        <f t="shared" si="166"/>
        <v>0</v>
      </c>
      <c r="AS70" s="78">
        <f t="shared" si="166"/>
        <v>3.0000000000000027E-2</v>
      </c>
      <c r="AT70" s="79">
        <f t="shared" si="166"/>
        <v>3.0000000000000027E-2</v>
      </c>
      <c r="AU70" s="433">
        <f t="shared" si="166"/>
        <v>4023579</v>
      </c>
      <c r="AV70" s="77">
        <f t="shared" si="166"/>
        <v>2931684</v>
      </c>
      <c r="AW70" s="77">
        <f t="shared" si="166"/>
        <v>0</v>
      </c>
      <c r="AX70" s="77">
        <f t="shared" si="166"/>
        <v>990909</v>
      </c>
      <c r="AY70" s="77">
        <f t="shared" si="166"/>
        <v>58633</v>
      </c>
      <c r="AZ70" s="77">
        <f t="shared" si="166"/>
        <v>42353</v>
      </c>
      <c r="BA70" s="78">
        <f t="shared" si="166"/>
        <v>6.9697999999999993</v>
      </c>
      <c r="BB70" s="78">
        <f t="shared" si="166"/>
        <v>4</v>
      </c>
      <c r="BC70" s="79">
        <f t="shared" si="166"/>
        <v>2.9698000000000002</v>
      </c>
    </row>
    <row r="71" spans="1:55" ht="14.1" customHeight="1" x14ac:dyDescent="0.2">
      <c r="A71" s="68">
        <v>17</v>
      </c>
      <c r="B71" s="65">
        <v>2417</v>
      </c>
      <c r="C71" s="66">
        <v>600079562</v>
      </c>
      <c r="D71" s="65">
        <v>72742810</v>
      </c>
      <c r="E71" s="67" t="s">
        <v>597</v>
      </c>
      <c r="F71" s="68">
        <v>3111</v>
      </c>
      <c r="G71" s="67" t="s">
        <v>311</v>
      </c>
      <c r="H71" s="69" t="s">
        <v>277</v>
      </c>
      <c r="I71" s="477">
        <v>17359855</v>
      </c>
      <c r="J71" s="643">
        <v>12568678</v>
      </c>
      <c r="K71" s="643">
        <v>30000</v>
      </c>
      <c r="L71" s="472">
        <v>4258353</v>
      </c>
      <c r="M71" s="472">
        <v>251374</v>
      </c>
      <c r="N71" s="472">
        <v>251450</v>
      </c>
      <c r="O71" s="473">
        <v>28.087499999999999</v>
      </c>
      <c r="P71" s="473">
        <v>20.999999999999996</v>
      </c>
      <c r="Q71" s="483">
        <v>7.0875000000000012</v>
      </c>
      <c r="R71" s="485">
        <f t="shared" ref="R71:R74" si="167">Y71*-1</f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ref="X71:X74" si="168">SUM(R71:W71)</f>
        <v>0</v>
      </c>
      <c r="Y71" s="475">
        <v>0</v>
      </c>
      <c r="Z71" s="475">
        <v>0</v>
      </c>
      <c r="AA71" s="475">
        <v>0</v>
      </c>
      <c r="AB71" s="475">
        <f t="shared" ref="AB71:AB74" si="169">SUM(Y71:AA71)</f>
        <v>0</v>
      </c>
      <c r="AC71" s="475">
        <f t="shared" ref="AC71:AC74" si="170">X71+AB71</f>
        <v>0</v>
      </c>
      <c r="AD71" s="70">
        <f t="shared" ref="AD71:AD74" si="171">ROUND((X71+Y71+Z71)*33.8%,0)</f>
        <v>0</v>
      </c>
      <c r="AE71" s="70">
        <f t="shared" ref="AE71:AE74" si="172">ROUND(X71*2%,0)</f>
        <v>0</v>
      </c>
      <c r="AF71" s="475">
        <v>0</v>
      </c>
      <c r="AG71" s="475">
        <v>0</v>
      </c>
      <c r="AH71" s="475">
        <f t="shared" ref="AH71:AH74" si="173">SUM(AF71:AG71)</f>
        <v>0</v>
      </c>
      <c r="AI71" s="475">
        <f t="shared" ref="AI71:AI74" si="174">AC71+AD71+AE71+AH71</f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si="17"/>
        <v>0</v>
      </c>
      <c r="AS71" s="476">
        <f t="shared" si="18"/>
        <v>0</v>
      </c>
      <c r="AT71" s="478">
        <f t="shared" si="19"/>
        <v>0</v>
      </c>
      <c r="AU71" s="484">
        <f>I71+AI71</f>
        <v>17359855</v>
      </c>
      <c r="AV71" s="475">
        <f>J71+X71</f>
        <v>12568678</v>
      </c>
      <c r="AW71" s="475">
        <f>K71+AB71</f>
        <v>30000</v>
      </c>
      <c r="AX71" s="475">
        <f t="shared" ref="AX71:AY74" si="175">L71+AD71</f>
        <v>4258353</v>
      </c>
      <c r="AY71" s="475">
        <f t="shared" si="175"/>
        <v>251374</v>
      </c>
      <c r="AZ71" s="475">
        <f>N71+AH71</f>
        <v>251450</v>
      </c>
      <c r="BA71" s="476">
        <f>O71+AT71</f>
        <v>28.087499999999999</v>
      </c>
      <c r="BB71" s="476">
        <f t="shared" ref="BB71:BC74" si="176">P71+AR71</f>
        <v>20.999999999999996</v>
      </c>
      <c r="BC71" s="478">
        <f t="shared" si="176"/>
        <v>7.0875000000000012</v>
      </c>
    </row>
    <row r="72" spans="1:55" ht="14.1" customHeight="1" x14ac:dyDescent="0.2">
      <c r="A72" s="68">
        <v>17</v>
      </c>
      <c r="B72" s="65">
        <v>2417</v>
      </c>
      <c r="C72" s="66">
        <v>600079562</v>
      </c>
      <c r="D72" s="65">
        <v>72742810</v>
      </c>
      <c r="E72" s="67" t="s">
        <v>597</v>
      </c>
      <c r="F72" s="68">
        <v>3111</v>
      </c>
      <c r="G72" s="44" t="s">
        <v>313</v>
      </c>
      <c r="H72" s="69" t="s">
        <v>277</v>
      </c>
      <c r="I72" s="477">
        <v>1280002</v>
      </c>
      <c r="J72" s="472">
        <v>942564</v>
      </c>
      <c r="K72" s="472">
        <v>0</v>
      </c>
      <c r="L72" s="472">
        <v>318587</v>
      </c>
      <c r="M72" s="472">
        <v>18851</v>
      </c>
      <c r="N72" s="472">
        <v>0</v>
      </c>
      <c r="O72" s="473">
        <v>3</v>
      </c>
      <c r="P72" s="473">
        <v>3</v>
      </c>
      <c r="Q72" s="483">
        <v>0</v>
      </c>
      <c r="R72" s="485">
        <f t="shared" si="167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68"/>
        <v>0</v>
      </c>
      <c r="Y72" s="475">
        <v>0</v>
      </c>
      <c r="Z72" s="475">
        <v>0</v>
      </c>
      <c r="AA72" s="475">
        <v>0</v>
      </c>
      <c r="AB72" s="475">
        <f t="shared" si="169"/>
        <v>0</v>
      </c>
      <c r="AC72" s="475">
        <f t="shared" si="170"/>
        <v>0</v>
      </c>
      <c r="AD72" s="70">
        <f t="shared" si="171"/>
        <v>0</v>
      </c>
      <c r="AE72" s="70">
        <f t="shared" si="172"/>
        <v>0</v>
      </c>
      <c r="AF72" s="475">
        <v>0</v>
      </c>
      <c r="AG72" s="475">
        <v>0</v>
      </c>
      <c r="AH72" s="475">
        <f t="shared" si="173"/>
        <v>0</v>
      </c>
      <c r="AI72" s="475">
        <f t="shared" si="174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7"/>
        <v>0</v>
      </c>
      <c r="AS72" s="476">
        <f t="shared" si="18"/>
        <v>0</v>
      </c>
      <c r="AT72" s="478">
        <f t="shared" si="19"/>
        <v>0</v>
      </c>
      <c r="AU72" s="484">
        <f>I72+AI72</f>
        <v>1280002</v>
      </c>
      <c r="AV72" s="475">
        <f>J72+X72</f>
        <v>942564</v>
      </c>
      <c r="AW72" s="475">
        <f>K72+AB72</f>
        <v>0</v>
      </c>
      <c r="AX72" s="475">
        <f t="shared" si="175"/>
        <v>318587</v>
      </c>
      <c r="AY72" s="475">
        <f t="shared" si="175"/>
        <v>18851</v>
      </c>
      <c r="AZ72" s="475">
        <f>N72+AH72</f>
        <v>0</v>
      </c>
      <c r="BA72" s="476">
        <f>O72+AT72</f>
        <v>3</v>
      </c>
      <c r="BB72" s="476">
        <f t="shared" si="176"/>
        <v>3</v>
      </c>
      <c r="BC72" s="478">
        <f t="shared" si="176"/>
        <v>0</v>
      </c>
    </row>
    <row r="73" spans="1:55" ht="14.1" customHeight="1" x14ac:dyDescent="0.2">
      <c r="A73" s="68">
        <v>17</v>
      </c>
      <c r="B73" s="65">
        <v>2417</v>
      </c>
      <c r="C73" s="66">
        <v>600079562</v>
      </c>
      <c r="D73" s="65">
        <v>72742810</v>
      </c>
      <c r="E73" s="67" t="s">
        <v>597</v>
      </c>
      <c r="F73" s="68">
        <v>3111</v>
      </c>
      <c r="G73" s="44" t="s">
        <v>312</v>
      </c>
      <c r="H73" s="69" t="s">
        <v>278</v>
      </c>
      <c r="I73" s="477">
        <v>271820</v>
      </c>
      <c r="J73" s="472">
        <v>200162</v>
      </c>
      <c r="K73" s="472">
        <v>0</v>
      </c>
      <c r="L73" s="472">
        <v>67655</v>
      </c>
      <c r="M73" s="472">
        <v>4003</v>
      </c>
      <c r="N73" s="472">
        <v>0</v>
      </c>
      <c r="O73" s="473">
        <v>0.65999999999999992</v>
      </c>
      <c r="P73" s="474">
        <v>0.65999999999999992</v>
      </c>
      <c r="Q73" s="483">
        <v>0</v>
      </c>
      <c r="R73" s="485">
        <f t="shared" si="167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68"/>
        <v>0</v>
      </c>
      <c r="Y73" s="475">
        <v>0</v>
      </c>
      <c r="Z73" s="475">
        <v>0</v>
      </c>
      <c r="AA73" s="475">
        <v>0</v>
      </c>
      <c r="AB73" s="475">
        <f t="shared" si="169"/>
        <v>0</v>
      </c>
      <c r="AC73" s="475">
        <f t="shared" si="170"/>
        <v>0</v>
      </c>
      <c r="AD73" s="70">
        <f t="shared" si="171"/>
        <v>0</v>
      </c>
      <c r="AE73" s="70">
        <f t="shared" si="172"/>
        <v>0</v>
      </c>
      <c r="AF73" s="475">
        <v>0</v>
      </c>
      <c r="AG73" s="475">
        <v>0</v>
      </c>
      <c r="AH73" s="475">
        <f t="shared" si="173"/>
        <v>0</v>
      </c>
      <c r="AI73" s="475">
        <f t="shared" si="174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si="17"/>
        <v>0</v>
      </c>
      <c r="AS73" s="476">
        <f t="shared" si="18"/>
        <v>0</v>
      </c>
      <c r="AT73" s="478">
        <f t="shared" si="19"/>
        <v>0</v>
      </c>
      <c r="AU73" s="484">
        <f>I73+AI73</f>
        <v>271820</v>
      </c>
      <c r="AV73" s="475">
        <f>J73+X73</f>
        <v>200162</v>
      </c>
      <c r="AW73" s="475">
        <f>K73+AB73</f>
        <v>0</v>
      </c>
      <c r="AX73" s="475">
        <f t="shared" si="175"/>
        <v>67655</v>
      </c>
      <c r="AY73" s="475">
        <f t="shared" si="175"/>
        <v>4003</v>
      </c>
      <c r="AZ73" s="475">
        <f>N73+AH73</f>
        <v>0</v>
      </c>
      <c r="BA73" s="476">
        <f>O73+AT73</f>
        <v>0.65999999999999992</v>
      </c>
      <c r="BB73" s="476">
        <f t="shared" si="176"/>
        <v>0.65999999999999992</v>
      </c>
      <c r="BC73" s="478">
        <f t="shared" si="176"/>
        <v>0</v>
      </c>
    </row>
    <row r="74" spans="1:55" ht="14.1" customHeight="1" x14ac:dyDescent="0.2">
      <c r="A74" s="68">
        <v>17</v>
      </c>
      <c r="B74" s="65">
        <v>2417</v>
      </c>
      <c r="C74" s="66">
        <v>600079562</v>
      </c>
      <c r="D74" s="65">
        <v>72742810</v>
      </c>
      <c r="E74" s="67" t="s">
        <v>597</v>
      </c>
      <c r="F74" s="68">
        <v>3141</v>
      </c>
      <c r="G74" s="67" t="s">
        <v>315</v>
      </c>
      <c r="H74" s="69" t="s">
        <v>278</v>
      </c>
      <c r="I74" s="477">
        <v>2082066</v>
      </c>
      <c r="J74" s="472">
        <v>1525284</v>
      </c>
      <c r="K74" s="472">
        <v>0</v>
      </c>
      <c r="L74" s="472">
        <v>515546</v>
      </c>
      <c r="M74" s="472">
        <v>30506</v>
      </c>
      <c r="N74" s="472">
        <v>10730</v>
      </c>
      <c r="O74" s="473">
        <v>4.8</v>
      </c>
      <c r="P74" s="474">
        <v>0</v>
      </c>
      <c r="Q74" s="483">
        <v>4.8</v>
      </c>
      <c r="R74" s="485">
        <f t="shared" si="167"/>
        <v>0</v>
      </c>
      <c r="S74" s="475">
        <v>0</v>
      </c>
      <c r="T74" s="755">
        <v>-9088</v>
      </c>
      <c r="U74" s="475">
        <v>0</v>
      </c>
      <c r="V74" s="475">
        <v>0</v>
      </c>
      <c r="W74" s="475">
        <v>0</v>
      </c>
      <c r="X74" s="475">
        <f t="shared" si="168"/>
        <v>-9088</v>
      </c>
      <c r="Y74" s="475">
        <v>0</v>
      </c>
      <c r="Z74" s="475">
        <v>0</v>
      </c>
      <c r="AA74" s="475">
        <v>0</v>
      </c>
      <c r="AB74" s="475">
        <f t="shared" si="169"/>
        <v>0</v>
      </c>
      <c r="AC74" s="475">
        <f t="shared" si="170"/>
        <v>-9088</v>
      </c>
      <c r="AD74" s="70">
        <f t="shared" si="171"/>
        <v>-3072</v>
      </c>
      <c r="AE74" s="70">
        <f t="shared" si="172"/>
        <v>-182</v>
      </c>
      <c r="AF74" s="475">
        <v>0</v>
      </c>
      <c r="AG74" s="475">
        <v>0</v>
      </c>
      <c r="AH74" s="475">
        <f t="shared" si="173"/>
        <v>0</v>
      </c>
      <c r="AI74" s="475">
        <f t="shared" si="174"/>
        <v>-12342</v>
      </c>
      <c r="AJ74" s="476">
        <v>0</v>
      </c>
      <c r="AK74" s="476">
        <v>0</v>
      </c>
      <c r="AL74" s="476">
        <v>0</v>
      </c>
      <c r="AM74" s="476">
        <v>0</v>
      </c>
      <c r="AN74" s="756">
        <v>-2.0000000000000018E-2</v>
      </c>
      <c r="AO74" s="476">
        <v>0</v>
      </c>
      <c r="AP74" s="476">
        <v>0</v>
      </c>
      <c r="AQ74" s="476">
        <v>0</v>
      </c>
      <c r="AR74" s="476">
        <f t="shared" si="17"/>
        <v>0</v>
      </c>
      <c r="AS74" s="476">
        <f t="shared" si="18"/>
        <v>-2.0000000000000018E-2</v>
      </c>
      <c r="AT74" s="478">
        <f t="shared" si="19"/>
        <v>-2.0000000000000018E-2</v>
      </c>
      <c r="AU74" s="484">
        <f>I74+AI74</f>
        <v>2069724</v>
      </c>
      <c r="AV74" s="475">
        <f>J74+X74</f>
        <v>1516196</v>
      </c>
      <c r="AW74" s="475">
        <f>K74+AB74</f>
        <v>0</v>
      </c>
      <c r="AX74" s="475">
        <f t="shared" si="175"/>
        <v>512474</v>
      </c>
      <c r="AY74" s="475">
        <f t="shared" si="175"/>
        <v>30324</v>
      </c>
      <c r="AZ74" s="475">
        <f>N74+AH74</f>
        <v>10730</v>
      </c>
      <c r="BA74" s="476">
        <f>O74+AT74</f>
        <v>4.7799999999999994</v>
      </c>
      <c r="BB74" s="476">
        <f t="shared" si="176"/>
        <v>0</v>
      </c>
      <c r="BC74" s="478">
        <f t="shared" si="176"/>
        <v>4.7799999999999994</v>
      </c>
    </row>
    <row r="75" spans="1:55" ht="14.1" customHeight="1" x14ac:dyDescent="0.2">
      <c r="A75" s="74">
        <v>17</v>
      </c>
      <c r="B75" s="71">
        <v>2417</v>
      </c>
      <c r="C75" s="72">
        <v>600079562</v>
      </c>
      <c r="D75" s="71">
        <v>72742810</v>
      </c>
      <c r="E75" s="73" t="s">
        <v>598</v>
      </c>
      <c r="F75" s="74"/>
      <c r="G75" s="73"/>
      <c r="H75" s="75"/>
      <c r="I75" s="76">
        <v>20993743</v>
      </c>
      <c r="J75" s="77">
        <v>15236688</v>
      </c>
      <c r="K75" s="77">
        <v>30000</v>
      </c>
      <c r="L75" s="77">
        <v>5160141</v>
      </c>
      <c r="M75" s="77">
        <v>304734</v>
      </c>
      <c r="N75" s="77">
        <v>262180</v>
      </c>
      <c r="O75" s="78">
        <v>36.547499999999999</v>
      </c>
      <c r="P75" s="78">
        <v>24.659999999999997</v>
      </c>
      <c r="Q75" s="718">
        <v>11.887500000000001</v>
      </c>
      <c r="R75" s="76">
        <f t="shared" ref="R75:BC75" si="177">SUM(R71:R74)</f>
        <v>0</v>
      </c>
      <c r="S75" s="77">
        <f t="shared" si="177"/>
        <v>0</v>
      </c>
      <c r="T75" s="77">
        <f t="shared" si="177"/>
        <v>-9088</v>
      </c>
      <c r="U75" s="77">
        <f t="shared" si="177"/>
        <v>0</v>
      </c>
      <c r="V75" s="77">
        <f t="shared" si="177"/>
        <v>0</v>
      </c>
      <c r="W75" s="77">
        <f t="shared" si="177"/>
        <v>0</v>
      </c>
      <c r="X75" s="77">
        <f t="shared" si="177"/>
        <v>-9088</v>
      </c>
      <c r="Y75" s="77">
        <f t="shared" si="177"/>
        <v>0</v>
      </c>
      <c r="Z75" s="77">
        <f t="shared" si="177"/>
        <v>0</v>
      </c>
      <c r="AA75" s="77">
        <f t="shared" si="177"/>
        <v>0</v>
      </c>
      <c r="AB75" s="77">
        <f t="shared" si="177"/>
        <v>0</v>
      </c>
      <c r="AC75" s="77">
        <f t="shared" si="177"/>
        <v>-9088</v>
      </c>
      <c r="AD75" s="77">
        <f t="shared" si="177"/>
        <v>-3072</v>
      </c>
      <c r="AE75" s="77">
        <f t="shared" si="177"/>
        <v>-182</v>
      </c>
      <c r="AF75" s="77">
        <f t="shared" si="177"/>
        <v>0</v>
      </c>
      <c r="AG75" s="77">
        <f t="shared" si="177"/>
        <v>0</v>
      </c>
      <c r="AH75" s="77">
        <f t="shared" si="177"/>
        <v>0</v>
      </c>
      <c r="AI75" s="77">
        <f t="shared" si="177"/>
        <v>-12342</v>
      </c>
      <c r="AJ75" s="78">
        <f t="shared" si="177"/>
        <v>0</v>
      </c>
      <c r="AK75" s="78">
        <f t="shared" si="177"/>
        <v>0</v>
      </c>
      <c r="AL75" s="78">
        <f t="shared" si="177"/>
        <v>0</v>
      </c>
      <c r="AM75" s="78">
        <f t="shared" si="177"/>
        <v>0</v>
      </c>
      <c r="AN75" s="78">
        <f t="shared" si="177"/>
        <v>-2.0000000000000018E-2</v>
      </c>
      <c r="AO75" s="78">
        <f t="shared" si="177"/>
        <v>0</v>
      </c>
      <c r="AP75" s="78">
        <f t="shared" si="177"/>
        <v>0</v>
      </c>
      <c r="AQ75" s="78">
        <f t="shared" si="177"/>
        <v>0</v>
      </c>
      <c r="AR75" s="78">
        <f t="shared" si="177"/>
        <v>0</v>
      </c>
      <c r="AS75" s="78">
        <f t="shared" si="177"/>
        <v>-2.0000000000000018E-2</v>
      </c>
      <c r="AT75" s="79">
        <f t="shared" si="177"/>
        <v>-2.0000000000000018E-2</v>
      </c>
      <c r="AU75" s="433">
        <f t="shared" si="177"/>
        <v>20981401</v>
      </c>
      <c r="AV75" s="77">
        <f t="shared" si="177"/>
        <v>15227600</v>
      </c>
      <c r="AW75" s="77">
        <f t="shared" si="177"/>
        <v>30000</v>
      </c>
      <c r="AX75" s="77">
        <f t="shared" si="177"/>
        <v>5157069</v>
      </c>
      <c r="AY75" s="77">
        <f t="shared" si="177"/>
        <v>304552</v>
      </c>
      <c r="AZ75" s="77">
        <f t="shared" si="177"/>
        <v>262180</v>
      </c>
      <c r="BA75" s="78">
        <f t="shared" si="177"/>
        <v>36.527499999999996</v>
      </c>
      <c r="BB75" s="78">
        <f t="shared" si="177"/>
        <v>24.659999999999997</v>
      </c>
      <c r="BC75" s="79">
        <f t="shared" si="177"/>
        <v>11.8675</v>
      </c>
    </row>
    <row r="76" spans="1:55" ht="14.1" customHeight="1" x14ac:dyDescent="0.2">
      <c r="A76" s="68">
        <v>18</v>
      </c>
      <c r="B76" s="65">
        <v>2416</v>
      </c>
      <c r="C76" s="66">
        <v>600079571</v>
      </c>
      <c r="D76" s="65">
        <v>72742895</v>
      </c>
      <c r="E76" s="67" t="s">
        <v>599</v>
      </c>
      <c r="F76" s="68">
        <v>3111</v>
      </c>
      <c r="G76" s="67" t="s">
        <v>311</v>
      </c>
      <c r="H76" s="69" t="s">
        <v>277</v>
      </c>
      <c r="I76" s="477">
        <v>5251560</v>
      </c>
      <c r="J76" s="643">
        <v>3764624</v>
      </c>
      <c r="K76" s="643">
        <v>75000</v>
      </c>
      <c r="L76" s="472">
        <v>1297793</v>
      </c>
      <c r="M76" s="472">
        <v>75293</v>
      </c>
      <c r="N76" s="472">
        <v>38850</v>
      </c>
      <c r="O76" s="473">
        <v>8.4581999999999979</v>
      </c>
      <c r="P76" s="473">
        <v>6.5</v>
      </c>
      <c r="Q76" s="483">
        <v>1.9581999999999997</v>
      </c>
      <c r="R76" s="485">
        <f t="shared" ref="R76:R78" si="178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ref="X76:X78" si="179">SUM(R76:W76)</f>
        <v>0</v>
      </c>
      <c r="Y76" s="475">
        <v>0</v>
      </c>
      <c r="Z76" s="475">
        <v>0</v>
      </c>
      <c r="AA76" s="475">
        <v>0</v>
      </c>
      <c r="AB76" s="475">
        <f t="shared" ref="AB76:AB78" si="180">SUM(Y76:AA76)</f>
        <v>0</v>
      </c>
      <c r="AC76" s="475">
        <f t="shared" ref="AC76:AC78" si="181">X76+AB76</f>
        <v>0</v>
      </c>
      <c r="AD76" s="70">
        <f t="shared" ref="AD76:AD78" si="182">ROUND((X76+Y76+Z76)*33.8%,0)</f>
        <v>0</v>
      </c>
      <c r="AE76" s="70">
        <f t="shared" ref="AE76:AE78" si="183">ROUND(X76*2%,0)</f>
        <v>0</v>
      </c>
      <c r="AF76" s="475">
        <v>0</v>
      </c>
      <c r="AG76" s="475">
        <v>0</v>
      </c>
      <c r="AH76" s="475">
        <f t="shared" ref="AH76:AH78" si="184">SUM(AF76:AG76)</f>
        <v>0</v>
      </c>
      <c r="AI76" s="475">
        <f t="shared" ref="AI76:AI78" si="185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si="17"/>
        <v>0</v>
      </c>
      <c r="AS76" s="476">
        <f t="shared" si="18"/>
        <v>0</v>
      </c>
      <c r="AT76" s="478">
        <f t="shared" si="19"/>
        <v>0</v>
      </c>
      <c r="AU76" s="484">
        <f>I76+AI76</f>
        <v>5251560</v>
      </c>
      <c r="AV76" s="475">
        <f>J76+X76</f>
        <v>3764624</v>
      </c>
      <c r="AW76" s="475">
        <f>K76+AB76</f>
        <v>75000</v>
      </c>
      <c r="AX76" s="475">
        <f t="shared" ref="AX76:AY78" si="186">L76+AD76</f>
        <v>1297793</v>
      </c>
      <c r="AY76" s="475">
        <f t="shared" si="186"/>
        <v>75293</v>
      </c>
      <c r="AZ76" s="475">
        <f>N76+AH76</f>
        <v>38850</v>
      </c>
      <c r="BA76" s="476">
        <f>O76+AT76</f>
        <v>8.4581999999999979</v>
      </c>
      <c r="BB76" s="476">
        <f t="shared" ref="BB76:BC78" si="187">P76+AR76</f>
        <v>6.5</v>
      </c>
      <c r="BC76" s="478">
        <f t="shared" si="187"/>
        <v>1.9581999999999997</v>
      </c>
    </row>
    <row r="77" spans="1:55" ht="14.1" customHeight="1" x14ac:dyDescent="0.2">
      <c r="A77" s="68">
        <v>18</v>
      </c>
      <c r="B77" s="65">
        <v>2416</v>
      </c>
      <c r="C77" s="66">
        <v>600079571</v>
      </c>
      <c r="D77" s="65">
        <v>72742895</v>
      </c>
      <c r="E77" s="67" t="s">
        <v>599</v>
      </c>
      <c r="F77" s="68">
        <v>3111</v>
      </c>
      <c r="G77" s="44" t="s">
        <v>313</v>
      </c>
      <c r="H77" s="69" t="s">
        <v>277</v>
      </c>
      <c r="I77" s="477">
        <v>812160</v>
      </c>
      <c r="J77" s="472">
        <v>598056</v>
      </c>
      <c r="K77" s="472">
        <v>0</v>
      </c>
      <c r="L77" s="472">
        <v>202143</v>
      </c>
      <c r="M77" s="472">
        <v>11961</v>
      </c>
      <c r="N77" s="472">
        <v>0</v>
      </c>
      <c r="O77" s="473">
        <v>2</v>
      </c>
      <c r="P77" s="473">
        <v>2</v>
      </c>
      <c r="Q77" s="483">
        <v>0</v>
      </c>
      <c r="R77" s="485">
        <f t="shared" si="178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179"/>
        <v>0</v>
      </c>
      <c r="Y77" s="475">
        <v>0</v>
      </c>
      <c r="Z77" s="475">
        <v>0</v>
      </c>
      <c r="AA77" s="475">
        <v>0</v>
      </c>
      <c r="AB77" s="475">
        <f t="shared" si="180"/>
        <v>0</v>
      </c>
      <c r="AC77" s="475">
        <f t="shared" si="181"/>
        <v>0</v>
      </c>
      <c r="AD77" s="70">
        <f t="shared" si="182"/>
        <v>0</v>
      </c>
      <c r="AE77" s="70">
        <f t="shared" si="183"/>
        <v>0</v>
      </c>
      <c r="AF77" s="475">
        <v>0</v>
      </c>
      <c r="AG77" s="475">
        <v>0</v>
      </c>
      <c r="AH77" s="475">
        <f t="shared" si="184"/>
        <v>0</v>
      </c>
      <c r="AI77" s="475">
        <f t="shared" si="185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 t="shared" ref="AR77:AR140" si="188">AJ77+AL77+AM77+AO77+AP77</f>
        <v>0</v>
      </c>
      <c r="AS77" s="476">
        <f t="shared" ref="AS77:AS140" si="189">AK77+AN77+AQ77</f>
        <v>0</v>
      </c>
      <c r="AT77" s="478">
        <f t="shared" ref="AT77:AT140" si="190">SUM(AR77:AS77)</f>
        <v>0</v>
      </c>
      <c r="AU77" s="484">
        <f>I77+AI77</f>
        <v>812160</v>
      </c>
      <c r="AV77" s="475">
        <f>J77+X77</f>
        <v>598056</v>
      </c>
      <c r="AW77" s="475">
        <f>K77+AB77</f>
        <v>0</v>
      </c>
      <c r="AX77" s="475">
        <f t="shared" si="186"/>
        <v>202143</v>
      </c>
      <c r="AY77" s="475">
        <f t="shared" si="186"/>
        <v>11961</v>
      </c>
      <c r="AZ77" s="475">
        <f>N77+AH77</f>
        <v>0</v>
      </c>
      <c r="BA77" s="476">
        <f>O77+AT77</f>
        <v>2</v>
      </c>
      <c r="BB77" s="476">
        <f t="shared" si="187"/>
        <v>2</v>
      </c>
      <c r="BC77" s="478">
        <f t="shared" si="187"/>
        <v>0</v>
      </c>
    </row>
    <row r="78" spans="1:55" ht="14.1" customHeight="1" x14ac:dyDescent="0.2">
      <c r="A78" s="68">
        <v>18</v>
      </c>
      <c r="B78" s="65">
        <v>2416</v>
      </c>
      <c r="C78" s="66">
        <v>600079571</v>
      </c>
      <c r="D78" s="65">
        <v>72742895</v>
      </c>
      <c r="E78" s="67" t="s">
        <v>599</v>
      </c>
      <c r="F78" s="68">
        <v>3141</v>
      </c>
      <c r="G78" s="67" t="s">
        <v>315</v>
      </c>
      <c r="H78" s="69" t="s">
        <v>278</v>
      </c>
      <c r="I78" s="477">
        <v>668757</v>
      </c>
      <c r="J78" s="472">
        <v>490407</v>
      </c>
      <c r="K78" s="472">
        <v>0</v>
      </c>
      <c r="L78" s="472">
        <v>165758</v>
      </c>
      <c r="M78" s="472">
        <v>9808</v>
      </c>
      <c r="N78" s="472">
        <v>2784</v>
      </c>
      <c r="O78" s="473">
        <v>1.54</v>
      </c>
      <c r="P78" s="474">
        <v>0</v>
      </c>
      <c r="Q78" s="483">
        <v>1.54</v>
      </c>
      <c r="R78" s="485">
        <f t="shared" si="178"/>
        <v>0</v>
      </c>
      <c r="S78" s="475">
        <v>0</v>
      </c>
      <c r="T78" s="755">
        <v>-16896</v>
      </c>
      <c r="U78" s="475">
        <v>0</v>
      </c>
      <c r="V78" s="475">
        <v>0</v>
      </c>
      <c r="W78" s="475">
        <v>0</v>
      </c>
      <c r="X78" s="475">
        <f t="shared" si="179"/>
        <v>-16896</v>
      </c>
      <c r="Y78" s="475">
        <v>0</v>
      </c>
      <c r="Z78" s="475">
        <v>0</v>
      </c>
      <c r="AA78" s="475">
        <v>0</v>
      </c>
      <c r="AB78" s="475">
        <f t="shared" si="180"/>
        <v>0</v>
      </c>
      <c r="AC78" s="475">
        <f t="shared" si="181"/>
        <v>-16896</v>
      </c>
      <c r="AD78" s="70">
        <f t="shared" si="182"/>
        <v>-5711</v>
      </c>
      <c r="AE78" s="70">
        <f t="shared" si="183"/>
        <v>-338</v>
      </c>
      <c r="AF78" s="475">
        <v>0</v>
      </c>
      <c r="AG78" s="475">
        <v>0</v>
      </c>
      <c r="AH78" s="475">
        <f t="shared" si="184"/>
        <v>0</v>
      </c>
      <c r="AI78" s="475">
        <f t="shared" si="185"/>
        <v>-22945</v>
      </c>
      <c r="AJ78" s="476">
        <v>0</v>
      </c>
      <c r="AK78" s="476">
        <v>0</v>
      </c>
      <c r="AL78" s="476">
        <v>0</v>
      </c>
      <c r="AM78" s="476">
        <v>0</v>
      </c>
      <c r="AN78" s="756">
        <v>-4.9999999999999989E-2</v>
      </c>
      <c r="AO78" s="476">
        <v>0</v>
      </c>
      <c r="AP78" s="476">
        <v>0</v>
      </c>
      <c r="AQ78" s="476">
        <v>0</v>
      </c>
      <c r="AR78" s="476">
        <f t="shared" si="188"/>
        <v>0</v>
      </c>
      <c r="AS78" s="476">
        <f t="shared" si="189"/>
        <v>-4.9999999999999989E-2</v>
      </c>
      <c r="AT78" s="478">
        <f t="shared" si="190"/>
        <v>-4.9999999999999989E-2</v>
      </c>
      <c r="AU78" s="484">
        <f>I78+AI78</f>
        <v>645812</v>
      </c>
      <c r="AV78" s="475">
        <f>J78+X78</f>
        <v>473511</v>
      </c>
      <c r="AW78" s="475">
        <f>K78+AB78</f>
        <v>0</v>
      </c>
      <c r="AX78" s="475">
        <f t="shared" si="186"/>
        <v>160047</v>
      </c>
      <c r="AY78" s="475">
        <f t="shared" si="186"/>
        <v>9470</v>
      </c>
      <c r="AZ78" s="475">
        <f>N78+AH78</f>
        <v>2784</v>
      </c>
      <c r="BA78" s="476">
        <f>O78+AT78</f>
        <v>1.49</v>
      </c>
      <c r="BB78" s="476">
        <f t="shared" si="187"/>
        <v>0</v>
      </c>
      <c r="BC78" s="478">
        <f t="shared" si="187"/>
        <v>1.49</v>
      </c>
    </row>
    <row r="79" spans="1:55" ht="14.1" customHeight="1" x14ac:dyDescent="0.2">
      <c r="A79" s="74">
        <v>18</v>
      </c>
      <c r="B79" s="71">
        <v>2416</v>
      </c>
      <c r="C79" s="72">
        <v>600079571</v>
      </c>
      <c r="D79" s="71">
        <v>72742895</v>
      </c>
      <c r="E79" s="73" t="s">
        <v>600</v>
      </c>
      <c r="F79" s="74"/>
      <c r="G79" s="73"/>
      <c r="H79" s="75"/>
      <c r="I79" s="76">
        <v>6732477</v>
      </c>
      <c r="J79" s="77">
        <v>4853087</v>
      </c>
      <c r="K79" s="77">
        <v>75000</v>
      </c>
      <c r="L79" s="77">
        <v>1665694</v>
      </c>
      <c r="M79" s="77">
        <v>97062</v>
      </c>
      <c r="N79" s="77">
        <v>41634</v>
      </c>
      <c r="O79" s="78">
        <v>11.998199999999997</v>
      </c>
      <c r="P79" s="78">
        <v>8.5</v>
      </c>
      <c r="Q79" s="718">
        <v>3.4981999999999998</v>
      </c>
      <c r="R79" s="76">
        <f t="shared" ref="R79:BC79" si="191">SUM(R76:R78)</f>
        <v>0</v>
      </c>
      <c r="S79" s="77">
        <f t="shared" si="191"/>
        <v>0</v>
      </c>
      <c r="T79" s="77">
        <f t="shared" si="191"/>
        <v>-16896</v>
      </c>
      <c r="U79" s="77">
        <f t="shared" si="191"/>
        <v>0</v>
      </c>
      <c r="V79" s="77">
        <f t="shared" si="191"/>
        <v>0</v>
      </c>
      <c r="W79" s="77">
        <f t="shared" si="191"/>
        <v>0</v>
      </c>
      <c r="X79" s="77">
        <f t="shared" si="191"/>
        <v>-16896</v>
      </c>
      <c r="Y79" s="77">
        <f t="shared" si="191"/>
        <v>0</v>
      </c>
      <c r="Z79" s="77">
        <f t="shared" si="191"/>
        <v>0</v>
      </c>
      <c r="AA79" s="77">
        <f t="shared" si="191"/>
        <v>0</v>
      </c>
      <c r="AB79" s="77">
        <f t="shared" si="191"/>
        <v>0</v>
      </c>
      <c r="AC79" s="77">
        <f t="shared" si="191"/>
        <v>-16896</v>
      </c>
      <c r="AD79" s="77">
        <f t="shared" si="191"/>
        <v>-5711</v>
      </c>
      <c r="AE79" s="77">
        <f t="shared" si="191"/>
        <v>-338</v>
      </c>
      <c r="AF79" s="77">
        <f t="shared" si="191"/>
        <v>0</v>
      </c>
      <c r="AG79" s="77">
        <f t="shared" si="191"/>
        <v>0</v>
      </c>
      <c r="AH79" s="77">
        <f t="shared" si="191"/>
        <v>0</v>
      </c>
      <c r="AI79" s="77">
        <f t="shared" si="191"/>
        <v>-22945</v>
      </c>
      <c r="AJ79" s="78">
        <f t="shared" si="191"/>
        <v>0</v>
      </c>
      <c r="AK79" s="78">
        <f t="shared" si="191"/>
        <v>0</v>
      </c>
      <c r="AL79" s="78">
        <f t="shared" si="191"/>
        <v>0</v>
      </c>
      <c r="AM79" s="78">
        <f t="shared" si="191"/>
        <v>0</v>
      </c>
      <c r="AN79" s="78">
        <f t="shared" si="191"/>
        <v>-4.9999999999999989E-2</v>
      </c>
      <c r="AO79" s="78">
        <f t="shared" si="191"/>
        <v>0</v>
      </c>
      <c r="AP79" s="78">
        <f t="shared" si="191"/>
        <v>0</v>
      </c>
      <c r="AQ79" s="78">
        <f t="shared" si="191"/>
        <v>0</v>
      </c>
      <c r="AR79" s="78">
        <f t="shared" si="191"/>
        <v>0</v>
      </c>
      <c r="AS79" s="78">
        <f t="shared" si="191"/>
        <v>-4.9999999999999989E-2</v>
      </c>
      <c r="AT79" s="79">
        <f t="shared" si="191"/>
        <v>-4.9999999999999989E-2</v>
      </c>
      <c r="AU79" s="433">
        <f t="shared" si="191"/>
        <v>6709532</v>
      </c>
      <c r="AV79" s="77">
        <f t="shared" si="191"/>
        <v>4836191</v>
      </c>
      <c r="AW79" s="77">
        <f t="shared" si="191"/>
        <v>75000</v>
      </c>
      <c r="AX79" s="77">
        <f t="shared" si="191"/>
        <v>1659983</v>
      </c>
      <c r="AY79" s="77">
        <f t="shared" si="191"/>
        <v>96724</v>
      </c>
      <c r="AZ79" s="77">
        <f t="shared" si="191"/>
        <v>41634</v>
      </c>
      <c r="BA79" s="78">
        <f t="shared" si="191"/>
        <v>11.948199999999998</v>
      </c>
      <c r="BB79" s="78">
        <f t="shared" si="191"/>
        <v>8.5</v>
      </c>
      <c r="BC79" s="79">
        <f t="shared" si="191"/>
        <v>3.4481999999999999</v>
      </c>
    </row>
    <row r="80" spans="1:55" ht="14.1" customHeight="1" x14ac:dyDescent="0.2">
      <c r="A80" s="68">
        <v>19</v>
      </c>
      <c r="B80" s="65">
        <v>2421</v>
      </c>
      <c r="C80" s="66">
        <v>600079163</v>
      </c>
      <c r="D80" s="65">
        <v>72743301</v>
      </c>
      <c r="E80" s="67" t="s">
        <v>601</v>
      </c>
      <c r="F80" s="68">
        <v>3111</v>
      </c>
      <c r="G80" s="67" t="s">
        <v>311</v>
      </c>
      <c r="H80" s="69" t="s">
        <v>277</v>
      </c>
      <c r="I80" s="477">
        <v>10734920</v>
      </c>
      <c r="J80" s="643">
        <v>7857231</v>
      </c>
      <c r="K80" s="643">
        <v>0</v>
      </c>
      <c r="L80" s="472">
        <v>2655744</v>
      </c>
      <c r="M80" s="472">
        <v>157145</v>
      </c>
      <c r="N80" s="472">
        <v>64800</v>
      </c>
      <c r="O80" s="473">
        <v>16.946400000000001</v>
      </c>
      <c r="P80" s="473">
        <v>12.741899999999999</v>
      </c>
      <c r="Q80" s="483">
        <v>4.2045000000000003</v>
      </c>
      <c r="R80" s="485">
        <f t="shared" ref="R80:R81" si="192">Y80*-1</f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ref="X80:X81" si="193">SUM(R80:W80)</f>
        <v>0</v>
      </c>
      <c r="Y80" s="475">
        <v>0</v>
      </c>
      <c r="Z80" s="475">
        <v>0</v>
      </c>
      <c r="AA80" s="475">
        <v>0</v>
      </c>
      <c r="AB80" s="475">
        <f t="shared" ref="AB80:AB81" si="194">SUM(Y80:AA80)</f>
        <v>0</v>
      </c>
      <c r="AC80" s="475">
        <f t="shared" ref="AC80:AC81" si="195">X80+AB80</f>
        <v>0</v>
      </c>
      <c r="AD80" s="70">
        <f t="shared" ref="AD80:AD81" si="196">ROUND((X80+Y80+Z80)*33.8%,0)</f>
        <v>0</v>
      </c>
      <c r="AE80" s="70">
        <f t="shared" ref="AE80:AE81" si="197">ROUND(X80*2%,0)</f>
        <v>0</v>
      </c>
      <c r="AF80" s="475">
        <v>0</v>
      </c>
      <c r="AG80" s="475">
        <v>0</v>
      </c>
      <c r="AH80" s="475">
        <f t="shared" ref="AH80:AH81" si="198">SUM(AF80:AG80)</f>
        <v>0</v>
      </c>
      <c r="AI80" s="475">
        <f t="shared" ref="AI80:AI81" si="199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si="188"/>
        <v>0</v>
      </c>
      <c r="AS80" s="476">
        <f t="shared" si="189"/>
        <v>0</v>
      </c>
      <c r="AT80" s="478">
        <f t="shared" si="190"/>
        <v>0</v>
      </c>
      <c r="AU80" s="484">
        <f>I80+AI80</f>
        <v>10734920</v>
      </c>
      <c r="AV80" s="475">
        <f>J80+X80</f>
        <v>7857231</v>
      </c>
      <c r="AW80" s="475">
        <f>K80+AB80</f>
        <v>0</v>
      </c>
      <c r="AX80" s="475">
        <f>L80+AD80</f>
        <v>2655744</v>
      </c>
      <c r="AY80" s="475">
        <f>M80+AE80</f>
        <v>157145</v>
      </c>
      <c r="AZ80" s="475">
        <f>N80+AH80</f>
        <v>64800</v>
      </c>
      <c r="BA80" s="476">
        <f>O80+AT80</f>
        <v>16.946400000000001</v>
      </c>
      <c r="BB80" s="476">
        <f>P80+AR80</f>
        <v>12.741899999999999</v>
      </c>
      <c r="BC80" s="478">
        <f>Q80+AS80</f>
        <v>4.2045000000000003</v>
      </c>
    </row>
    <row r="81" spans="1:55" ht="14.1" customHeight="1" x14ac:dyDescent="0.2">
      <c r="A81" s="68">
        <v>19</v>
      </c>
      <c r="B81" s="65">
        <v>2421</v>
      </c>
      <c r="C81" s="66">
        <v>600079163</v>
      </c>
      <c r="D81" s="65">
        <v>72743301</v>
      </c>
      <c r="E81" s="67" t="s">
        <v>601</v>
      </c>
      <c r="F81" s="68">
        <v>3141</v>
      </c>
      <c r="G81" s="67" t="s">
        <v>315</v>
      </c>
      <c r="H81" s="69" t="s">
        <v>278</v>
      </c>
      <c r="I81" s="477">
        <v>1479994</v>
      </c>
      <c r="J81" s="472">
        <v>1083683</v>
      </c>
      <c r="K81" s="472">
        <v>0</v>
      </c>
      <c r="L81" s="472">
        <v>366285</v>
      </c>
      <c r="M81" s="472">
        <v>21674</v>
      </c>
      <c r="N81" s="472">
        <v>8352</v>
      </c>
      <c r="O81" s="473">
        <v>3.41</v>
      </c>
      <c r="P81" s="474">
        <v>0</v>
      </c>
      <c r="Q81" s="483">
        <v>3.41</v>
      </c>
      <c r="R81" s="485">
        <f t="shared" si="192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93"/>
        <v>0</v>
      </c>
      <c r="Y81" s="475">
        <v>0</v>
      </c>
      <c r="Z81" s="475">
        <v>0</v>
      </c>
      <c r="AA81" s="475">
        <v>0</v>
      </c>
      <c r="AB81" s="475">
        <f t="shared" si="194"/>
        <v>0</v>
      </c>
      <c r="AC81" s="475">
        <f t="shared" si="195"/>
        <v>0</v>
      </c>
      <c r="AD81" s="70">
        <f t="shared" si="196"/>
        <v>0</v>
      </c>
      <c r="AE81" s="70">
        <f t="shared" si="197"/>
        <v>0</v>
      </c>
      <c r="AF81" s="475">
        <v>0</v>
      </c>
      <c r="AG81" s="475">
        <v>0</v>
      </c>
      <c r="AH81" s="475">
        <f t="shared" si="198"/>
        <v>0</v>
      </c>
      <c r="AI81" s="475">
        <f t="shared" si="199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188"/>
        <v>0</v>
      </c>
      <c r="AS81" s="476">
        <f t="shared" si="189"/>
        <v>0</v>
      </c>
      <c r="AT81" s="478">
        <f t="shared" si="190"/>
        <v>0</v>
      </c>
      <c r="AU81" s="484">
        <f>I81+AI81</f>
        <v>1479994</v>
      </c>
      <c r="AV81" s="475">
        <f>J81+X81</f>
        <v>1083683</v>
      </c>
      <c r="AW81" s="475">
        <f>K81+AB81</f>
        <v>0</v>
      </c>
      <c r="AX81" s="475">
        <f>L81+AD81</f>
        <v>366285</v>
      </c>
      <c r="AY81" s="475">
        <f>M81+AE81</f>
        <v>21674</v>
      </c>
      <c r="AZ81" s="475">
        <f>N81+AH81</f>
        <v>8352</v>
      </c>
      <c r="BA81" s="476">
        <f>O81+AT81</f>
        <v>3.41</v>
      </c>
      <c r="BB81" s="476">
        <f>P81+AR81</f>
        <v>0</v>
      </c>
      <c r="BC81" s="478">
        <f>Q81+AS81</f>
        <v>3.41</v>
      </c>
    </row>
    <row r="82" spans="1:55" ht="14.1" customHeight="1" x14ac:dyDescent="0.2">
      <c r="A82" s="74">
        <v>19</v>
      </c>
      <c r="B82" s="71">
        <v>2421</v>
      </c>
      <c r="C82" s="72">
        <v>600079163</v>
      </c>
      <c r="D82" s="71">
        <v>72743301</v>
      </c>
      <c r="E82" s="73" t="s">
        <v>602</v>
      </c>
      <c r="F82" s="74"/>
      <c r="G82" s="73"/>
      <c r="H82" s="75"/>
      <c r="I82" s="76">
        <v>12214914</v>
      </c>
      <c r="J82" s="77">
        <v>8940914</v>
      </c>
      <c r="K82" s="77">
        <v>0</v>
      </c>
      <c r="L82" s="77">
        <v>3022029</v>
      </c>
      <c r="M82" s="77">
        <v>178819</v>
      </c>
      <c r="N82" s="77">
        <v>73152</v>
      </c>
      <c r="O82" s="78">
        <v>20.356400000000001</v>
      </c>
      <c r="P82" s="78">
        <v>12.741899999999999</v>
      </c>
      <c r="Q82" s="718">
        <v>7.6145000000000005</v>
      </c>
      <c r="R82" s="76">
        <f t="shared" ref="R82:BC82" si="200">SUM(R80:R81)</f>
        <v>0</v>
      </c>
      <c r="S82" s="77">
        <f t="shared" si="200"/>
        <v>0</v>
      </c>
      <c r="T82" s="77">
        <f t="shared" si="200"/>
        <v>0</v>
      </c>
      <c r="U82" s="77">
        <f t="shared" si="200"/>
        <v>0</v>
      </c>
      <c r="V82" s="77">
        <f t="shared" si="200"/>
        <v>0</v>
      </c>
      <c r="W82" s="77">
        <f t="shared" si="200"/>
        <v>0</v>
      </c>
      <c r="X82" s="77">
        <f t="shared" si="200"/>
        <v>0</v>
      </c>
      <c r="Y82" s="77">
        <f t="shared" si="200"/>
        <v>0</v>
      </c>
      <c r="Z82" s="77">
        <f t="shared" si="200"/>
        <v>0</v>
      </c>
      <c r="AA82" s="77">
        <f t="shared" si="200"/>
        <v>0</v>
      </c>
      <c r="AB82" s="77">
        <f t="shared" si="200"/>
        <v>0</v>
      </c>
      <c r="AC82" s="77">
        <f t="shared" si="200"/>
        <v>0</v>
      </c>
      <c r="AD82" s="77">
        <f t="shared" si="200"/>
        <v>0</v>
      </c>
      <c r="AE82" s="77">
        <f t="shared" si="200"/>
        <v>0</v>
      </c>
      <c r="AF82" s="77">
        <f t="shared" si="200"/>
        <v>0</v>
      </c>
      <c r="AG82" s="77">
        <f t="shared" si="200"/>
        <v>0</v>
      </c>
      <c r="AH82" s="77">
        <f t="shared" si="200"/>
        <v>0</v>
      </c>
      <c r="AI82" s="77">
        <f t="shared" si="200"/>
        <v>0</v>
      </c>
      <c r="AJ82" s="78">
        <f t="shared" si="200"/>
        <v>0</v>
      </c>
      <c r="AK82" s="78">
        <f t="shared" si="200"/>
        <v>0</v>
      </c>
      <c r="AL82" s="78">
        <f t="shared" si="200"/>
        <v>0</v>
      </c>
      <c r="AM82" s="78">
        <f t="shared" si="200"/>
        <v>0</v>
      </c>
      <c r="AN82" s="78">
        <f t="shared" si="200"/>
        <v>0</v>
      </c>
      <c r="AO82" s="78">
        <f t="shared" si="200"/>
        <v>0</v>
      </c>
      <c r="AP82" s="78">
        <f t="shared" si="200"/>
        <v>0</v>
      </c>
      <c r="AQ82" s="78">
        <f t="shared" si="200"/>
        <v>0</v>
      </c>
      <c r="AR82" s="78">
        <f t="shared" si="200"/>
        <v>0</v>
      </c>
      <c r="AS82" s="78">
        <f t="shared" si="200"/>
        <v>0</v>
      </c>
      <c r="AT82" s="79">
        <f t="shared" si="200"/>
        <v>0</v>
      </c>
      <c r="AU82" s="433">
        <f t="shared" si="200"/>
        <v>12214914</v>
      </c>
      <c r="AV82" s="77">
        <f t="shared" si="200"/>
        <v>8940914</v>
      </c>
      <c r="AW82" s="77">
        <f t="shared" si="200"/>
        <v>0</v>
      </c>
      <c r="AX82" s="77">
        <f t="shared" si="200"/>
        <v>3022029</v>
      </c>
      <c r="AY82" s="77">
        <f t="shared" si="200"/>
        <v>178819</v>
      </c>
      <c r="AZ82" s="77">
        <f t="shared" si="200"/>
        <v>73152</v>
      </c>
      <c r="BA82" s="78">
        <f t="shared" si="200"/>
        <v>20.356400000000001</v>
      </c>
      <c r="BB82" s="78">
        <f t="shared" si="200"/>
        <v>12.741899999999999</v>
      </c>
      <c r="BC82" s="79">
        <f t="shared" si="200"/>
        <v>7.6145000000000005</v>
      </c>
    </row>
    <row r="83" spans="1:55" ht="14.1" customHeight="1" x14ac:dyDescent="0.2">
      <c r="A83" s="68">
        <v>20</v>
      </c>
      <c r="B83" s="65">
        <v>2419</v>
      </c>
      <c r="C83" s="66">
        <v>600079171</v>
      </c>
      <c r="D83" s="65">
        <v>72742500</v>
      </c>
      <c r="E83" s="67" t="s">
        <v>603</v>
      </c>
      <c r="F83" s="68">
        <v>3111</v>
      </c>
      <c r="G83" s="67" t="s">
        <v>311</v>
      </c>
      <c r="H83" s="69" t="s">
        <v>277</v>
      </c>
      <c r="I83" s="477">
        <v>5241664</v>
      </c>
      <c r="J83" s="643">
        <v>3836976</v>
      </c>
      <c r="K83" s="643">
        <v>0</v>
      </c>
      <c r="L83" s="472">
        <v>1296898</v>
      </c>
      <c r="M83" s="472">
        <v>76740</v>
      </c>
      <c r="N83" s="472">
        <v>31050</v>
      </c>
      <c r="O83" s="473">
        <v>8.376100000000001</v>
      </c>
      <c r="P83" s="473">
        <v>6.2419000000000002</v>
      </c>
      <c r="Q83" s="483">
        <v>2.1341999999999999</v>
      </c>
      <c r="R83" s="485">
        <f t="shared" ref="R83:R85" si="201">Y83*-1</f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ref="X83:X85" si="202">SUM(R83:W83)</f>
        <v>0</v>
      </c>
      <c r="Y83" s="475">
        <v>0</v>
      </c>
      <c r="Z83" s="475">
        <v>0</v>
      </c>
      <c r="AA83" s="475">
        <v>0</v>
      </c>
      <c r="AB83" s="475">
        <f t="shared" ref="AB83:AB85" si="203">SUM(Y83:AA83)</f>
        <v>0</v>
      </c>
      <c r="AC83" s="475">
        <f t="shared" ref="AC83:AC85" si="204">X83+AB83</f>
        <v>0</v>
      </c>
      <c r="AD83" s="70">
        <f t="shared" ref="AD83:AD85" si="205">ROUND((X83+Y83+Z83)*33.8%,0)</f>
        <v>0</v>
      </c>
      <c r="AE83" s="70">
        <f t="shared" ref="AE83:AE85" si="206">ROUND(X83*2%,0)</f>
        <v>0</v>
      </c>
      <c r="AF83" s="475">
        <v>0</v>
      </c>
      <c r="AG83" s="475">
        <v>0</v>
      </c>
      <c r="AH83" s="475">
        <f t="shared" ref="AH83:AH85" si="207">SUM(AF83:AG83)</f>
        <v>0</v>
      </c>
      <c r="AI83" s="475">
        <f t="shared" ref="AI83:AI85" si="208">AC83+AD83+AE83+AH83</f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si="188"/>
        <v>0</v>
      </c>
      <c r="AS83" s="476">
        <f t="shared" si="189"/>
        <v>0</v>
      </c>
      <c r="AT83" s="478">
        <f t="shared" si="190"/>
        <v>0</v>
      </c>
      <c r="AU83" s="484">
        <f>I83+AI83</f>
        <v>5241664</v>
      </c>
      <c r="AV83" s="475">
        <f>J83+X83</f>
        <v>3836976</v>
      </c>
      <c r="AW83" s="475">
        <f>K83+AB83</f>
        <v>0</v>
      </c>
      <c r="AX83" s="475">
        <f t="shared" ref="AX83:AY85" si="209">L83+AD83</f>
        <v>1296898</v>
      </c>
      <c r="AY83" s="475">
        <f t="shared" si="209"/>
        <v>76740</v>
      </c>
      <c r="AZ83" s="475">
        <f>N83+AH83</f>
        <v>31050</v>
      </c>
      <c r="BA83" s="476">
        <f>O83+AT83</f>
        <v>8.376100000000001</v>
      </c>
      <c r="BB83" s="476">
        <f t="shared" ref="BB83:BC85" si="210">P83+AR83</f>
        <v>6.2419000000000002</v>
      </c>
      <c r="BC83" s="478">
        <f t="shared" si="210"/>
        <v>2.1341999999999999</v>
      </c>
    </row>
    <row r="84" spans="1:55" ht="14.1" customHeight="1" x14ac:dyDescent="0.2">
      <c r="A84" s="68">
        <v>20</v>
      </c>
      <c r="B84" s="65">
        <v>2419</v>
      </c>
      <c r="C84" s="66">
        <v>600079171</v>
      </c>
      <c r="D84" s="65">
        <v>72742500</v>
      </c>
      <c r="E84" s="67" t="s">
        <v>603</v>
      </c>
      <c r="F84" s="68">
        <v>3111</v>
      </c>
      <c r="G84" s="44" t="s">
        <v>312</v>
      </c>
      <c r="H84" s="69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201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202"/>
        <v>0</v>
      </c>
      <c r="Y84" s="475">
        <v>0</v>
      </c>
      <c r="Z84" s="475">
        <v>0</v>
      </c>
      <c r="AA84" s="475">
        <v>0</v>
      </c>
      <c r="AB84" s="475">
        <f t="shared" si="203"/>
        <v>0</v>
      </c>
      <c r="AC84" s="475">
        <f t="shared" si="204"/>
        <v>0</v>
      </c>
      <c r="AD84" s="70">
        <f t="shared" si="205"/>
        <v>0</v>
      </c>
      <c r="AE84" s="70">
        <f t="shared" si="206"/>
        <v>0</v>
      </c>
      <c r="AF84" s="475">
        <v>0</v>
      </c>
      <c r="AG84" s="475">
        <v>0</v>
      </c>
      <c r="AH84" s="475">
        <f t="shared" si="207"/>
        <v>0</v>
      </c>
      <c r="AI84" s="475">
        <f t="shared" si="208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188"/>
        <v>0</v>
      </c>
      <c r="AS84" s="476">
        <f t="shared" si="189"/>
        <v>0</v>
      </c>
      <c r="AT84" s="478">
        <f t="shared" si="190"/>
        <v>0</v>
      </c>
      <c r="AU84" s="484">
        <f>I84+AI84</f>
        <v>0</v>
      </c>
      <c r="AV84" s="475">
        <f>J84+X84</f>
        <v>0</v>
      </c>
      <c r="AW84" s="475">
        <f>K84+AB84</f>
        <v>0</v>
      </c>
      <c r="AX84" s="475">
        <f t="shared" si="209"/>
        <v>0</v>
      </c>
      <c r="AY84" s="475">
        <f t="shared" si="209"/>
        <v>0</v>
      </c>
      <c r="AZ84" s="475">
        <f>N84+AH84</f>
        <v>0</v>
      </c>
      <c r="BA84" s="476">
        <f>O84+AT84</f>
        <v>0</v>
      </c>
      <c r="BB84" s="476">
        <f t="shared" si="210"/>
        <v>0</v>
      </c>
      <c r="BC84" s="478">
        <f t="shared" si="210"/>
        <v>0</v>
      </c>
    </row>
    <row r="85" spans="1:55" ht="14.1" customHeight="1" x14ac:dyDescent="0.2">
      <c r="A85" s="68">
        <v>20</v>
      </c>
      <c r="B85" s="65">
        <v>2419</v>
      </c>
      <c r="C85" s="66">
        <v>600079171</v>
      </c>
      <c r="D85" s="65">
        <v>72742500</v>
      </c>
      <c r="E85" s="67" t="s">
        <v>603</v>
      </c>
      <c r="F85" s="68">
        <v>3141</v>
      </c>
      <c r="G85" s="67" t="s">
        <v>315</v>
      </c>
      <c r="H85" s="69" t="s">
        <v>278</v>
      </c>
      <c r="I85" s="477">
        <v>855155</v>
      </c>
      <c r="J85" s="472">
        <v>626770</v>
      </c>
      <c r="K85" s="472">
        <v>0</v>
      </c>
      <c r="L85" s="472">
        <v>211848</v>
      </c>
      <c r="M85" s="472">
        <v>12535</v>
      </c>
      <c r="N85" s="472">
        <v>4002</v>
      </c>
      <c r="O85" s="473">
        <v>1.97</v>
      </c>
      <c r="P85" s="474">
        <v>0</v>
      </c>
      <c r="Q85" s="483">
        <v>1.97</v>
      </c>
      <c r="R85" s="485">
        <f t="shared" si="201"/>
        <v>0</v>
      </c>
      <c r="S85" s="475">
        <v>0</v>
      </c>
      <c r="T85" s="755">
        <v>-2044</v>
      </c>
      <c r="U85" s="475">
        <v>0</v>
      </c>
      <c r="V85" s="475">
        <v>0</v>
      </c>
      <c r="W85" s="475">
        <v>0</v>
      </c>
      <c r="X85" s="475">
        <f t="shared" si="202"/>
        <v>-2044</v>
      </c>
      <c r="Y85" s="475">
        <v>0</v>
      </c>
      <c r="Z85" s="475">
        <v>0</v>
      </c>
      <c r="AA85" s="475">
        <v>0</v>
      </c>
      <c r="AB85" s="475">
        <f t="shared" si="203"/>
        <v>0</v>
      </c>
      <c r="AC85" s="475">
        <f t="shared" si="204"/>
        <v>-2044</v>
      </c>
      <c r="AD85" s="70">
        <f t="shared" si="205"/>
        <v>-691</v>
      </c>
      <c r="AE85" s="70">
        <f t="shared" si="206"/>
        <v>-41</v>
      </c>
      <c r="AF85" s="475">
        <v>0</v>
      </c>
      <c r="AG85" s="475">
        <v>0</v>
      </c>
      <c r="AH85" s="475">
        <f t="shared" si="207"/>
        <v>0</v>
      </c>
      <c r="AI85" s="475">
        <f t="shared" si="208"/>
        <v>-2776</v>
      </c>
      <c r="AJ85" s="476">
        <v>0</v>
      </c>
      <c r="AK85" s="476">
        <v>0</v>
      </c>
      <c r="AL85" s="476">
        <v>0</v>
      </c>
      <c r="AM85" s="476">
        <v>0</v>
      </c>
      <c r="AN85" s="756">
        <v>-1.0000000000000009E-2</v>
      </c>
      <c r="AO85" s="476">
        <v>0</v>
      </c>
      <c r="AP85" s="476">
        <v>0</v>
      </c>
      <c r="AQ85" s="476">
        <v>0</v>
      </c>
      <c r="AR85" s="476">
        <f t="shared" si="188"/>
        <v>0</v>
      </c>
      <c r="AS85" s="476">
        <f t="shared" si="189"/>
        <v>-1.0000000000000009E-2</v>
      </c>
      <c r="AT85" s="478">
        <f t="shared" si="190"/>
        <v>-1.0000000000000009E-2</v>
      </c>
      <c r="AU85" s="484">
        <f>I85+AI85</f>
        <v>852379</v>
      </c>
      <c r="AV85" s="475">
        <f>J85+X85</f>
        <v>624726</v>
      </c>
      <c r="AW85" s="475">
        <f>K85+AB85</f>
        <v>0</v>
      </c>
      <c r="AX85" s="475">
        <f t="shared" si="209"/>
        <v>211157</v>
      </c>
      <c r="AY85" s="475">
        <f t="shared" si="209"/>
        <v>12494</v>
      </c>
      <c r="AZ85" s="475">
        <f>N85+AH85</f>
        <v>4002</v>
      </c>
      <c r="BA85" s="476">
        <f>O85+AT85</f>
        <v>1.96</v>
      </c>
      <c r="BB85" s="476">
        <f t="shared" si="210"/>
        <v>0</v>
      </c>
      <c r="BC85" s="478">
        <f t="shared" si="210"/>
        <v>1.96</v>
      </c>
    </row>
    <row r="86" spans="1:55" ht="14.1" customHeight="1" x14ac:dyDescent="0.2">
      <c r="A86" s="74">
        <v>20</v>
      </c>
      <c r="B86" s="71">
        <v>2419</v>
      </c>
      <c r="C86" s="72">
        <v>600079171</v>
      </c>
      <c r="D86" s="71">
        <v>72742500</v>
      </c>
      <c r="E86" s="73" t="s">
        <v>604</v>
      </c>
      <c r="F86" s="74"/>
      <c r="G86" s="73"/>
      <c r="H86" s="75"/>
      <c r="I86" s="76">
        <v>6096819</v>
      </c>
      <c r="J86" s="77">
        <v>4463746</v>
      </c>
      <c r="K86" s="77">
        <v>0</v>
      </c>
      <c r="L86" s="77">
        <v>1508746</v>
      </c>
      <c r="M86" s="77">
        <v>89275</v>
      </c>
      <c r="N86" s="77">
        <v>35052</v>
      </c>
      <c r="O86" s="78">
        <v>10.346100000000002</v>
      </c>
      <c r="P86" s="78">
        <v>6.2419000000000002</v>
      </c>
      <c r="Q86" s="718">
        <v>4.1041999999999996</v>
      </c>
      <c r="R86" s="76">
        <f t="shared" ref="R86:BC86" si="211">SUM(R83:R85)</f>
        <v>0</v>
      </c>
      <c r="S86" s="77">
        <f t="shared" si="211"/>
        <v>0</v>
      </c>
      <c r="T86" s="77">
        <f t="shared" si="211"/>
        <v>-2044</v>
      </c>
      <c r="U86" s="77">
        <f t="shared" si="211"/>
        <v>0</v>
      </c>
      <c r="V86" s="77">
        <f t="shared" si="211"/>
        <v>0</v>
      </c>
      <c r="W86" s="77">
        <f t="shared" si="211"/>
        <v>0</v>
      </c>
      <c r="X86" s="77">
        <f t="shared" si="211"/>
        <v>-2044</v>
      </c>
      <c r="Y86" s="77">
        <f t="shared" si="211"/>
        <v>0</v>
      </c>
      <c r="Z86" s="77">
        <f t="shared" si="211"/>
        <v>0</v>
      </c>
      <c r="AA86" s="77">
        <f t="shared" si="211"/>
        <v>0</v>
      </c>
      <c r="AB86" s="77">
        <f t="shared" si="211"/>
        <v>0</v>
      </c>
      <c r="AC86" s="77">
        <f t="shared" si="211"/>
        <v>-2044</v>
      </c>
      <c r="AD86" s="77">
        <f t="shared" si="211"/>
        <v>-691</v>
      </c>
      <c r="AE86" s="77">
        <f t="shared" si="211"/>
        <v>-41</v>
      </c>
      <c r="AF86" s="77">
        <f t="shared" si="211"/>
        <v>0</v>
      </c>
      <c r="AG86" s="77">
        <f t="shared" si="211"/>
        <v>0</v>
      </c>
      <c r="AH86" s="77">
        <f t="shared" si="211"/>
        <v>0</v>
      </c>
      <c r="AI86" s="77">
        <f t="shared" si="211"/>
        <v>-2776</v>
      </c>
      <c r="AJ86" s="78">
        <f t="shared" si="211"/>
        <v>0</v>
      </c>
      <c r="AK86" s="78">
        <f t="shared" si="211"/>
        <v>0</v>
      </c>
      <c r="AL86" s="78">
        <f t="shared" si="211"/>
        <v>0</v>
      </c>
      <c r="AM86" s="78">
        <f t="shared" si="211"/>
        <v>0</v>
      </c>
      <c r="AN86" s="78">
        <f t="shared" si="211"/>
        <v>-1.0000000000000009E-2</v>
      </c>
      <c r="AO86" s="78">
        <f t="shared" si="211"/>
        <v>0</v>
      </c>
      <c r="AP86" s="78">
        <f t="shared" si="211"/>
        <v>0</v>
      </c>
      <c r="AQ86" s="78">
        <f t="shared" si="211"/>
        <v>0</v>
      </c>
      <c r="AR86" s="78">
        <f t="shared" si="211"/>
        <v>0</v>
      </c>
      <c r="AS86" s="78">
        <f t="shared" si="211"/>
        <v>-1.0000000000000009E-2</v>
      </c>
      <c r="AT86" s="79">
        <f t="shared" si="211"/>
        <v>-1.0000000000000009E-2</v>
      </c>
      <c r="AU86" s="433">
        <f t="shared" si="211"/>
        <v>6094043</v>
      </c>
      <c r="AV86" s="77">
        <f t="shared" si="211"/>
        <v>4461702</v>
      </c>
      <c r="AW86" s="77">
        <f t="shared" si="211"/>
        <v>0</v>
      </c>
      <c r="AX86" s="77">
        <f t="shared" si="211"/>
        <v>1508055</v>
      </c>
      <c r="AY86" s="77">
        <f t="shared" si="211"/>
        <v>89234</v>
      </c>
      <c r="AZ86" s="77">
        <f t="shared" si="211"/>
        <v>35052</v>
      </c>
      <c r="BA86" s="78">
        <f t="shared" si="211"/>
        <v>10.336100000000002</v>
      </c>
      <c r="BB86" s="78">
        <f t="shared" si="211"/>
        <v>6.2419000000000002</v>
      </c>
      <c r="BC86" s="79">
        <f t="shared" si="211"/>
        <v>4.0941999999999998</v>
      </c>
    </row>
    <row r="87" spans="1:55" ht="14.1" customHeight="1" x14ac:dyDescent="0.2">
      <c r="A87" s="68">
        <v>21</v>
      </c>
      <c r="B87" s="65">
        <v>2430</v>
      </c>
      <c r="C87" s="66">
        <v>600079180</v>
      </c>
      <c r="D87" s="65">
        <v>46747532</v>
      </c>
      <c r="E87" s="67" t="s">
        <v>605</v>
      </c>
      <c r="F87" s="68">
        <v>3111</v>
      </c>
      <c r="G87" s="67" t="s">
        <v>311</v>
      </c>
      <c r="H87" s="69" t="s">
        <v>277</v>
      </c>
      <c r="I87" s="477">
        <v>5259540</v>
      </c>
      <c r="J87" s="643">
        <v>3849146</v>
      </c>
      <c r="K87" s="643">
        <v>0</v>
      </c>
      <c r="L87" s="472">
        <v>1301011</v>
      </c>
      <c r="M87" s="472">
        <v>76983</v>
      </c>
      <c r="N87" s="472">
        <v>32400</v>
      </c>
      <c r="O87" s="473">
        <v>8.1341999999999999</v>
      </c>
      <c r="P87" s="473">
        <v>6</v>
      </c>
      <c r="Q87" s="483">
        <v>2.1341999999999999</v>
      </c>
      <c r="R87" s="485">
        <f t="shared" ref="R87:R89" si="212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ref="X87:X89" si="213">SUM(R87:W87)</f>
        <v>0</v>
      </c>
      <c r="Y87" s="475">
        <v>0</v>
      </c>
      <c r="Z87" s="475">
        <v>0</v>
      </c>
      <c r="AA87" s="475">
        <v>0</v>
      </c>
      <c r="AB87" s="475">
        <f t="shared" ref="AB87:AB89" si="214">SUM(Y87:AA87)</f>
        <v>0</v>
      </c>
      <c r="AC87" s="475">
        <f t="shared" ref="AC87:AC89" si="215">X87+AB87</f>
        <v>0</v>
      </c>
      <c r="AD87" s="70">
        <f t="shared" ref="AD87:AD89" si="216">ROUND((X87+Y87+Z87)*33.8%,0)</f>
        <v>0</v>
      </c>
      <c r="AE87" s="70">
        <f t="shared" ref="AE87:AE89" si="217">ROUND(X87*2%,0)</f>
        <v>0</v>
      </c>
      <c r="AF87" s="475">
        <v>0</v>
      </c>
      <c r="AG87" s="475">
        <v>0</v>
      </c>
      <c r="AH87" s="475">
        <f t="shared" ref="AH87:AH89" si="218">SUM(AF87:AG87)</f>
        <v>0</v>
      </c>
      <c r="AI87" s="475">
        <f t="shared" ref="AI87:AI89" si="219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si="188"/>
        <v>0</v>
      </c>
      <c r="AS87" s="476">
        <f t="shared" si="189"/>
        <v>0</v>
      </c>
      <c r="AT87" s="478">
        <f t="shared" si="190"/>
        <v>0</v>
      </c>
      <c r="AU87" s="484">
        <f>I87+AI87</f>
        <v>5259540</v>
      </c>
      <c r="AV87" s="475">
        <f>J87+X87</f>
        <v>3849146</v>
      </c>
      <c r="AW87" s="475">
        <f>K87+AB87</f>
        <v>0</v>
      </c>
      <c r="AX87" s="475">
        <f t="shared" ref="AX87:AY89" si="220">L87+AD87</f>
        <v>1301011</v>
      </c>
      <c r="AY87" s="475">
        <f t="shared" si="220"/>
        <v>76983</v>
      </c>
      <c r="AZ87" s="475">
        <f>N87+AH87</f>
        <v>32400</v>
      </c>
      <c r="BA87" s="476">
        <f>O87+AT87</f>
        <v>8.1341999999999999</v>
      </c>
      <c r="BB87" s="476">
        <f t="shared" ref="BB87:BC89" si="221">P87+AR87</f>
        <v>6</v>
      </c>
      <c r="BC87" s="478">
        <f t="shared" si="221"/>
        <v>2.1341999999999999</v>
      </c>
    </row>
    <row r="88" spans="1:55" ht="14.1" customHeight="1" x14ac:dyDescent="0.2">
      <c r="A88" s="68">
        <v>21</v>
      </c>
      <c r="B88" s="65">
        <v>2430</v>
      </c>
      <c r="C88" s="66">
        <v>600079180</v>
      </c>
      <c r="D88" s="65">
        <v>46747532</v>
      </c>
      <c r="E88" s="67" t="s">
        <v>605</v>
      </c>
      <c r="F88" s="68">
        <v>3111</v>
      </c>
      <c r="G88" s="80" t="s">
        <v>312</v>
      </c>
      <c r="H88" s="69" t="s">
        <v>278</v>
      </c>
      <c r="I88" s="477">
        <v>235235</v>
      </c>
      <c r="J88" s="472">
        <v>173222</v>
      </c>
      <c r="K88" s="472">
        <v>0</v>
      </c>
      <c r="L88" s="472">
        <v>58549</v>
      </c>
      <c r="M88" s="472">
        <v>3464</v>
      </c>
      <c r="N88" s="472">
        <v>0</v>
      </c>
      <c r="O88" s="473">
        <v>0.5</v>
      </c>
      <c r="P88" s="474">
        <v>0.5</v>
      </c>
      <c r="Q88" s="483">
        <v>0</v>
      </c>
      <c r="R88" s="485">
        <f t="shared" si="212"/>
        <v>0</v>
      </c>
      <c r="S88" s="475">
        <v>-57741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213"/>
        <v>-57741</v>
      </c>
      <c r="Y88" s="475">
        <v>0</v>
      </c>
      <c r="Z88" s="475">
        <v>0</v>
      </c>
      <c r="AA88" s="475">
        <v>0</v>
      </c>
      <c r="AB88" s="475">
        <f t="shared" si="214"/>
        <v>0</v>
      </c>
      <c r="AC88" s="475">
        <f t="shared" si="215"/>
        <v>-57741</v>
      </c>
      <c r="AD88" s="70">
        <f t="shared" si="216"/>
        <v>-19516</v>
      </c>
      <c r="AE88" s="70">
        <f t="shared" si="217"/>
        <v>-1155</v>
      </c>
      <c r="AF88" s="475">
        <v>0</v>
      </c>
      <c r="AG88" s="475">
        <v>0</v>
      </c>
      <c r="AH88" s="475">
        <f t="shared" si="218"/>
        <v>0</v>
      </c>
      <c r="AI88" s="475">
        <f t="shared" si="219"/>
        <v>-78412</v>
      </c>
      <c r="AJ88" s="476">
        <v>0</v>
      </c>
      <c r="AK88" s="476">
        <v>0</v>
      </c>
      <c r="AL88" s="476">
        <v>-0.17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 t="shared" si="188"/>
        <v>-0.17</v>
      </c>
      <c r="AS88" s="476">
        <f t="shared" si="189"/>
        <v>0</v>
      </c>
      <c r="AT88" s="478">
        <f t="shared" si="190"/>
        <v>-0.17</v>
      </c>
      <c r="AU88" s="484">
        <f>I88+AI88</f>
        <v>156823</v>
      </c>
      <c r="AV88" s="475">
        <f>J88+X88</f>
        <v>115481</v>
      </c>
      <c r="AW88" s="475">
        <f>K88+AB88</f>
        <v>0</v>
      </c>
      <c r="AX88" s="475">
        <f t="shared" si="220"/>
        <v>39033</v>
      </c>
      <c r="AY88" s="475">
        <f t="shared" si="220"/>
        <v>2309</v>
      </c>
      <c r="AZ88" s="475">
        <f>N88+AH88</f>
        <v>0</v>
      </c>
      <c r="BA88" s="476">
        <f>O88+AT88</f>
        <v>0.32999999999999996</v>
      </c>
      <c r="BB88" s="476">
        <f t="shared" si="221"/>
        <v>0.32999999999999996</v>
      </c>
      <c r="BC88" s="478">
        <f t="shared" si="221"/>
        <v>0</v>
      </c>
    </row>
    <row r="89" spans="1:55" ht="14.1" customHeight="1" x14ac:dyDescent="0.2">
      <c r="A89" s="68">
        <v>21</v>
      </c>
      <c r="B89" s="65">
        <v>2430</v>
      </c>
      <c r="C89" s="66">
        <v>600079180</v>
      </c>
      <c r="D89" s="65">
        <v>46747532</v>
      </c>
      <c r="E89" s="67" t="s">
        <v>605</v>
      </c>
      <c r="F89" s="68">
        <v>3141</v>
      </c>
      <c r="G89" s="67" t="s">
        <v>315</v>
      </c>
      <c r="H89" s="69" t="s">
        <v>278</v>
      </c>
      <c r="I89" s="477">
        <v>880114</v>
      </c>
      <c r="J89" s="472">
        <v>645021</v>
      </c>
      <c r="K89" s="472">
        <v>0</v>
      </c>
      <c r="L89" s="472">
        <v>218017</v>
      </c>
      <c r="M89" s="472">
        <v>12900</v>
      </c>
      <c r="N89" s="472">
        <v>4176</v>
      </c>
      <c r="O89" s="473">
        <v>2.0299999999999998</v>
      </c>
      <c r="P89" s="474">
        <v>0</v>
      </c>
      <c r="Q89" s="483">
        <v>2.0299999999999998</v>
      </c>
      <c r="R89" s="485">
        <f t="shared" si="212"/>
        <v>0</v>
      </c>
      <c r="S89" s="475">
        <v>0</v>
      </c>
      <c r="T89" s="755">
        <v>-2020</v>
      </c>
      <c r="U89" s="475">
        <v>0</v>
      </c>
      <c r="V89" s="475">
        <v>0</v>
      </c>
      <c r="W89" s="475">
        <v>0</v>
      </c>
      <c r="X89" s="475">
        <f t="shared" si="213"/>
        <v>-2020</v>
      </c>
      <c r="Y89" s="475">
        <v>0</v>
      </c>
      <c r="Z89" s="475">
        <v>0</v>
      </c>
      <c r="AA89" s="475">
        <v>0</v>
      </c>
      <c r="AB89" s="475">
        <f t="shared" si="214"/>
        <v>0</v>
      </c>
      <c r="AC89" s="475">
        <f t="shared" si="215"/>
        <v>-2020</v>
      </c>
      <c r="AD89" s="70">
        <f t="shared" si="216"/>
        <v>-683</v>
      </c>
      <c r="AE89" s="70">
        <f t="shared" si="217"/>
        <v>-40</v>
      </c>
      <c r="AF89" s="475">
        <v>0</v>
      </c>
      <c r="AG89" s="475">
        <v>0</v>
      </c>
      <c r="AH89" s="475">
        <f t="shared" si="218"/>
        <v>0</v>
      </c>
      <c r="AI89" s="475">
        <f t="shared" si="219"/>
        <v>-2743</v>
      </c>
      <c r="AJ89" s="476">
        <v>0</v>
      </c>
      <c r="AK89" s="476">
        <v>0</v>
      </c>
      <c r="AL89" s="476">
        <v>0</v>
      </c>
      <c r="AM89" s="476">
        <v>0</v>
      </c>
      <c r="AN89" s="756">
        <v>-1.0000000000000009E-2</v>
      </c>
      <c r="AO89" s="476">
        <v>0</v>
      </c>
      <c r="AP89" s="476">
        <v>0</v>
      </c>
      <c r="AQ89" s="476">
        <v>0</v>
      </c>
      <c r="AR89" s="476">
        <f t="shared" si="188"/>
        <v>0</v>
      </c>
      <c r="AS89" s="476">
        <f t="shared" si="189"/>
        <v>-1.0000000000000009E-2</v>
      </c>
      <c r="AT89" s="478">
        <f t="shared" si="190"/>
        <v>-1.0000000000000009E-2</v>
      </c>
      <c r="AU89" s="484">
        <f>I89+AI89</f>
        <v>877371</v>
      </c>
      <c r="AV89" s="475">
        <f>J89+X89</f>
        <v>643001</v>
      </c>
      <c r="AW89" s="475">
        <f>K89+AB89</f>
        <v>0</v>
      </c>
      <c r="AX89" s="475">
        <f t="shared" si="220"/>
        <v>217334</v>
      </c>
      <c r="AY89" s="475">
        <f t="shared" si="220"/>
        <v>12860</v>
      </c>
      <c r="AZ89" s="475">
        <f>N89+AH89</f>
        <v>4176</v>
      </c>
      <c r="BA89" s="476">
        <f>O89+AT89</f>
        <v>2.0199999999999996</v>
      </c>
      <c r="BB89" s="476">
        <f t="shared" si="221"/>
        <v>0</v>
      </c>
      <c r="BC89" s="478">
        <f t="shared" si="221"/>
        <v>2.0199999999999996</v>
      </c>
    </row>
    <row r="90" spans="1:55" ht="13.5" customHeight="1" x14ac:dyDescent="0.2">
      <c r="A90" s="74">
        <v>21</v>
      </c>
      <c r="B90" s="71">
        <v>2430</v>
      </c>
      <c r="C90" s="72">
        <v>600079180</v>
      </c>
      <c r="D90" s="71">
        <v>46747532</v>
      </c>
      <c r="E90" s="73" t="s">
        <v>606</v>
      </c>
      <c r="F90" s="74"/>
      <c r="G90" s="73"/>
      <c r="H90" s="75"/>
      <c r="I90" s="76">
        <v>6374889</v>
      </c>
      <c r="J90" s="77">
        <v>4667389</v>
      </c>
      <c r="K90" s="77">
        <v>0</v>
      </c>
      <c r="L90" s="77">
        <v>1577577</v>
      </c>
      <c r="M90" s="77">
        <v>93347</v>
      </c>
      <c r="N90" s="77">
        <v>36576</v>
      </c>
      <c r="O90" s="78">
        <v>10.664199999999999</v>
      </c>
      <c r="P90" s="78">
        <v>6.5</v>
      </c>
      <c r="Q90" s="718">
        <v>4.1641999999999992</v>
      </c>
      <c r="R90" s="76">
        <f t="shared" ref="R90:BC90" si="222">SUM(R87:R89)</f>
        <v>0</v>
      </c>
      <c r="S90" s="77">
        <f t="shared" si="222"/>
        <v>-57741</v>
      </c>
      <c r="T90" s="77">
        <f t="shared" si="222"/>
        <v>-2020</v>
      </c>
      <c r="U90" s="77">
        <f t="shared" si="222"/>
        <v>0</v>
      </c>
      <c r="V90" s="77">
        <f t="shared" si="222"/>
        <v>0</v>
      </c>
      <c r="W90" s="77">
        <f t="shared" si="222"/>
        <v>0</v>
      </c>
      <c r="X90" s="77">
        <f t="shared" si="222"/>
        <v>-59761</v>
      </c>
      <c r="Y90" s="77">
        <f t="shared" si="222"/>
        <v>0</v>
      </c>
      <c r="Z90" s="77">
        <f t="shared" si="222"/>
        <v>0</v>
      </c>
      <c r="AA90" s="77">
        <f t="shared" si="222"/>
        <v>0</v>
      </c>
      <c r="AB90" s="77">
        <f t="shared" si="222"/>
        <v>0</v>
      </c>
      <c r="AC90" s="77">
        <f t="shared" si="222"/>
        <v>-59761</v>
      </c>
      <c r="AD90" s="77">
        <f t="shared" si="222"/>
        <v>-20199</v>
      </c>
      <c r="AE90" s="77">
        <f t="shared" si="222"/>
        <v>-1195</v>
      </c>
      <c r="AF90" s="77">
        <f t="shared" si="222"/>
        <v>0</v>
      </c>
      <c r="AG90" s="77">
        <f t="shared" si="222"/>
        <v>0</v>
      </c>
      <c r="AH90" s="77">
        <f t="shared" si="222"/>
        <v>0</v>
      </c>
      <c r="AI90" s="77">
        <f t="shared" si="222"/>
        <v>-81155</v>
      </c>
      <c r="AJ90" s="78">
        <f t="shared" si="222"/>
        <v>0</v>
      </c>
      <c r="AK90" s="78">
        <f t="shared" si="222"/>
        <v>0</v>
      </c>
      <c r="AL90" s="78">
        <f t="shared" si="222"/>
        <v>-0.17</v>
      </c>
      <c r="AM90" s="78">
        <f t="shared" si="222"/>
        <v>0</v>
      </c>
      <c r="AN90" s="78">
        <f t="shared" si="222"/>
        <v>-1.0000000000000009E-2</v>
      </c>
      <c r="AO90" s="78">
        <f t="shared" si="222"/>
        <v>0</v>
      </c>
      <c r="AP90" s="78">
        <f t="shared" si="222"/>
        <v>0</v>
      </c>
      <c r="AQ90" s="78">
        <f t="shared" si="222"/>
        <v>0</v>
      </c>
      <c r="AR90" s="78">
        <f t="shared" si="222"/>
        <v>-0.17</v>
      </c>
      <c r="AS90" s="78">
        <f t="shared" si="222"/>
        <v>-1.0000000000000009E-2</v>
      </c>
      <c r="AT90" s="79">
        <f t="shared" si="222"/>
        <v>-0.18000000000000002</v>
      </c>
      <c r="AU90" s="433">
        <f t="shared" si="222"/>
        <v>6293734</v>
      </c>
      <c r="AV90" s="77">
        <f t="shared" si="222"/>
        <v>4607628</v>
      </c>
      <c r="AW90" s="77">
        <f t="shared" si="222"/>
        <v>0</v>
      </c>
      <c r="AX90" s="77">
        <f t="shared" si="222"/>
        <v>1557378</v>
      </c>
      <c r="AY90" s="77">
        <f t="shared" si="222"/>
        <v>92152</v>
      </c>
      <c r="AZ90" s="77">
        <f t="shared" si="222"/>
        <v>36576</v>
      </c>
      <c r="BA90" s="78">
        <f t="shared" si="222"/>
        <v>10.4842</v>
      </c>
      <c r="BB90" s="78">
        <f t="shared" si="222"/>
        <v>6.33</v>
      </c>
      <c r="BC90" s="79">
        <f t="shared" si="222"/>
        <v>4.1541999999999994</v>
      </c>
    </row>
    <row r="91" spans="1:55" ht="14.1" customHeight="1" x14ac:dyDescent="0.2">
      <c r="A91" s="68">
        <v>22</v>
      </c>
      <c r="B91" s="65">
        <v>2409</v>
      </c>
      <c r="C91" s="66">
        <v>600079635</v>
      </c>
      <c r="D91" s="65">
        <v>72742747</v>
      </c>
      <c r="E91" s="67" t="s">
        <v>607</v>
      </c>
      <c r="F91" s="68">
        <v>3111</v>
      </c>
      <c r="G91" s="67" t="s">
        <v>311</v>
      </c>
      <c r="H91" s="69" t="s">
        <v>277</v>
      </c>
      <c r="I91" s="477">
        <v>7686991</v>
      </c>
      <c r="J91" s="643">
        <v>5607681</v>
      </c>
      <c r="K91" s="643">
        <v>20000</v>
      </c>
      <c r="L91" s="472">
        <v>1902156</v>
      </c>
      <c r="M91" s="472">
        <v>112154</v>
      </c>
      <c r="N91" s="472">
        <v>45000</v>
      </c>
      <c r="O91" s="473">
        <v>12.168200000000001</v>
      </c>
      <c r="P91" s="473">
        <v>8.9</v>
      </c>
      <c r="Q91" s="483">
        <v>3.2681999999999998</v>
      </c>
      <c r="R91" s="485">
        <f t="shared" ref="R91:R93" si="223">Y91*-1</f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ref="X91:X93" si="224">SUM(R91:W91)</f>
        <v>0</v>
      </c>
      <c r="Y91" s="475">
        <v>0</v>
      </c>
      <c r="Z91" s="475">
        <v>0</v>
      </c>
      <c r="AA91" s="475">
        <v>0</v>
      </c>
      <c r="AB91" s="475">
        <f t="shared" ref="AB91:AB93" si="225">SUM(Y91:AA91)</f>
        <v>0</v>
      </c>
      <c r="AC91" s="475">
        <f t="shared" ref="AC91:AC93" si="226">X91+AB91</f>
        <v>0</v>
      </c>
      <c r="AD91" s="70">
        <f t="shared" ref="AD91:AD93" si="227">ROUND((X91+Y91+Z91)*33.8%,0)</f>
        <v>0</v>
      </c>
      <c r="AE91" s="70">
        <f t="shared" ref="AE91:AE93" si="228">ROUND(X91*2%,0)</f>
        <v>0</v>
      </c>
      <c r="AF91" s="475">
        <v>0</v>
      </c>
      <c r="AG91" s="475">
        <v>0</v>
      </c>
      <c r="AH91" s="475">
        <f t="shared" ref="AH91:AH93" si="229">SUM(AF91:AG91)</f>
        <v>0</v>
      </c>
      <c r="AI91" s="475">
        <f t="shared" ref="AI91:AI93" si="230">AC91+AD91+AE91+AH91</f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 t="shared" si="188"/>
        <v>0</v>
      </c>
      <c r="AS91" s="476">
        <f t="shared" si="189"/>
        <v>0</v>
      </c>
      <c r="AT91" s="478">
        <f t="shared" si="190"/>
        <v>0</v>
      </c>
      <c r="AU91" s="484">
        <f>I91+AI91</f>
        <v>7686991</v>
      </c>
      <c r="AV91" s="475">
        <f>J91+X91</f>
        <v>5607681</v>
      </c>
      <c r="AW91" s="475">
        <f>K91+AB91</f>
        <v>20000</v>
      </c>
      <c r="AX91" s="475">
        <f t="shared" ref="AX91:AY93" si="231">L91+AD91</f>
        <v>1902156</v>
      </c>
      <c r="AY91" s="475">
        <f t="shared" si="231"/>
        <v>112154</v>
      </c>
      <c r="AZ91" s="475">
        <f>N91+AH91</f>
        <v>45000</v>
      </c>
      <c r="BA91" s="476">
        <f>O91+AT91</f>
        <v>12.168200000000001</v>
      </c>
      <c r="BB91" s="476">
        <f t="shared" ref="BB91:BC93" si="232">P91+AR91</f>
        <v>8.9</v>
      </c>
      <c r="BC91" s="478">
        <f t="shared" si="232"/>
        <v>3.2681999999999998</v>
      </c>
    </row>
    <row r="92" spans="1:55" ht="14.1" customHeight="1" x14ac:dyDescent="0.2">
      <c r="A92" s="68">
        <v>22</v>
      </c>
      <c r="B92" s="65">
        <v>2409</v>
      </c>
      <c r="C92" s="66">
        <v>600079635</v>
      </c>
      <c r="D92" s="65">
        <v>72742747</v>
      </c>
      <c r="E92" s="67" t="s">
        <v>607</v>
      </c>
      <c r="F92" s="68">
        <v>3111</v>
      </c>
      <c r="G92" s="67" t="s">
        <v>312</v>
      </c>
      <c r="H92" s="69" t="s">
        <v>278</v>
      </c>
      <c r="I92" s="477">
        <v>281607</v>
      </c>
      <c r="J92" s="643">
        <v>207001</v>
      </c>
      <c r="K92" s="643">
        <v>0</v>
      </c>
      <c r="L92" s="472">
        <v>69966</v>
      </c>
      <c r="M92" s="472">
        <v>4140</v>
      </c>
      <c r="N92" s="472">
        <v>500</v>
      </c>
      <c r="O92" s="473">
        <v>0.82</v>
      </c>
      <c r="P92" s="473">
        <v>0.82</v>
      </c>
      <c r="Q92" s="483">
        <v>0</v>
      </c>
      <c r="R92" s="485">
        <f t="shared" si="223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224"/>
        <v>0</v>
      </c>
      <c r="Y92" s="475">
        <v>0</v>
      </c>
      <c r="Z92" s="475">
        <v>0</v>
      </c>
      <c r="AA92" s="475">
        <v>0</v>
      </c>
      <c r="AB92" s="475">
        <f t="shared" si="225"/>
        <v>0</v>
      </c>
      <c r="AC92" s="475">
        <f t="shared" si="226"/>
        <v>0</v>
      </c>
      <c r="AD92" s="70">
        <f t="shared" si="227"/>
        <v>0</v>
      </c>
      <c r="AE92" s="70">
        <f t="shared" si="228"/>
        <v>0</v>
      </c>
      <c r="AF92" s="475">
        <v>0</v>
      </c>
      <c r="AG92" s="475">
        <v>0</v>
      </c>
      <c r="AH92" s="475">
        <f t="shared" si="229"/>
        <v>0</v>
      </c>
      <c r="AI92" s="475">
        <f t="shared" si="230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 t="shared" si="188"/>
        <v>0</v>
      </c>
      <c r="AS92" s="476">
        <f t="shared" si="189"/>
        <v>0</v>
      </c>
      <c r="AT92" s="478">
        <f t="shared" si="190"/>
        <v>0</v>
      </c>
      <c r="AU92" s="484">
        <f>I92+AI92</f>
        <v>281607</v>
      </c>
      <c r="AV92" s="475">
        <f>J92+X92</f>
        <v>207001</v>
      </c>
      <c r="AW92" s="475">
        <f>K92+AB92</f>
        <v>0</v>
      </c>
      <c r="AX92" s="475">
        <f t="shared" si="231"/>
        <v>69966</v>
      </c>
      <c r="AY92" s="475">
        <f t="shared" si="231"/>
        <v>4140</v>
      </c>
      <c r="AZ92" s="475">
        <f>N92+AH92</f>
        <v>500</v>
      </c>
      <c r="BA92" s="476">
        <f>O92+AT92</f>
        <v>0.82</v>
      </c>
      <c r="BB92" s="476">
        <f t="shared" si="232"/>
        <v>0.82</v>
      </c>
      <c r="BC92" s="478">
        <f t="shared" si="232"/>
        <v>0</v>
      </c>
    </row>
    <row r="93" spans="1:55" ht="14.1" customHeight="1" x14ac:dyDescent="0.2">
      <c r="A93" s="68">
        <v>22</v>
      </c>
      <c r="B93" s="65">
        <v>2409</v>
      </c>
      <c r="C93" s="66">
        <v>600079635</v>
      </c>
      <c r="D93" s="65">
        <v>72742747</v>
      </c>
      <c r="E93" s="67" t="s">
        <v>607</v>
      </c>
      <c r="F93" s="68">
        <v>3141</v>
      </c>
      <c r="G93" s="67" t="s">
        <v>315</v>
      </c>
      <c r="H93" s="69" t="s">
        <v>278</v>
      </c>
      <c r="I93" s="477">
        <v>1375335</v>
      </c>
      <c r="J93" s="472">
        <v>1003568</v>
      </c>
      <c r="K93" s="472">
        <v>5000</v>
      </c>
      <c r="L93" s="472">
        <v>340896</v>
      </c>
      <c r="M93" s="472">
        <v>20071</v>
      </c>
      <c r="N93" s="472">
        <v>5800</v>
      </c>
      <c r="O93" s="473">
        <v>3.18</v>
      </c>
      <c r="P93" s="474">
        <v>0</v>
      </c>
      <c r="Q93" s="483">
        <v>3.18</v>
      </c>
      <c r="R93" s="485">
        <f t="shared" si="223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224"/>
        <v>0</v>
      </c>
      <c r="Y93" s="475">
        <v>0</v>
      </c>
      <c r="Z93" s="475">
        <v>0</v>
      </c>
      <c r="AA93" s="475">
        <v>0</v>
      </c>
      <c r="AB93" s="475">
        <f t="shared" si="225"/>
        <v>0</v>
      </c>
      <c r="AC93" s="475">
        <f t="shared" si="226"/>
        <v>0</v>
      </c>
      <c r="AD93" s="70">
        <f t="shared" si="227"/>
        <v>0</v>
      </c>
      <c r="AE93" s="70">
        <f t="shared" si="228"/>
        <v>0</v>
      </c>
      <c r="AF93" s="475">
        <v>0</v>
      </c>
      <c r="AG93" s="475">
        <v>0</v>
      </c>
      <c r="AH93" s="475">
        <f t="shared" si="229"/>
        <v>0</v>
      </c>
      <c r="AI93" s="475">
        <f t="shared" si="230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 t="shared" si="188"/>
        <v>0</v>
      </c>
      <c r="AS93" s="476">
        <f t="shared" si="189"/>
        <v>0</v>
      </c>
      <c r="AT93" s="478">
        <f t="shared" si="190"/>
        <v>0</v>
      </c>
      <c r="AU93" s="484">
        <f>I93+AI93</f>
        <v>1375335</v>
      </c>
      <c r="AV93" s="475">
        <f>J93+X93</f>
        <v>1003568</v>
      </c>
      <c r="AW93" s="475">
        <f>K93+AB93</f>
        <v>5000</v>
      </c>
      <c r="AX93" s="475">
        <f t="shared" si="231"/>
        <v>340896</v>
      </c>
      <c r="AY93" s="475">
        <f t="shared" si="231"/>
        <v>20071</v>
      </c>
      <c r="AZ93" s="475">
        <f>N93+AH93</f>
        <v>5800</v>
      </c>
      <c r="BA93" s="476">
        <f>O93+AT93</f>
        <v>3.18</v>
      </c>
      <c r="BB93" s="476">
        <f t="shared" si="232"/>
        <v>0</v>
      </c>
      <c r="BC93" s="478">
        <f t="shared" si="232"/>
        <v>3.18</v>
      </c>
    </row>
    <row r="94" spans="1:55" ht="13.5" customHeight="1" x14ac:dyDescent="0.2">
      <c r="A94" s="74">
        <v>22</v>
      </c>
      <c r="B94" s="71">
        <v>2409</v>
      </c>
      <c r="C94" s="72">
        <v>600079635</v>
      </c>
      <c r="D94" s="71">
        <v>72742747</v>
      </c>
      <c r="E94" s="73" t="s">
        <v>608</v>
      </c>
      <c r="F94" s="74"/>
      <c r="G94" s="73"/>
      <c r="H94" s="75"/>
      <c r="I94" s="76">
        <v>9343933</v>
      </c>
      <c r="J94" s="77">
        <v>6818250</v>
      </c>
      <c r="K94" s="77">
        <v>25000</v>
      </c>
      <c r="L94" s="77">
        <v>2313018</v>
      </c>
      <c r="M94" s="77">
        <v>136365</v>
      </c>
      <c r="N94" s="77">
        <v>51300</v>
      </c>
      <c r="O94" s="78">
        <v>16.168200000000002</v>
      </c>
      <c r="P94" s="78">
        <v>9.7200000000000006</v>
      </c>
      <c r="Q94" s="718">
        <v>6.4481999999999999</v>
      </c>
      <c r="R94" s="76">
        <f t="shared" ref="R94:BC94" si="233">SUM(R91:R93)</f>
        <v>0</v>
      </c>
      <c r="S94" s="77">
        <f t="shared" si="233"/>
        <v>0</v>
      </c>
      <c r="T94" s="77">
        <f t="shared" si="233"/>
        <v>0</v>
      </c>
      <c r="U94" s="77">
        <f t="shared" si="233"/>
        <v>0</v>
      </c>
      <c r="V94" s="77">
        <f t="shared" si="233"/>
        <v>0</v>
      </c>
      <c r="W94" s="77">
        <f t="shared" si="233"/>
        <v>0</v>
      </c>
      <c r="X94" s="77">
        <f t="shared" si="233"/>
        <v>0</v>
      </c>
      <c r="Y94" s="77">
        <f t="shared" si="233"/>
        <v>0</v>
      </c>
      <c r="Z94" s="77">
        <f t="shared" si="233"/>
        <v>0</v>
      </c>
      <c r="AA94" s="77">
        <f t="shared" si="233"/>
        <v>0</v>
      </c>
      <c r="AB94" s="77">
        <f t="shared" si="233"/>
        <v>0</v>
      </c>
      <c r="AC94" s="77">
        <f t="shared" si="233"/>
        <v>0</v>
      </c>
      <c r="AD94" s="77">
        <f t="shared" si="233"/>
        <v>0</v>
      </c>
      <c r="AE94" s="77">
        <f t="shared" si="233"/>
        <v>0</v>
      </c>
      <c r="AF94" s="77">
        <f t="shared" si="233"/>
        <v>0</v>
      </c>
      <c r="AG94" s="77">
        <f t="shared" si="233"/>
        <v>0</v>
      </c>
      <c r="AH94" s="77">
        <f t="shared" si="233"/>
        <v>0</v>
      </c>
      <c r="AI94" s="77">
        <f t="shared" si="233"/>
        <v>0</v>
      </c>
      <c r="AJ94" s="78">
        <f t="shared" si="233"/>
        <v>0</v>
      </c>
      <c r="AK94" s="78">
        <f t="shared" si="233"/>
        <v>0</v>
      </c>
      <c r="AL94" s="78">
        <f t="shared" si="233"/>
        <v>0</v>
      </c>
      <c r="AM94" s="78">
        <f t="shared" si="233"/>
        <v>0</v>
      </c>
      <c r="AN94" s="78">
        <f t="shared" si="233"/>
        <v>0</v>
      </c>
      <c r="AO94" s="78">
        <f t="shared" si="233"/>
        <v>0</v>
      </c>
      <c r="AP94" s="78">
        <f t="shared" si="233"/>
        <v>0</v>
      </c>
      <c r="AQ94" s="78">
        <f t="shared" si="233"/>
        <v>0</v>
      </c>
      <c r="AR94" s="78">
        <f t="shared" si="233"/>
        <v>0</v>
      </c>
      <c r="AS94" s="78">
        <f t="shared" si="233"/>
        <v>0</v>
      </c>
      <c r="AT94" s="79">
        <f t="shared" si="233"/>
        <v>0</v>
      </c>
      <c r="AU94" s="433">
        <f t="shared" si="233"/>
        <v>9343933</v>
      </c>
      <c r="AV94" s="77">
        <f t="shared" si="233"/>
        <v>6818250</v>
      </c>
      <c r="AW94" s="77">
        <f t="shared" si="233"/>
        <v>25000</v>
      </c>
      <c r="AX94" s="77">
        <f t="shared" si="233"/>
        <v>2313018</v>
      </c>
      <c r="AY94" s="77">
        <f t="shared" si="233"/>
        <v>136365</v>
      </c>
      <c r="AZ94" s="77">
        <f t="shared" si="233"/>
        <v>51300</v>
      </c>
      <c r="BA94" s="78">
        <f t="shared" si="233"/>
        <v>16.168200000000002</v>
      </c>
      <c r="BB94" s="78">
        <f t="shared" si="233"/>
        <v>9.7200000000000006</v>
      </c>
      <c r="BC94" s="79">
        <f t="shared" si="233"/>
        <v>6.4481999999999999</v>
      </c>
    </row>
    <row r="95" spans="1:55" ht="14.1" customHeight="1" x14ac:dyDescent="0.2">
      <c r="A95" s="68">
        <v>23</v>
      </c>
      <c r="B95" s="65">
        <v>2429</v>
      </c>
      <c r="C95" s="66">
        <v>600079244</v>
      </c>
      <c r="D95" s="65">
        <v>72741708</v>
      </c>
      <c r="E95" s="67" t="s">
        <v>609</v>
      </c>
      <c r="F95" s="68">
        <v>3111</v>
      </c>
      <c r="G95" s="67" t="s">
        <v>311</v>
      </c>
      <c r="H95" s="69" t="s">
        <v>277</v>
      </c>
      <c r="I95" s="477">
        <v>7175133</v>
      </c>
      <c r="J95" s="643">
        <v>5197959</v>
      </c>
      <c r="K95" s="643">
        <v>2320</v>
      </c>
      <c r="L95" s="472">
        <v>1757694</v>
      </c>
      <c r="M95" s="472">
        <v>103960</v>
      </c>
      <c r="N95" s="472">
        <v>113200</v>
      </c>
      <c r="O95" s="473">
        <v>11.309799999999999</v>
      </c>
      <c r="P95" s="473">
        <v>8.4515999999999991</v>
      </c>
      <c r="Q95" s="483">
        <v>2.8582000000000001</v>
      </c>
      <c r="R95" s="485">
        <f t="shared" ref="R95:R97" si="234">Y95*-1</f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ref="X95:X97" si="235">SUM(R95:W95)</f>
        <v>0</v>
      </c>
      <c r="Y95" s="475">
        <v>0</v>
      </c>
      <c r="Z95" s="475">
        <v>0</v>
      </c>
      <c r="AA95" s="475">
        <v>0</v>
      </c>
      <c r="AB95" s="475">
        <f t="shared" ref="AB95:AB97" si="236">SUM(Y95:AA95)</f>
        <v>0</v>
      </c>
      <c r="AC95" s="475">
        <f t="shared" ref="AC95:AC97" si="237">X95+AB95</f>
        <v>0</v>
      </c>
      <c r="AD95" s="70">
        <f t="shared" ref="AD95:AD97" si="238">ROUND((X95+Y95+Z95)*33.8%,0)</f>
        <v>0</v>
      </c>
      <c r="AE95" s="70">
        <f t="shared" ref="AE95:AE97" si="239">ROUND(X95*2%,0)</f>
        <v>0</v>
      </c>
      <c r="AF95" s="475">
        <v>0</v>
      </c>
      <c r="AG95" s="475">
        <v>0</v>
      </c>
      <c r="AH95" s="475">
        <f t="shared" ref="AH95:AH97" si="240">SUM(AF95:AG95)</f>
        <v>0</v>
      </c>
      <c r="AI95" s="475">
        <f t="shared" ref="AI95:AI97" si="241">AC95+AD95+AE95+AH95</f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 t="shared" si="188"/>
        <v>0</v>
      </c>
      <c r="AS95" s="476">
        <f t="shared" si="189"/>
        <v>0</v>
      </c>
      <c r="AT95" s="478">
        <f t="shared" si="190"/>
        <v>0</v>
      </c>
      <c r="AU95" s="484">
        <f>I95+AI95</f>
        <v>7175133</v>
      </c>
      <c r="AV95" s="475">
        <f>J95+X95</f>
        <v>5197959</v>
      </c>
      <c r="AW95" s="475">
        <f>K95+AB95</f>
        <v>2320</v>
      </c>
      <c r="AX95" s="475">
        <f t="shared" ref="AX95:AY97" si="242">L95+AD95</f>
        <v>1757694</v>
      </c>
      <c r="AY95" s="475">
        <f t="shared" si="242"/>
        <v>103960</v>
      </c>
      <c r="AZ95" s="475">
        <f>N95+AH95</f>
        <v>113200</v>
      </c>
      <c r="BA95" s="476">
        <f>O95+AT95</f>
        <v>11.309799999999999</v>
      </c>
      <c r="BB95" s="476">
        <f t="shared" ref="BB95:BC97" si="243">P95+AR95</f>
        <v>8.4515999999999991</v>
      </c>
      <c r="BC95" s="478">
        <f t="shared" si="243"/>
        <v>2.8582000000000001</v>
      </c>
    </row>
    <row r="96" spans="1:55" ht="14.1" customHeight="1" x14ac:dyDescent="0.2">
      <c r="A96" s="68">
        <v>23</v>
      </c>
      <c r="B96" s="65">
        <v>2429</v>
      </c>
      <c r="C96" s="66">
        <v>600079244</v>
      </c>
      <c r="D96" s="65">
        <v>72741708</v>
      </c>
      <c r="E96" s="67" t="s">
        <v>609</v>
      </c>
      <c r="F96" s="68">
        <v>3111</v>
      </c>
      <c r="G96" s="80" t="s">
        <v>312</v>
      </c>
      <c r="H96" s="69" t="s">
        <v>278</v>
      </c>
      <c r="I96" s="477">
        <v>235235</v>
      </c>
      <c r="J96" s="472">
        <v>173222</v>
      </c>
      <c r="K96" s="472">
        <v>0</v>
      </c>
      <c r="L96" s="472">
        <v>58549</v>
      </c>
      <c r="M96" s="472">
        <v>3464</v>
      </c>
      <c r="N96" s="472">
        <v>0</v>
      </c>
      <c r="O96" s="473">
        <v>0.5</v>
      </c>
      <c r="P96" s="474">
        <v>0.5</v>
      </c>
      <c r="Q96" s="483">
        <v>0</v>
      </c>
      <c r="R96" s="485">
        <f t="shared" si="234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35"/>
        <v>0</v>
      </c>
      <c r="Y96" s="475">
        <v>0</v>
      </c>
      <c r="Z96" s="475">
        <v>0</v>
      </c>
      <c r="AA96" s="475">
        <v>0</v>
      </c>
      <c r="AB96" s="475">
        <f t="shared" si="236"/>
        <v>0</v>
      </c>
      <c r="AC96" s="475">
        <f t="shared" si="237"/>
        <v>0</v>
      </c>
      <c r="AD96" s="70">
        <f t="shared" si="238"/>
        <v>0</v>
      </c>
      <c r="AE96" s="70">
        <f t="shared" si="239"/>
        <v>0</v>
      </c>
      <c r="AF96" s="475">
        <v>0</v>
      </c>
      <c r="AG96" s="475">
        <v>0</v>
      </c>
      <c r="AH96" s="475">
        <f t="shared" si="240"/>
        <v>0</v>
      </c>
      <c r="AI96" s="475">
        <f t="shared" si="241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 t="shared" si="188"/>
        <v>0</v>
      </c>
      <c r="AS96" s="476">
        <f t="shared" si="189"/>
        <v>0</v>
      </c>
      <c r="AT96" s="478">
        <f t="shared" si="190"/>
        <v>0</v>
      </c>
      <c r="AU96" s="484">
        <f>I96+AI96</f>
        <v>235235</v>
      </c>
      <c r="AV96" s="475">
        <f>J96+X96</f>
        <v>173222</v>
      </c>
      <c r="AW96" s="475">
        <f>K96+AB96</f>
        <v>0</v>
      </c>
      <c r="AX96" s="475">
        <f t="shared" si="242"/>
        <v>58549</v>
      </c>
      <c r="AY96" s="475">
        <f t="shared" si="242"/>
        <v>3464</v>
      </c>
      <c r="AZ96" s="475">
        <f>N96+AH96</f>
        <v>0</v>
      </c>
      <c r="BA96" s="476">
        <f>O96+AT96</f>
        <v>0.5</v>
      </c>
      <c r="BB96" s="476">
        <f t="shared" si="243"/>
        <v>0.5</v>
      </c>
      <c r="BC96" s="478">
        <f t="shared" si="243"/>
        <v>0</v>
      </c>
    </row>
    <row r="97" spans="1:55" ht="14.1" customHeight="1" x14ac:dyDescent="0.2">
      <c r="A97" s="68">
        <v>23</v>
      </c>
      <c r="B97" s="65">
        <v>2429</v>
      </c>
      <c r="C97" s="66">
        <v>600079244</v>
      </c>
      <c r="D97" s="65">
        <v>72741708</v>
      </c>
      <c r="E97" s="67" t="s">
        <v>609</v>
      </c>
      <c r="F97" s="68">
        <v>3141</v>
      </c>
      <c r="G97" s="67" t="s">
        <v>315</v>
      </c>
      <c r="H97" s="69" t="s">
        <v>278</v>
      </c>
      <c r="I97" s="477">
        <v>1065814</v>
      </c>
      <c r="J97" s="472">
        <v>780783</v>
      </c>
      <c r="K97" s="472">
        <v>0</v>
      </c>
      <c r="L97" s="472">
        <v>263905</v>
      </c>
      <c r="M97" s="472">
        <v>15616</v>
      </c>
      <c r="N97" s="472">
        <v>5510</v>
      </c>
      <c r="O97" s="473">
        <v>2.46</v>
      </c>
      <c r="P97" s="474">
        <v>0</v>
      </c>
      <c r="Q97" s="483">
        <v>2.46</v>
      </c>
      <c r="R97" s="485">
        <f t="shared" si="234"/>
        <v>0</v>
      </c>
      <c r="S97" s="475">
        <v>0</v>
      </c>
      <c r="T97" s="755">
        <v>1948</v>
      </c>
      <c r="U97" s="475">
        <v>0</v>
      </c>
      <c r="V97" s="475">
        <v>0</v>
      </c>
      <c r="W97" s="475">
        <v>0</v>
      </c>
      <c r="X97" s="475">
        <f t="shared" si="235"/>
        <v>1948</v>
      </c>
      <c r="Y97" s="475">
        <v>0</v>
      </c>
      <c r="Z97" s="475">
        <v>0</v>
      </c>
      <c r="AA97" s="475">
        <v>0</v>
      </c>
      <c r="AB97" s="475">
        <f t="shared" si="236"/>
        <v>0</v>
      </c>
      <c r="AC97" s="475">
        <f t="shared" si="237"/>
        <v>1948</v>
      </c>
      <c r="AD97" s="70">
        <f t="shared" si="238"/>
        <v>658</v>
      </c>
      <c r="AE97" s="70">
        <f t="shared" si="239"/>
        <v>39</v>
      </c>
      <c r="AF97" s="475">
        <v>0</v>
      </c>
      <c r="AG97" s="475">
        <v>0</v>
      </c>
      <c r="AH97" s="475">
        <f t="shared" si="240"/>
        <v>0</v>
      </c>
      <c r="AI97" s="475">
        <f t="shared" si="241"/>
        <v>2645</v>
      </c>
      <c r="AJ97" s="476">
        <v>0</v>
      </c>
      <c r="AK97" s="476">
        <v>0</v>
      </c>
      <c r="AL97" s="476">
        <v>0</v>
      </c>
      <c r="AM97" s="476">
        <v>0</v>
      </c>
      <c r="AN97" s="756">
        <v>1.0000000000000009E-2</v>
      </c>
      <c r="AO97" s="476">
        <v>0</v>
      </c>
      <c r="AP97" s="476">
        <v>0</v>
      </c>
      <c r="AQ97" s="476">
        <v>0</v>
      </c>
      <c r="AR97" s="476">
        <f t="shared" si="188"/>
        <v>0</v>
      </c>
      <c r="AS97" s="476">
        <f t="shared" si="189"/>
        <v>1.0000000000000009E-2</v>
      </c>
      <c r="AT97" s="478">
        <f t="shared" si="190"/>
        <v>1.0000000000000009E-2</v>
      </c>
      <c r="AU97" s="484">
        <f>I97+AI97</f>
        <v>1068459</v>
      </c>
      <c r="AV97" s="475">
        <f>J97+X97</f>
        <v>782731</v>
      </c>
      <c r="AW97" s="475">
        <f>K97+AB97</f>
        <v>0</v>
      </c>
      <c r="AX97" s="475">
        <f t="shared" si="242"/>
        <v>264563</v>
      </c>
      <c r="AY97" s="475">
        <f t="shared" si="242"/>
        <v>15655</v>
      </c>
      <c r="AZ97" s="475">
        <f>N97+AH97</f>
        <v>5510</v>
      </c>
      <c r="BA97" s="476">
        <f>O97+AT97</f>
        <v>2.4699999999999998</v>
      </c>
      <c r="BB97" s="476">
        <f t="shared" si="243"/>
        <v>0</v>
      </c>
      <c r="BC97" s="478">
        <f t="shared" si="243"/>
        <v>2.4699999999999998</v>
      </c>
    </row>
    <row r="98" spans="1:55" ht="13.5" customHeight="1" x14ac:dyDescent="0.2">
      <c r="A98" s="74">
        <v>23</v>
      </c>
      <c r="B98" s="71">
        <v>2429</v>
      </c>
      <c r="C98" s="72">
        <v>600079244</v>
      </c>
      <c r="D98" s="71">
        <v>72741708</v>
      </c>
      <c r="E98" s="73" t="s">
        <v>610</v>
      </c>
      <c r="F98" s="74"/>
      <c r="G98" s="73"/>
      <c r="H98" s="75"/>
      <c r="I98" s="76">
        <v>8476182</v>
      </c>
      <c r="J98" s="77">
        <v>6151964</v>
      </c>
      <c r="K98" s="77">
        <v>2320</v>
      </c>
      <c r="L98" s="77">
        <v>2080148</v>
      </c>
      <c r="M98" s="77">
        <v>123040</v>
      </c>
      <c r="N98" s="77">
        <v>118710</v>
      </c>
      <c r="O98" s="78">
        <v>14.2698</v>
      </c>
      <c r="P98" s="78">
        <v>8.9515999999999991</v>
      </c>
      <c r="Q98" s="718">
        <v>5.3182</v>
      </c>
      <c r="R98" s="76">
        <f t="shared" ref="R98:BC98" si="244">SUM(R95:R97)</f>
        <v>0</v>
      </c>
      <c r="S98" s="77">
        <f t="shared" si="244"/>
        <v>0</v>
      </c>
      <c r="T98" s="77">
        <f t="shared" si="244"/>
        <v>1948</v>
      </c>
      <c r="U98" s="77">
        <f t="shared" si="244"/>
        <v>0</v>
      </c>
      <c r="V98" s="77">
        <f t="shared" si="244"/>
        <v>0</v>
      </c>
      <c r="W98" s="77">
        <f t="shared" si="244"/>
        <v>0</v>
      </c>
      <c r="X98" s="77">
        <f t="shared" si="244"/>
        <v>1948</v>
      </c>
      <c r="Y98" s="77">
        <f t="shared" si="244"/>
        <v>0</v>
      </c>
      <c r="Z98" s="77">
        <f t="shared" si="244"/>
        <v>0</v>
      </c>
      <c r="AA98" s="77">
        <f t="shared" si="244"/>
        <v>0</v>
      </c>
      <c r="AB98" s="77">
        <f t="shared" si="244"/>
        <v>0</v>
      </c>
      <c r="AC98" s="77">
        <f t="shared" si="244"/>
        <v>1948</v>
      </c>
      <c r="AD98" s="77">
        <f t="shared" si="244"/>
        <v>658</v>
      </c>
      <c r="AE98" s="77">
        <f t="shared" si="244"/>
        <v>39</v>
      </c>
      <c r="AF98" s="77">
        <f t="shared" si="244"/>
        <v>0</v>
      </c>
      <c r="AG98" s="77">
        <f t="shared" si="244"/>
        <v>0</v>
      </c>
      <c r="AH98" s="77">
        <f t="shared" si="244"/>
        <v>0</v>
      </c>
      <c r="AI98" s="77">
        <f t="shared" si="244"/>
        <v>2645</v>
      </c>
      <c r="AJ98" s="78">
        <f t="shared" si="244"/>
        <v>0</v>
      </c>
      <c r="AK98" s="78">
        <f t="shared" si="244"/>
        <v>0</v>
      </c>
      <c r="AL98" s="78">
        <f t="shared" si="244"/>
        <v>0</v>
      </c>
      <c r="AM98" s="78">
        <f t="shared" si="244"/>
        <v>0</v>
      </c>
      <c r="AN98" s="78">
        <f t="shared" si="244"/>
        <v>1.0000000000000009E-2</v>
      </c>
      <c r="AO98" s="78">
        <f t="shared" si="244"/>
        <v>0</v>
      </c>
      <c r="AP98" s="78">
        <f t="shared" si="244"/>
        <v>0</v>
      </c>
      <c r="AQ98" s="78">
        <f t="shared" si="244"/>
        <v>0</v>
      </c>
      <c r="AR98" s="78">
        <f t="shared" si="244"/>
        <v>0</v>
      </c>
      <c r="AS98" s="78">
        <f t="shared" si="244"/>
        <v>1.0000000000000009E-2</v>
      </c>
      <c r="AT98" s="79">
        <f t="shared" si="244"/>
        <v>1.0000000000000009E-2</v>
      </c>
      <c r="AU98" s="433">
        <f t="shared" si="244"/>
        <v>8478827</v>
      </c>
      <c r="AV98" s="77">
        <f t="shared" si="244"/>
        <v>6153912</v>
      </c>
      <c r="AW98" s="77">
        <f t="shared" si="244"/>
        <v>2320</v>
      </c>
      <c r="AX98" s="77">
        <f t="shared" si="244"/>
        <v>2080806</v>
      </c>
      <c r="AY98" s="77">
        <f t="shared" si="244"/>
        <v>123079</v>
      </c>
      <c r="AZ98" s="77">
        <f t="shared" si="244"/>
        <v>118710</v>
      </c>
      <c r="BA98" s="78">
        <f t="shared" si="244"/>
        <v>14.279799999999998</v>
      </c>
      <c r="BB98" s="78">
        <f t="shared" si="244"/>
        <v>8.9515999999999991</v>
      </c>
      <c r="BC98" s="79">
        <f t="shared" si="244"/>
        <v>5.3281999999999998</v>
      </c>
    </row>
    <row r="99" spans="1:55" ht="14.1" customHeight="1" x14ac:dyDescent="0.2">
      <c r="A99" s="68">
        <v>24</v>
      </c>
      <c r="B99" s="65">
        <v>2412</v>
      </c>
      <c r="C99" s="66">
        <v>600079252</v>
      </c>
      <c r="D99" s="65">
        <v>72742429</v>
      </c>
      <c r="E99" s="67" t="s">
        <v>611</v>
      </c>
      <c r="F99" s="68">
        <v>3111</v>
      </c>
      <c r="G99" s="67" t="s">
        <v>311</v>
      </c>
      <c r="H99" s="69" t="s">
        <v>277</v>
      </c>
      <c r="I99" s="477">
        <v>10640942</v>
      </c>
      <c r="J99" s="643">
        <v>7774561</v>
      </c>
      <c r="K99" s="643">
        <v>16695</v>
      </c>
      <c r="L99" s="472">
        <v>2633445</v>
      </c>
      <c r="M99" s="472">
        <v>155491</v>
      </c>
      <c r="N99" s="472">
        <v>60750</v>
      </c>
      <c r="O99" s="473">
        <v>17.346499999999999</v>
      </c>
      <c r="P99" s="473">
        <v>12.742000000000001</v>
      </c>
      <c r="Q99" s="483">
        <v>4.6044999999999998</v>
      </c>
      <c r="R99" s="485">
        <f t="shared" ref="R99:R101" si="245">Y99*-1</f>
        <v>0</v>
      </c>
      <c r="S99" s="475">
        <v>0</v>
      </c>
      <c r="T99" s="475">
        <v>0</v>
      </c>
      <c r="U99" s="475">
        <v>0</v>
      </c>
      <c r="V99" s="475">
        <v>-73638</v>
      </c>
      <c r="W99" s="475">
        <v>0</v>
      </c>
      <c r="X99" s="475">
        <f t="shared" ref="X99:X101" si="246">SUM(R99:W99)</f>
        <v>-73638</v>
      </c>
      <c r="Y99" s="475">
        <v>0</v>
      </c>
      <c r="Z99" s="475">
        <v>0</v>
      </c>
      <c r="AA99" s="475">
        <v>0</v>
      </c>
      <c r="AB99" s="475">
        <f t="shared" ref="AB99:AB101" si="247">SUM(Y99:AA99)</f>
        <v>0</v>
      </c>
      <c r="AC99" s="475">
        <f t="shared" ref="AC99:AC101" si="248">X99+AB99</f>
        <v>-73638</v>
      </c>
      <c r="AD99" s="70">
        <f t="shared" ref="AD99:AD101" si="249">ROUND((X99+Y99+Z99)*33.8%,0)</f>
        <v>-24890</v>
      </c>
      <c r="AE99" s="70">
        <f t="shared" ref="AE99:AE101" si="250">ROUND(X99*2%,0)</f>
        <v>-1473</v>
      </c>
      <c r="AF99" s="475">
        <v>0</v>
      </c>
      <c r="AG99" s="475">
        <v>100001</v>
      </c>
      <c r="AH99" s="475">
        <f t="shared" ref="AH99:AH101" si="251">SUM(AF99:AG99)</f>
        <v>100001</v>
      </c>
      <c r="AI99" s="475">
        <f t="shared" ref="AI99:AI101" si="252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 t="shared" si="188"/>
        <v>0</v>
      </c>
      <c r="AS99" s="476">
        <f t="shared" si="189"/>
        <v>0</v>
      </c>
      <c r="AT99" s="478">
        <f t="shared" si="190"/>
        <v>0</v>
      </c>
      <c r="AU99" s="484">
        <f>I99+AI99</f>
        <v>10640942</v>
      </c>
      <c r="AV99" s="475">
        <f>J99+X99</f>
        <v>7700923</v>
      </c>
      <c r="AW99" s="475">
        <f>K99+AB99</f>
        <v>16695</v>
      </c>
      <c r="AX99" s="475">
        <f t="shared" ref="AX99:AY101" si="253">L99+AD99</f>
        <v>2608555</v>
      </c>
      <c r="AY99" s="475">
        <f t="shared" si="253"/>
        <v>154018</v>
      </c>
      <c r="AZ99" s="475">
        <f>N99+AH99</f>
        <v>160751</v>
      </c>
      <c r="BA99" s="476">
        <f>O99+AT99</f>
        <v>17.346499999999999</v>
      </c>
      <c r="BB99" s="476">
        <f t="shared" ref="BB99:BC101" si="254">P99+AR99</f>
        <v>12.742000000000001</v>
      </c>
      <c r="BC99" s="478">
        <f t="shared" si="254"/>
        <v>4.6044999999999998</v>
      </c>
    </row>
    <row r="100" spans="1:55" ht="14.1" customHeight="1" x14ac:dyDescent="0.2">
      <c r="A100" s="68">
        <v>24</v>
      </c>
      <c r="B100" s="65">
        <v>2412</v>
      </c>
      <c r="C100" s="66">
        <v>600079252</v>
      </c>
      <c r="D100" s="65">
        <v>72742429</v>
      </c>
      <c r="E100" s="67" t="s">
        <v>611</v>
      </c>
      <c r="F100" s="68">
        <v>3111</v>
      </c>
      <c r="G100" s="80" t="s">
        <v>312</v>
      </c>
      <c r="H100" s="69" t="s">
        <v>278</v>
      </c>
      <c r="I100" s="477">
        <v>1056141</v>
      </c>
      <c r="J100" s="472">
        <v>777718</v>
      </c>
      <c r="K100" s="472">
        <v>0</v>
      </c>
      <c r="L100" s="472">
        <v>262868</v>
      </c>
      <c r="M100" s="472">
        <v>15555</v>
      </c>
      <c r="N100" s="472">
        <v>0</v>
      </c>
      <c r="O100" s="473">
        <v>2.1900000000000004</v>
      </c>
      <c r="P100" s="474">
        <v>2.1900000000000004</v>
      </c>
      <c r="Q100" s="483">
        <v>0</v>
      </c>
      <c r="R100" s="485">
        <f t="shared" si="245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246"/>
        <v>0</v>
      </c>
      <c r="Y100" s="475">
        <v>0</v>
      </c>
      <c r="Z100" s="475">
        <v>0</v>
      </c>
      <c r="AA100" s="475">
        <v>0</v>
      </c>
      <c r="AB100" s="475">
        <f t="shared" si="247"/>
        <v>0</v>
      </c>
      <c r="AC100" s="475">
        <f t="shared" si="248"/>
        <v>0</v>
      </c>
      <c r="AD100" s="70">
        <f t="shared" si="249"/>
        <v>0</v>
      </c>
      <c r="AE100" s="70">
        <f t="shared" si="250"/>
        <v>0</v>
      </c>
      <c r="AF100" s="475">
        <v>0</v>
      </c>
      <c r="AG100" s="475">
        <v>0</v>
      </c>
      <c r="AH100" s="475">
        <f t="shared" si="251"/>
        <v>0</v>
      </c>
      <c r="AI100" s="475">
        <f t="shared" si="252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 t="shared" si="188"/>
        <v>0</v>
      </c>
      <c r="AS100" s="476">
        <f t="shared" si="189"/>
        <v>0</v>
      </c>
      <c r="AT100" s="478">
        <f t="shared" si="190"/>
        <v>0</v>
      </c>
      <c r="AU100" s="484">
        <f>I100+AI100</f>
        <v>1056141</v>
      </c>
      <c r="AV100" s="475">
        <f>J100+X100</f>
        <v>777718</v>
      </c>
      <c r="AW100" s="475">
        <f>K100+AB100</f>
        <v>0</v>
      </c>
      <c r="AX100" s="475">
        <f t="shared" si="253"/>
        <v>262868</v>
      </c>
      <c r="AY100" s="475">
        <f t="shared" si="253"/>
        <v>15555</v>
      </c>
      <c r="AZ100" s="475">
        <f>N100+AH100</f>
        <v>0</v>
      </c>
      <c r="BA100" s="476">
        <f>O100+AT100</f>
        <v>2.1900000000000004</v>
      </c>
      <c r="BB100" s="476">
        <f t="shared" si="254"/>
        <v>2.1900000000000004</v>
      </c>
      <c r="BC100" s="478">
        <f t="shared" si="254"/>
        <v>0</v>
      </c>
    </row>
    <row r="101" spans="1:55" ht="14.1" customHeight="1" x14ac:dyDescent="0.2">
      <c r="A101" s="68">
        <v>24</v>
      </c>
      <c r="B101" s="65">
        <v>2412</v>
      </c>
      <c r="C101" s="66">
        <v>600079252</v>
      </c>
      <c r="D101" s="65">
        <v>72742429</v>
      </c>
      <c r="E101" s="67" t="s">
        <v>611</v>
      </c>
      <c r="F101" s="68">
        <v>3141</v>
      </c>
      <c r="G101" s="67" t="s">
        <v>315</v>
      </c>
      <c r="H101" s="69" t="s">
        <v>278</v>
      </c>
      <c r="I101" s="477">
        <v>1630566</v>
      </c>
      <c r="J101" s="472">
        <v>1194988</v>
      </c>
      <c r="K101" s="472">
        <v>0</v>
      </c>
      <c r="L101" s="472">
        <v>403906</v>
      </c>
      <c r="M101" s="472">
        <v>23900</v>
      </c>
      <c r="N101" s="472">
        <v>7772</v>
      </c>
      <c r="O101" s="473">
        <v>3.76</v>
      </c>
      <c r="P101" s="474">
        <v>0</v>
      </c>
      <c r="Q101" s="483">
        <v>3.76</v>
      </c>
      <c r="R101" s="485">
        <f t="shared" si="245"/>
        <v>0</v>
      </c>
      <c r="S101" s="475">
        <v>0</v>
      </c>
      <c r="T101" s="755">
        <v>-10937</v>
      </c>
      <c r="U101" s="475">
        <v>0</v>
      </c>
      <c r="V101" s="475">
        <v>0</v>
      </c>
      <c r="W101" s="475">
        <v>0</v>
      </c>
      <c r="X101" s="475">
        <f t="shared" si="246"/>
        <v>-10937</v>
      </c>
      <c r="Y101" s="475">
        <v>0</v>
      </c>
      <c r="Z101" s="475">
        <v>0</v>
      </c>
      <c r="AA101" s="475">
        <v>0</v>
      </c>
      <c r="AB101" s="475">
        <f t="shared" si="247"/>
        <v>0</v>
      </c>
      <c r="AC101" s="475">
        <f t="shared" si="248"/>
        <v>-10937</v>
      </c>
      <c r="AD101" s="70">
        <f t="shared" si="249"/>
        <v>-3697</v>
      </c>
      <c r="AE101" s="70">
        <f t="shared" si="250"/>
        <v>-219</v>
      </c>
      <c r="AF101" s="475">
        <v>0</v>
      </c>
      <c r="AG101" s="475">
        <v>0</v>
      </c>
      <c r="AH101" s="475">
        <f t="shared" si="251"/>
        <v>0</v>
      </c>
      <c r="AI101" s="475">
        <f t="shared" si="252"/>
        <v>-14853</v>
      </c>
      <c r="AJ101" s="476">
        <v>0</v>
      </c>
      <c r="AK101" s="476">
        <v>0</v>
      </c>
      <c r="AL101" s="476">
        <v>0</v>
      </c>
      <c r="AM101" s="476">
        <v>0</v>
      </c>
      <c r="AN101" s="756">
        <v>-2.9999999999999971E-2</v>
      </c>
      <c r="AO101" s="476">
        <v>0</v>
      </c>
      <c r="AP101" s="476">
        <v>0</v>
      </c>
      <c r="AQ101" s="476">
        <v>0</v>
      </c>
      <c r="AR101" s="476">
        <f t="shared" si="188"/>
        <v>0</v>
      </c>
      <c r="AS101" s="476">
        <f t="shared" si="189"/>
        <v>-2.9999999999999971E-2</v>
      </c>
      <c r="AT101" s="478">
        <f t="shared" si="190"/>
        <v>-2.9999999999999971E-2</v>
      </c>
      <c r="AU101" s="484">
        <f>I101+AI101</f>
        <v>1615713</v>
      </c>
      <c r="AV101" s="475">
        <f>J101+X101</f>
        <v>1184051</v>
      </c>
      <c r="AW101" s="475">
        <f>K101+AB101</f>
        <v>0</v>
      </c>
      <c r="AX101" s="475">
        <f t="shared" si="253"/>
        <v>400209</v>
      </c>
      <c r="AY101" s="475">
        <f t="shared" si="253"/>
        <v>23681</v>
      </c>
      <c r="AZ101" s="475">
        <f>N101+AH101</f>
        <v>7772</v>
      </c>
      <c r="BA101" s="476">
        <f>O101+AT101</f>
        <v>3.73</v>
      </c>
      <c r="BB101" s="476">
        <f t="shared" si="254"/>
        <v>0</v>
      </c>
      <c r="BC101" s="478">
        <f t="shared" si="254"/>
        <v>3.73</v>
      </c>
    </row>
    <row r="102" spans="1:55" ht="13.5" customHeight="1" x14ac:dyDescent="0.2">
      <c r="A102" s="74">
        <v>24</v>
      </c>
      <c r="B102" s="71">
        <v>2412</v>
      </c>
      <c r="C102" s="72">
        <v>600079252</v>
      </c>
      <c r="D102" s="71">
        <v>72742429</v>
      </c>
      <c r="E102" s="73" t="s">
        <v>612</v>
      </c>
      <c r="F102" s="74"/>
      <c r="G102" s="73"/>
      <c r="H102" s="75"/>
      <c r="I102" s="76">
        <v>13327649</v>
      </c>
      <c r="J102" s="77">
        <v>9747267</v>
      </c>
      <c r="K102" s="77">
        <v>16695</v>
      </c>
      <c r="L102" s="77">
        <v>3300219</v>
      </c>
      <c r="M102" s="77">
        <v>194946</v>
      </c>
      <c r="N102" s="77">
        <v>68522</v>
      </c>
      <c r="O102" s="78">
        <v>23.296500000000002</v>
      </c>
      <c r="P102" s="78">
        <v>14.932000000000002</v>
      </c>
      <c r="Q102" s="718">
        <v>8.3644999999999996</v>
      </c>
      <c r="R102" s="76">
        <f t="shared" ref="R102:BC102" si="255">SUM(R99:R101)</f>
        <v>0</v>
      </c>
      <c r="S102" s="77">
        <f t="shared" si="255"/>
        <v>0</v>
      </c>
      <c r="T102" s="77">
        <f t="shared" si="255"/>
        <v>-10937</v>
      </c>
      <c r="U102" s="77">
        <f t="shared" si="255"/>
        <v>0</v>
      </c>
      <c r="V102" s="77">
        <f t="shared" si="255"/>
        <v>-73638</v>
      </c>
      <c r="W102" s="77">
        <f t="shared" si="255"/>
        <v>0</v>
      </c>
      <c r="X102" s="77">
        <f t="shared" si="255"/>
        <v>-84575</v>
      </c>
      <c r="Y102" s="77">
        <f t="shared" si="255"/>
        <v>0</v>
      </c>
      <c r="Z102" s="77">
        <f t="shared" si="255"/>
        <v>0</v>
      </c>
      <c r="AA102" s="77">
        <f t="shared" si="255"/>
        <v>0</v>
      </c>
      <c r="AB102" s="77">
        <f t="shared" si="255"/>
        <v>0</v>
      </c>
      <c r="AC102" s="77">
        <f t="shared" si="255"/>
        <v>-84575</v>
      </c>
      <c r="AD102" s="77">
        <f t="shared" si="255"/>
        <v>-28587</v>
      </c>
      <c r="AE102" s="77">
        <f t="shared" si="255"/>
        <v>-1692</v>
      </c>
      <c r="AF102" s="77">
        <f t="shared" si="255"/>
        <v>0</v>
      </c>
      <c r="AG102" s="77">
        <f t="shared" si="255"/>
        <v>100001</v>
      </c>
      <c r="AH102" s="77">
        <f t="shared" si="255"/>
        <v>100001</v>
      </c>
      <c r="AI102" s="77">
        <f t="shared" si="255"/>
        <v>-14853</v>
      </c>
      <c r="AJ102" s="78">
        <f t="shared" si="255"/>
        <v>0</v>
      </c>
      <c r="AK102" s="78">
        <f t="shared" si="255"/>
        <v>0</v>
      </c>
      <c r="AL102" s="78">
        <f t="shared" si="255"/>
        <v>0</v>
      </c>
      <c r="AM102" s="78">
        <f t="shared" si="255"/>
        <v>0</v>
      </c>
      <c r="AN102" s="78">
        <f t="shared" si="255"/>
        <v>-2.9999999999999971E-2</v>
      </c>
      <c r="AO102" s="78">
        <f t="shared" si="255"/>
        <v>0</v>
      </c>
      <c r="AP102" s="78">
        <f t="shared" si="255"/>
        <v>0</v>
      </c>
      <c r="AQ102" s="78">
        <f t="shared" si="255"/>
        <v>0</v>
      </c>
      <c r="AR102" s="78">
        <f t="shared" si="255"/>
        <v>0</v>
      </c>
      <c r="AS102" s="78">
        <f t="shared" si="255"/>
        <v>-2.9999999999999971E-2</v>
      </c>
      <c r="AT102" s="79">
        <f t="shared" si="255"/>
        <v>-2.9999999999999971E-2</v>
      </c>
      <c r="AU102" s="433">
        <f t="shared" si="255"/>
        <v>13312796</v>
      </c>
      <c r="AV102" s="77">
        <f t="shared" si="255"/>
        <v>9662692</v>
      </c>
      <c r="AW102" s="77">
        <f t="shared" si="255"/>
        <v>16695</v>
      </c>
      <c r="AX102" s="77">
        <f t="shared" si="255"/>
        <v>3271632</v>
      </c>
      <c r="AY102" s="77">
        <f t="shared" si="255"/>
        <v>193254</v>
      </c>
      <c r="AZ102" s="77">
        <f t="shared" si="255"/>
        <v>168523</v>
      </c>
      <c r="BA102" s="78">
        <f t="shared" si="255"/>
        <v>23.266500000000001</v>
      </c>
      <c r="BB102" s="78">
        <f t="shared" si="255"/>
        <v>14.932000000000002</v>
      </c>
      <c r="BC102" s="79">
        <f t="shared" si="255"/>
        <v>8.3345000000000002</v>
      </c>
    </row>
    <row r="103" spans="1:55" ht="14.1" customHeight="1" x14ac:dyDescent="0.2">
      <c r="A103" s="68">
        <v>25</v>
      </c>
      <c r="B103" s="65">
        <v>2418</v>
      </c>
      <c r="C103" s="66">
        <v>600079261</v>
      </c>
      <c r="D103" s="65">
        <v>72741783</v>
      </c>
      <c r="E103" s="67" t="s">
        <v>613</v>
      </c>
      <c r="F103" s="68">
        <v>3111</v>
      </c>
      <c r="G103" s="67" t="s">
        <v>311</v>
      </c>
      <c r="H103" s="69" t="s">
        <v>277</v>
      </c>
      <c r="I103" s="477">
        <v>3521390</v>
      </c>
      <c r="J103" s="643">
        <v>2526704</v>
      </c>
      <c r="K103" s="643">
        <v>22665</v>
      </c>
      <c r="L103" s="472">
        <v>861687</v>
      </c>
      <c r="M103" s="472">
        <v>50534</v>
      </c>
      <c r="N103" s="472">
        <v>59800</v>
      </c>
      <c r="O103" s="473">
        <v>5.4897999999999998</v>
      </c>
      <c r="P103" s="473">
        <v>4</v>
      </c>
      <c r="Q103" s="483">
        <v>1.4898</v>
      </c>
      <c r="R103" s="485">
        <f t="shared" ref="R103:R104" si="256">Y103*-1</f>
        <v>10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ref="X103:X104" si="257">SUM(R103:W103)</f>
        <v>10</v>
      </c>
      <c r="Y103" s="475">
        <v>-10</v>
      </c>
      <c r="Z103" s="475">
        <v>0</v>
      </c>
      <c r="AA103" s="475">
        <v>0</v>
      </c>
      <c r="AB103" s="475">
        <f t="shared" ref="AB103:AB104" si="258">SUM(Y103:AA103)</f>
        <v>-10</v>
      </c>
      <c r="AC103" s="475">
        <f t="shared" ref="AC103:AC104" si="259">X103+AB103</f>
        <v>0</v>
      </c>
      <c r="AD103" s="70">
        <f t="shared" ref="AD103:AD104" si="260">ROUND((X103+Y103+Z103)*33.8%,0)</f>
        <v>0</v>
      </c>
      <c r="AE103" s="70">
        <f t="shared" ref="AE103:AE104" si="261">ROUND(X103*2%,0)</f>
        <v>0</v>
      </c>
      <c r="AF103" s="475">
        <v>0</v>
      </c>
      <c r="AG103" s="475">
        <v>0</v>
      </c>
      <c r="AH103" s="475">
        <f t="shared" ref="AH103:AH104" si="262">SUM(AF103:AG103)</f>
        <v>0</v>
      </c>
      <c r="AI103" s="475">
        <f t="shared" ref="AI103:AI104" si="263">AC103+AD103+AE103+AH103</f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 t="shared" si="188"/>
        <v>0</v>
      </c>
      <c r="AS103" s="476">
        <f t="shared" si="189"/>
        <v>0</v>
      </c>
      <c r="AT103" s="478">
        <f t="shared" si="190"/>
        <v>0</v>
      </c>
      <c r="AU103" s="484">
        <f>I103+AI103</f>
        <v>3521390</v>
      </c>
      <c r="AV103" s="475">
        <f>J103+X103</f>
        <v>2526714</v>
      </c>
      <c r="AW103" s="475">
        <f>K103+AB103</f>
        <v>22655</v>
      </c>
      <c r="AX103" s="475">
        <f>L103+AD103</f>
        <v>861687</v>
      </c>
      <c r="AY103" s="475">
        <f>M103+AE103</f>
        <v>50534</v>
      </c>
      <c r="AZ103" s="475">
        <f>N103+AH103</f>
        <v>59800</v>
      </c>
      <c r="BA103" s="476">
        <f>O103+AT103</f>
        <v>5.4897999999999998</v>
      </c>
      <c r="BB103" s="476">
        <f>P103+AR103</f>
        <v>4</v>
      </c>
      <c r="BC103" s="478">
        <f>Q103+AS103</f>
        <v>1.4898</v>
      </c>
    </row>
    <row r="104" spans="1:55" ht="14.1" customHeight="1" x14ac:dyDescent="0.2">
      <c r="A104" s="68">
        <v>25</v>
      </c>
      <c r="B104" s="65">
        <v>2418</v>
      </c>
      <c r="C104" s="66">
        <v>600079261</v>
      </c>
      <c r="D104" s="65">
        <v>72741783</v>
      </c>
      <c r="E104" s="67" t="s">
        <v>613</v>
      </c>
      <c r="F104" s="68">
        <v>3141</v>
      </c>
      <c r="G104" s="67" t="s">
        <v>315</v>
      </c>
      <c r="H104" s="69" t="s">
        <v>278</v>
      </c>
      <c r="I104" s="477">
        <v>629784</v>
      </c>
      <c r="J104" s="472">
        <v>461879</v>
      </c>
      <c r="K104" s="472">
        <v>0</v>
      </c>
      <c r="L104" s="472">
        <v>156115</v>
      </c>
      <c r="M104" s="472">
        <v>9238</v>
      </c>
      <c r="N104" s="472">
        <v>2552</v>
      </c>
      <c r="O104" s="473">
        <v>1.45</v>
      </c>
      <c r="P104" s="474">
        <v>0</v>
      </c>
      <c r="Q104" s="483">
        <v>1.45</v>
      </c>
      <c r="R104" s="485">
        <f t="shared" si="256"/>
        <v>0</v>
      </c>
      <c r="S104" s="475">
        <v>0</v>
      </c>
      <c r="T104" s="755">
        <v>-4898</v>
      </c>
      <c r="U104" s="475">
        <v>0</v>
      </c>
      <c r="V104" s="475">
        <v>0</v>
      </c>
      <c r="W104" s="475">
        <v>0</v>
      </c>
      <c r="X104" s="475">
        <f t="shared" si="257"/>
        <v>-4898</v>
      </c>
      <c r="Y104" s="475">
        <v>0</v>
      </c>
      <c r="Z104" s="475">
        <v>0</v>
      </c>
      <c r="AA104" s="475">
        <v>0</v>
      </c>
      <c r="AB104" s="475">
        <f t="shared" si="258"/>
        <v>0</v>
      </c>
      <c r="AC104" s="475">
        <f t="shared" si="259"/>
        <v>-4898</v>
      </c>
      <c r="AD104" s="70">
        <f t="shared" si="260"/>
        <v>-1656</v>
      </c>
      <c r="AE104" s="70">
        <f t="shared" si="261"/>
        <v>-98</v>
      </c>
      <c r="AF104" s="475">
        <v>0</v>
      </c>
      <c r="AG104" s="475">
        <v>0</v>
      </c>
      <c r="AH104" s="475">
        <f t="shared" si="262"/>
        <v>0</v>
      </c>
      <c r="AI104" s="475">
        <f t="shared" si="263"/>
        <v>-6652</v>
      </c>
      <c r="AJ104" s="476">
        <v>0</v>
      </c>
      <c r="AK104" s="476">
        <v>0</v>
      </c>
      <c r="AL104" s="476">
        <v>0</v>
      </c>
      <c r="AM104" s="476">
        <v>0</v>
      </c>
      <c r="AN104" s="756">
        <v>-1.0000000000000009E-2</v>
      </c>
      <c r="AO104" s="476">
        <v>0</v>
      </c>
      <c r="AP104" s="476">
        <v>0</v>
      </c>
      <c r="AQ104" s="476">
        <v>0</v>
      </c>
      <c r="AR104" s="476">
        <f t="shared" si="188"/>
        <v>0</v>
      </c>
      <c r="AS104" s="476">
        <f t="shared" si="189"/>
        <v>-1.0000000000000009E-2</v>
      </c>
      <c r="AT104" s="478">
        <f t="shared" si="190"/>
        <v>-1.0000000000000009E-2</v>
      </c>
      <c r="AU104" s="484">
        <f>I104+AI104</f>
        <v>623132</v>
      </c>
      <c r="AV104" s="475">
        <f>J104+X104</f>
        <v>456981</v>
      </c>
      <c r="AW104" s="475">
        <f>K104+AB104</f>
        <v>0</v>
      </c>
      <c r="AX104" s="475">
        <f>L104+AD104</f>
        <v>154459</v>
      </c>
      <c r="AY104" s="475">
        <f>M104+AE104</f>
        <v>9140</v>
      </c>
      <c r="AZ104" s="475">
        <f>N104+AH104</f>
        <v>2552</v>
      </c>
      <c r="BA104" s="476">
        <f>O104+AT104</f>
        <v>1.44</v>
      </c>
      <c r="BB104" s="476">
        <f>P104+AR104</f>
        <v>0</v>
      </c>
      <c r="BC104" s="478">
        <f>Q104+AS104</f>
        <v>1.44</v>
      </c>
    </row>
    <row r="105" spans="1:55" ht="13.5" customHeight="1" x14ac:dyDescent="0.2">
      <c r="A105" s="74">
        <v>25</v>
      </c>
      <c r="B105" s="71">
        <v>2418</v>
      </c>
      <c r="C105" s="72">
        <v>600079261</v>
      </c>
      <c r="D105" s="71">
        <v>72741783</v>
      </c>
      <c r="E105" s="73" t="s">
        <v>614</v>
      </c>
      <c r="F105" s="74"/>
      <c r="G105" s="73"/>
      <c r="H105" s="75"/>
      <c r="I105" s="76">
        <v>4151174</v>
      </c>
      <c r="J105" s="77">
        <v>2988583</v>
      </c>
      <c r="K105" s="77">
        <v>22665</v>
      </c>
      <c r="L105" s="77">
        <v>1017802</v>
      </c>
      <c r="M105" s="77">
        <v>59772</v>
      </c>
      <c r="N105" s="77">
        <v>62352</v>
      </c>
      <c r="O105" s="78">
        <v>6.9398</v>
      </c>
      <c r="P105" s="78">
        <v>4</v>
      </c>
      <c r="Q105" s="718">
        <v>2.9398</v>
      </c>
      <c r="R105" s="76">
        <f t="shared" ref="R105:BC105" si="264">SUM(R103:R104)</f>
        <v>10</v>
      </c>
      <c r="S105" s="77">
        <f t="shared" si="264"/>
        <v>0</v>
      </c>
      <c r="T105" s="77">
        <f t="shared" si="264"/>
        <v>-4898</v>
      </c>
      <c r="U105" s="77">
        <f t="shared" si="264"/>
        <v>0</v>
      </c>
      <c r="V105" s="77">
        <f t="shared" si="264"/>
        <v>0</v>
      </c>
      <c r="W105" s="77">
        <f t="shared" si="264"/>
        <v>0</v>
      </c>
      <c r="X105" s="77">
        <f t="shared" si="264"/>
        <v>-4888</v>
      </c>
      <c r="Y105" s="77">
        <f t="shared" si="264"/>
        <v>-10</v>
      </c>
      <c r="Z105" s="77">
        <f t="shared" si="264"/>
        <v>0</v>
      </c>
      <c r="AA105" s="77">
        <f t="shared" si="264"/>
        <v>0</v>
      </c>
      <c r="AB105" s="77">
        <f t="shared" si="264"/>
        <v>-10</v>
      </c>
      <c r="AC105" s="77">
        <f t="shared" si="264"/>
        <v>-4898</v>
      </c>
      <c r="AD105" s="77">
        <f t="shared" si="264"/>
        <v>-1656</v>
      </c>
      <c r="AE105" s="77">
        <f t="shared" si="264"/>
        <v>-98</v>
      </c>
      <c r="AF105" s="77">
        <f t="shared" si="264"/>
        <v>0</v>
      </c>
      <c r="AG105" s="77">
        <f t="shared" si="264"/>
        <v>0</v>
      </c>
      <c r="AH105" s="77">
        <f t="shared" si="264"/>
        <v>0</v>
      </c>
      <c r="AI105" s="77">
        <f t="shared" si="264"/>
        <v>-6652</v>
      </c>
      <c r="AJ105" s="78">
        <f t="shared" si="264"/>
        <v>0</v>
      </c>
      <c r="AK105" s="78">
        <f t="shared" si="264"/>
        <v>0</v>
      </c>
      <c r="AL105" s="78">
        <f t="shared" si="264"/>
        <v>0</v>
      </c>
      <c r="AM105" s="78">
        <f t="shared" si="264"/>
        <v>0</v>
      </c>
      <c r="AN105" s="78">
        <f t="shared" si="264"/>
        <v>-1.0000000000000009E-2</v>
      </c>
      <c r="AO105" s="78">
        <f t="shared" si="264"/>
        <v>0</v>
      </c>
      <c r="AP105" s="78">
        <f t="shared" si="264"/>
        <v>0</v>
      </c>
      <c r="AQ105" s="78">
        <f t="shared" si="264"/>
        <v>0</v>
      </c>
      <c r="AR105" s="78">
        <f t="shared" si="264"/>
        <v>0</v>
      </c>
      <c r="AS105" s="78">
        <f t="shared" si="264"/>
        <v>-1.0000000000000009E-2</v>
      </c>
      <c r="AT105" s="79">
        <f t="shared" si="264"/>
        <v>-1.0000000000000009E-2</v>
      </c>
      <c r="AU105" s="433">
        <f t="shared" si="264"/>
        <v>4144522</v>
      </c>
      <c r="AV105" s="77">
        <f t="shared" si="264"/>
        <v>2983695</v>
      </c>
      <c r="AW105" s="77">
        <f t="shared" si="264"/>
        <v>22655</v>
      </c>
      <c r="AX105" s="77">
        <f t="shared" si="264"/>
        <v>1016146</v>
      </c>
      <c r="AY105" s="77">
        <f t="shared" si="264"/>
        <v>59674</v>
      </c>
      <c r="AZ105" s="77">
        <f t="shared" si="264"/>
        <v>62352</v>
      </c>
      <c r="BA105" s="78">
        <f t="shared" si="264"/>
        <v>6.9298000000000002</v>
      </c>
      <c r="BB105" s="78">
        <f t="shared" si="264"/>
        <v>4</v>
      </c>
      <c r="BC105" s="79">
        <f t="shared" si="264"/>
        <v>2.9298000000000002</v>
      </c>
    </row>
    <row r="106" spans="1:55" ht="14.1" customHeight="1" x14ac:dyDescent="0.2">
      <c r="A106" s="68">
        <v>26</v>
      </c>
      <c r="B106" s="65">
        <v>2414</v>
      </c>
      <c r="C106" s="66">
        <v>600079295</v>
      </c>
      <c r="D106" s="65">
        <v>72742020</v>
      </c>
      <c r="E106" s="67" t="s">
        <v>615</v>
      </c>
      <c r="F106" s="68">
        <v>3111</v>
      </c>
      <c r="G106" s="67" t="s">
        <v>311</v>
      </c>
      <c r="H106" s="69" t="s">
        <v>277</v>
      </c>
      <c r="I106" s="477">
        <v>4884134</v>
      </c>
      <c r="J106" s="643">
        <v>3539819</v>
      </c>
      <c r="K106" s="643">
        <v>29940</v>
      </c>
      <c r="L106" s="472">
        <v>1206579</v>
      </c>
      <c r="M106" s="472">
        <v>70796</v>
      </c>
      <c r="N106" s="472">
        <v>37000</v>
      </c>
      <c r="O106" s="473">
        <v>8.1561000000000021</v>
      </c>
      <c r="P106" s="473">
        <v>6.1719000000000008</v>
      </c>
      <c r="Q106" s="483">
        <v>1.9842</v>
      </c>
      <c r="R106" s="485">
        <f t="shared" ref="R106:R108" si="265">Y106*-1</f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ref="X106:X108" si="266">SUM(R106:W106)</f>
        <v>0</v>
      </c>
      <c r="Y106" s="475">
        <v>0</v>
      </c>
      <c r="Z106" s="475">
        <v>0</v>
      </c>
      <c r="AA106" s="475">
        <v>0</v>
      </c>
      <c r="AB106" s="475">
        <f t="shared" ref="AB106:AB108" si="267">SUM(Y106:AA106)</f>
        <v>0</v>
      </c>
      <c r="AC106" s="475">
        <f t="shared" ref="AC106:AC108" si="268">X106+AB106</f>
        <v>0</v>
      </c>
      <c r="AD106" s="70">
        <f t="shared" ref="AD106:AD108" si="269">ROUND((X106+Y106+Z106)*33.8%,0)</f>
        <v>0</v>
      </c>
      <c r="AE106" s="70">
        <f t="shared" ref="AE106:AE108" si="270">ROUND(X106*2%,0)</f>
        <v>0</v>
      </c>
      <c r="AF106" s="475">
        <v>0</v>
      </c>
      <c r="AG106" s="475">
        <v>0</v>
      </c>
      <c r="AH106" s="475">
        <f t="shared" ref="AH106:AH108" si="271">SUM(AF106:AG106)</f>
        <v>0</v>
      </c>
      <c r="AI106" s="475">
        <f t="shared" ref="AI106:AI108" si="272">AC106+AD106+AE106+AH106</f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 t="shared" si="188"/>
        <v>0</v>
      </c>
      <c r="AS106" s="476">
        <f t="shared" si="189"/>
        <v>0</v>
      </c>
      <c r="AT106" s="478">
        <f t="shared" si="190"/>
        <v>0</v>
      </c>
      <c r="AU106" s="484">
        <f>I106+AI106</f>
        <v>4884134</v>
      </c>
      <c r="AV106" s="475">
        <f>J106+X106</f>
        <v>3539819</v>
      </c>
      <c r="AW106" s="475">
        <f>K106+AB106</f>
        <v>29940</v>
      </c>
      <c r="AX106" s="475">
        <f t="shared" ref="AX106:AY108" si="273">L106+AD106</f>
        <v>1206579</v>
      </c>
      <c r="AY106" s="475">
        <f t="shared" si="273"/>
        <v>70796</v>
      </c>
      <c r="AZ106" s="475">
        <f>N106+AH106</f>
        <v>37000</v>
      </c>
      <c r="BA106" s="476">
        <f>O106+AT106</f>
        <v>8.1561000000000021</v>
      </c>
      <c r="BB106" s="476">
        <f t="shared" ref="BB106:BC108" si="274">P106+AR106</f>
        <v>6.1719000000000008</v>
      </c>
      <c r="BC106" s="478">
        <f t="shared" si="274"/>
        <v>1.9842</v>
      </c>
    </row>
    <row r="107" spans="1:55" ht="14.1" customHeight="1" x14ac:dyDescent="0.2">
      <c r="A107" s="68">
        <v>26</v>
      </c>
      <c r="B107" s="65">
        <v>2414</v>
      </c>
      <c r="C107" s="66">
        <v>600079295</v>
      </c>
      <c r="D107" s="65">
        <v>72742020</v>
      </c>
      <c r="E107" s="67" t="s">
        <v>615</v>
      </c>
      <c r="F107" s="68">
        <v>3111</v>
      </c>
      <c r="G107" s="80" t="s">
        <v>312</v>
      </c>
      <c r="H107" s="69" t="s">
        <v>278</v>
      </c>
      <c r="I107" s="477">
        <v>6500</v>
      </c>
      <c r="J107" s="472">
        <v>0</v>
      </c>
      <c r="K107" s="472">
        <v>0</v>
      </c>
      <c r="L107" s="472">
        <v>0</v>
      </c>
      <c r="M107" s="472">
        <v>0</v>
      </c>
      <c r="N107" s="472">
        <v>6500</v>
      </c>
      <c r="O107" s="473">
        <v>0</v>
      </c>
      <c r="P107" s="474">
        <v>0</v>
      </c>
      <c r="Q107" s="483">
        <v>0</v>
      </c>
      <c r="R107" s="485">
        <f t="shared" si="265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266"/>
        <v>0</v>
      </c>
      <c r="Y107" s="475">
        <v>0</v>
      </c>
      <c r="Z107" s="475">
        <v>0</v>
      </c>
      <c r="AA107" s="475">
        <v>0</v>
      </c>
      <c r="AB107" s="475">
        <f t="shared" si="267"/>
        <v>0</v>
      </c>
      <c r="AC107" s="475">
        <f t="shared" si="268"/>
        <v>0</v>
      </c>
      <c r="AD107" s="70">
        <f t="shared" si="269"/>
        <v>0</v>
      </c>
      <c r="AE107" s="70">
        <f t="shared" si="270"/>
        <v>0</v>
      </c>
      <c r="AF107" s="475">
        <v>0</v>
      </c>
      <c r="AG107" s="475">
        <v>0</v>
      </c>
      <c r="AH107" s="475">
        <f t="shared" si="271"/>
        <v>0</v>
      </c>
      <c r="AI107" s="475">
        <f t="shared" si="272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 t="shared" si="188"/>
        <v>0</v>
      </c>
      <c r="AS107" s="476">
        <f t="shared" si="189"/>
        <v>0</v>
      </c>
      <c r="AT107" s="478">
        <f t="shared" si="190"/>
        <v>0</v>
      </c>
      <c r="AU107" s="484">
        <f>I107+AI107</f>
        <v>6500</v>
      </c>
      <c r="AV107" s="475">
        <f>J107+X107</f>
        <v>0</v>
      </c>
      <c r="AW107" s="475">
        <f>K107+AB107</f>
        <v>0</v>
      </c>
      <c r="AX107" s="475">
        <f t="shared" si="273"/>
        <v>0</v>
      </c>
      <c r="AY107" s="475">
        <f t="shared" si="273"/>
        <v>0</v>
      </c>
      <c r="AZ107" s="475">
        <f>N107+AH107</f>
        <v>6500</v>
      </c>
      <c r="BA107" s="476">
        <f>O107+AT107</f>
        <v>0</v>
      </c>
      <c r="BB107" s="476">
        <f t="shared" si="274"/>
        <v>0</v>
      </c>
      <c r="BC107" s="478">
        <f t="shared" si="274"/>
        <v>0</v>
      </c>
    </row>
    <row r="108" spans="1:55" ht="14.1" customHeight="1" x14ac:dyDescent="0.2">
      <c r="A108" s="68">
        <v>26</v>
      </c>
      <c r="B108" s="65">
        <v>2414</v>
      </c>
      <c r="C108" s="66">
        <v>600079295</v>
      </c>
      <c r="D108" s="65">
        <v>72742020</v>
      </c>
      <c r="E108" s="67" t="s">
        <v>615</v>
      </c>
      <c r="F108" s="68">
        <v>3141</v>
      </c>
      <c r="G108" s="67" t="s">
        <v>315</v>
      </c>
      <c r="H108" s="69" t="s">
        <v>278</v>
      </c>
      <c r="I108" s="477">
        <v>778244</v>
      </c>
      <c r="J108" s="472">
        <v>570519</v>
      </c>
      <c r="K108" s="472">
        <v>0</v>
      </c>
      <c r="L108" s="472">
        <v>192835</v>
      </c>
      <c r="M108" s="472">
        <v>11410</v>
      </c>
      <c r="N108" s="472">
        <v>3480</v>
      </c>
      <c r="O108" s="473">
        <v>1.8</v>
      </c>
      <c r="P108" s="474">
        <v>0</v>
      </c>
      <c r="Q108" s="483">
        <v>1.8</v>
      </c>
      <c r="R108" s="485">
        <f t="shared" si="265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si="266"/>
        <v>0</v>
      </c>
      <c r="Y108" s="475">
        <v>0</v>
      </c>
      <c r="Z108" s="475">
        <v>0</v>
      </c>
      <c r="AA108" s="475">
        <v>0</v>
      </c>
      <c r="AB108" s="475">
        <f t="shared" si="267"/>
        <v>0</v>
      </c>
      <c r="AC108" s="475">
        <f t="shared" si="268"/>
        <v>0</v>
      </c>
      <c r="AD108" s="70">
        <f t="shared" si="269"/>
        <v>0</v>
      </c>
      <c r="AE108" s="70">
        <f t="shared" si="270"/>
        <v>0</v>
      </c>
      <c r="AF108" s="475">
        <v>0</v>
      </c>
      <c r="AG108" s="475">
        <v>0</v>
      </c>
      <c r="AH108" s="475">
        <f t="shared" si="271"/>
        <v>0</v>
      </c>
      <c r="AI108" s="475">
        <f t="shared" si="272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si="188"/>
        <v>0</v>
      </c>
      <c r="AS108" s="476">
        <f t="shared" si="189"/>
        <v>0</v>
      </c>
      <c r="AT108" s="478">
        <f t="shared" si="190"/>
        <v>0</v>
      </c>
      <c r="AU108" s="484">
        <f>I108+AI108</f>
        <v>778244</v>
      </c>
      <c r="AV108" s="475">
        <f>J108+X108</f>
        <v>570519</v>
      </c>
      <c r="AW108" s="475">
        <f>K108+AB108</f>
        <v>0</v>
      </c>
      <c r="AX108" s="475">
        <f t="shared" si="273"/>
        <v>192835</v>
      </c>
      <c r="AY108" s="475">
        <f t="shared" si="273"/>
        <v>11410</v>
      </c>
      <c r="AZ108" s="475">
        <f>N108+AH108</f>
        <v>3480</v>
      </c>
      <c r="BA108" s="476">
        <f>O108+AT108</f>
        <v>1.8</v>
      </c>
      <c r="BB108" s="476">
        <f t="shared" si="274"/>
        <v>0</v>
      </c>
      <c r="BC108" s="478">
        <f t="shared" si="274"/>
        <v>1.8</v>
      </c>
    </row>
    <row r="109" spans="1:55" ht="14.1" customHeight="1" x14ac:dyDescent="0.2">
      <c r="A109" s="74">
        <v>26</v>
      </c>
      <c r="B109" s="71">
        <v>2414</v>
      </c>
      <c r="C109" s="72">
        <v>600079295</v>
      </c>
      <c r="D109" s="71">
        <v>72742020</v>
      </c>
      <c r="E109" s="73" t="s">
        <v>616</v>
      </c>
      <c r="F109" s="74"/>
      <c r="G109" s="73"/>
      <c r="H109" s="75"/>
      <c r="I109" s="76">
        <v>5668878</v>
      </c>
      <c r="J109" s="77">
        <v>4110338</v>
      </c>
      <c r="K109" s="77">
        <v>29940</v>
      </c>
      <c r="L109" s="77">
        <v>1399414</v>
      </c>
      <c r="M109" s="77">
        <v>82206</v>
      </c>
      <c r="N109" s="77">
        <v>46980</v>
      </c>
      <c r="O109" s="78">
        <v>9.9561000000000028</v>
      </c>
      <c r="P109" s="78">
        <v>6.1719000000000008</v>
      </c>
      <c r="Q109" s="718">
        <v>3.7842000000000002</v>
      </c>
      <c r="R109" s="76">
        <f t="shared" ref="R109:BC109" si="275">SUM(R106:R108)</f>
        <v>0</v>
      </c>
      <c r="S109" s="77">
        <f t="shared" si="275"/>
        <v>0</v>
      </c>
      <c r="T109" s="77">
        <f t="shared" si="275"/>
        <v>0</v>
      </c>
      <c r="U109" s="77">
        <f t="shared" si="275"/>
        <v>0</v>
      </c>
      <c r="V109" s="77">
        <f t="shared" si="275"/>
        <v>0</v>
      </c>
      <c r="W109" s="77">
        <f t="shared" si="275"/>
        <v>0</v>
      </c>
      <c r="X109" s="77">
        <f t="shared" si="275"/>
        <v>0</v>
      </c>
      <c r="Y109" s="77">
        <f t="shared" si="275"/>
        <v>0</v>
      </c>
      <c r="Z109" s="77">
        <f t="shared" si="275"/>
        <v>0</v>
      </c>
      <c r="AA109" s="77">
        <f t="shared" si="275"/>
        <v>0</v>
      </c>
      <c r="AB109" s="77">
        <f t="shared" si="275"/>
        <v>0</v>
      </c>
      <c r="AC109" s="77">
        <f t="shared" si="275"/>
        <v>0</v>
      </c>
      <c r="AD109" s="77">
        <f t="shared" si="275"/>
        <v>0</v>
      </c>
      <c r="AE109" s="77">
        <f t="shared" si="275"/>
        <v>0</v>
      </c>
      <c r="AF109" s="77">
        <f t="shared" si="275"/>
        <v>0</v>
      </c>
      <c r="AG109" s="77">
        <f t="shared" si="275"/>
        <v>0</v>
      </c>
      <c r="AH109" s="77">
        <f t="shared" si="275"/>
        <v>0</v>
      </c>
      <c r="AI109" s="77">
        <f t="shared" si="275"/>
        <v>0</v>
      </c>
      <c r="AJ109" s="78">
        <f t="shared" si="275"/>
        <v>0</v>
      </c>
      <c r="AK109" s="78">
        <f t="shared" si="275"/>
        <v>0</v>
      </c>
      <c r="AL109" s="78">
        <f t="shared" si="275"/>
        <v>0</v>
      </c>
      <c r="AM109" s="78">
        <f t="shared" si="275"/>
        <v>0</v>
      </c>
      <c r="AN109" s="78">
        <f t="shared" si="275"/>
        <v>0</v>
      </c>
      <c r="AO109" s="78">
        <f t="shared" si="275"/>
        <v>0</v>
      </c>
      <c r="AP109" s="78">
        <f t="shared" si="275"/>
        <v>0</v>
      </c>
      <c r="AQ109" s="78">
        <f t="shared" si="275"/>
        <v>0</v>
      </c>
      <c r="AR109" s="78">
        <f t="shared" si="275"/>
        <v>0</v>
      </c>
      <c r="AS109" s="78">
        <f t="shared" si="275"/>
        <v>0</v>
      </c>
      <c r="AT109" s="79">
        <f t="shared" si="275"/>
        <v>0</v>
      </c>
      <c r="AU109" s="433">
        <f t="shared" si="275"/>
        <v>5668878</v>
      </c>
      <c r="AV109" s="77">
        <f t="shared" si="275"/>
        <v>4110338</v>
      </c>
      <c r="AW109" s="77">
        <f t="shared" si="275"/>
        <v>29940</v>
      </c>
      <c r="AX109" s="77">
        <f t="shared" si="275"/>
        <v>1399414</v>
      </c>
      <c r="AY109" s="77">
        <f t="shared" si="275"/>
        <v>82206</v>
      </c>
      <c r="AZ109" s="77">
        <f t="shared" si="275"/>
        <v>46980</v>
      </c>
      <c r="BA109" s="78">
        <f t="shared" si="275"/>
        <v>9.9561000000000028</v>
      </c>
      <c r="BB109" s="78">
        <f t="shared" si="275"/>
        <v>6.1719000000000008</v>
      </c>
      <c r="BC109" s="79">
        <f t="shared" si="275"/>
        <v>3.7842000000000002</v>
      </c>
    </row>
    <row r="110" spans="1:55" ht="14.1" customHeight="1" x14ac:dyDescent="0.2">
      <c r="A110" s="68">
        <v>27</v>
      </c>
      <c r="B110" s="65">
        <v>2443</v>
      </c>
      <c r="C110" s="66">
        <v>600079309</v>
      </c>
      <c r="D110" s="65">
        <v>72743051</v>
      </c>
      <c r="E110" s="67" t="s">
        <v>617</v>
      </c>
      <c r="F110" s="68">
        <v>3111</v>
      </c>
      <c r="G110" s="67" t="s">
        <v>311</v>
      </c>
      <c r="H110" s="69" t="s">
        <v>277</v>
      </c>
      <c r="I110" s="477">
        <v>4748991</v>
      </c>
      <c r="J110" s="643">
        <v>3423298</v>
      </c>
      <c r="K110" s="643">
        <v>21040</v>
      </c>
      <c r="L110" s="472">
        <v>1164187</v>
      </c>
      <c r="M110" s="472">
        <v>68466</v>
      </c>
      <c r="N110" s="472">
        <v>72000</v>
      </c>
      <c r="O110" s="473">
        <v>7.9841999999999995</v>
      </c>
      <c r="P110" s="473">
        <v>6</v>
      </c>
      <c r="Q110" s="483">
        <v>1.9842</v>
      </c>
      <c r="R110" s="485">
        <f t="shared" ref="R110:R112" si="276">Y110*-1</f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ref="X110:X112" si="277">SUM(R110:W110)</f>
        <v>0</v>
      </c>
      <c r="Y110" s="475">
        <v>0</v>
      </c>
      <c r="Z110" s="475">
        <v>0</v>
      </c>
      <c r="AA110" s="475">
        <v>0</v>
      </c>
      <c r="AB110" s="475">
        <f t="shared" ref="AB110:AB112" si="278">SUM(Y110:AA110)</f>
        <v>0</v>
      </c>
      <c r="AC110" s="475">
        <f t="shared" ref="AC110:AC112" si="279">X110+AB110</f>
        <v>0</v>
      </c>
      <c r="AD110" s="70">
        <f t="shared" ref="AD110:AD112" si="280">ROUND((X110+Y110+Z110)*33.8%,0)</f>
        <v>0</v>
      </c>
      <c r="AE110" s="70">
        <f t="shared" ref="AE110:AE112" si="281">ROUND(X110*2%,0)</f>
        <v>0</v>
      </c>
      <c r="AF110" s="475">
        <v>0</v>
      </c>
      <c r="AG110" s="475">
        <v>0</v>
      </c>
      <c r="AH110" s="475">
        <f t="shared" ref="AH110:AH112" si="282">SUM(AF110:AG110)</f>
        <v>0</v>
      </c>
      <c r="AI110" s="475">
        <f t="shared" ref="AI110:AI112" si="283">AC110+AD110+AE110+AH110</f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 t="shared" si="188"/>
        <v>0</v>
      </c>
      <c r="AS110" s="476">
        <f t="shared" si="189"/>
        <v>0</v>
      </c>
      <c r="AT110" s="478">
        <f t="shared" si="190"/>
        <v>0</v>
      </c>
      <c r="AU110" s="484">
        <f>I110+AI110</f>
        <v>4748991</v>
      </c>
      <c r="AV110" s="475">
        <f>J110+X110</f>
        <v>3423298</v>
      </c>
      <c r="AW110" s="475">
        <f>K110+AB110</f>
        <v>21040</v>
      </c>
      <c r="AX110" s="475">
        <f t="shared" ref="AX110:AY112" si="284">L110+AD110</f>
        <v>1164187</v>
      </c>
      <c r="AY110" s="475">
        <f t="shared" si="284"/>
        <v>68466</v>
      </c>
      <c r="AZ110" s="475">
        <f>N110+AH110</f>
        <v>72000</v>
      </c>
      <c r="BA110" s="476">
        <f>O110+AT110</f>
        <v>7.9841999999999995</v>
      </c>
      <c r="BB110" s="476">
        <f t="shared" ref="BB110:BC112" si="285">P110+AR110</f>
        <v>6</v>
      </c>
      <c r="BC110" s="478">
        <f t="shared" si="285"/>
        <v>1.9842</v>
      </c>
    </row>
    <row r="111" spans="1:55" ht="14.1" customHeight="1" x14ac:dyDescent="0.2">
      <c r="A111" s="68">
        <v>27</v>
      </c>
      <c r="B111" s="65">
        <v>2443</v>
      </c>
      <c r="C111" s="66">
        <v>600079309</v>
      </c>
      <c r="D111" s="65">
        <v>72743051</v>
      </c>
      <c r="E111" s="67" t="s">
        <v>617</v>
      </c>
      <c r="F111" s="68">
        <v>3111</v>
      </c>
      <c r="G111" s="80" t="s">
        <v>312</v>
      </c>
      <c r="H111" s="69" t="s">
        <v>278</v>
      </c>
      <c r="I111" s="477">
        <v>0</v>
      </c>
      <c r="J111" s="472">
        <v>0</v>
      </c>
      <c r="K111" s="472">
        <v>0</v>
      </c>
      <c r="L111" s="472">
        <v>0</v>
      </c>
      <c r="M111" s="472">
        <v>0</v>
      </c>
      <c r="N111" s="472">
        <v>0</v>
      </c>
      <c r="O111" s="473">
        <v>0</v>
      </c>
      <c r="P111" s="474">
        <v>0</v>
      </c>
      <c r="Q111" s="483">
        <v>0</v>
      </c>
      <c r="R111" s="485">
        <f t="shared" si="276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77"/>
        <v>0</v>
      </c>
      <c r="Y111" s="475">
        <v>0</v>
      </c>
      <c r="Z111" s="475">
        <v>0</v>
      </c>
      <c r="AA111" s="475">
        <v>0</v>
      </c>
      <c r="AB111" s="475">
        <f t="shared" si="278"/>
        <v>0</v>
      </c>
      <c r="AC111" s="475">
        <f t="shared" si="279"/>
        <v>0</v>
      </c>
      <c r="AD111" s="70">
        <f t="shared" si="280"/>
        <v>0</v>
      </c>
      <c r="AE111" s="70">
        <f t="shared" si="281"/>
        <v>0</v>
      </c>
      <c r="AF111" s="475">
        <v>0</v>
      </c>
      <c r="AG111" s="475">
        <v>0</v>
      </c>
      <c r="AH111" s="475">
        <f t="shared" si="282"/>
        <v>0</v>
      </c>
      <c r="AI111" s="475">
        <f t="shared" si="283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 t="shared" si="188"/>
        <v>0</v>
      </c>
      <c r="AS111" s="476">
        <f t="shared" si="189"/>
        <v>0</v>
      </c>
      <c r="AT111" s="478">
        <f t="shared" si="190"/>
        <v>0</v>
      </c>
      <c r="AU111" s="484">
        <f>I111+AI111</f>
        <v>0</v>
      </c>
      <c r="AV111" s="475">
        <f>J111+X111</f>
        <v>0</v>
      </c>
      <c r="AW111" s="475">
        <f>K111+AB111</f>
        <v>0</v>
      </c>
      <c r="AX111" s="475">
        <f t="shared" si="284"/>
        <v>0</v>
      </c>
      <c r="AY111" s="475">
        <f t="shared" si="284"/>
        <v>0</v>
      </c>
      <c r="AZ111" s="475">
        <f>N111+AH111</f>
        <v>0</v>
      </c>
      <c r="BA111" s="476">
        <f>O111+AT111</f>
        <v>0</v>
      </c>
      <c r="BB111" s="476">
        <f t="shared" si="285"/>
        <v>0</v>
      </c>
      <c r="BC111" s="478">
        <f t="shared" si="285"/>
        <v>0</v>
      </c>
    </row>
    <row r="112" spans="1:55" ht="14.1" customHeight="1" x14ac:dyDescent="0.2">
      <c r="A112" s="68">
        <v>27</v>
      </c>
      <c r="B112" s="65">
        <v>2443</v>
      </c>
      <c r="C112" s="66">
        <v>600079309</v>
      </c>
      <c r="D112" s="65">
        <v>72743051</v>
      </c>
      <c r="E112" s="67" t="s">
        <v>617</v>
      </c>
      <c r="F112" s="68">
        <v>3141</v>
      </c>
      <c r="G112" s="67" t="s">
        <v>315</v>
      </c>
      <c r="H112" s="69" t="s">
        <v>278</v>
      </c>
      <c r="I112" s="477">
        <v>778244</v>
      </c>
      <c r="J112" s="472">
        <v>570519</v>
      </c>
      <c r="K112" s="472">
        <v>0</v>
      </c>
      <c r="L112" s="472">
        <v>192835</v>
      </c>
      <c r="M112" s="472">
        <v>11410</v>
      </c>
      <c r="N112" s="472">
        <v>3480</v>
      </c>
      <c r="O112" s="473">
        <v>1.8</v>
      </c>
      <c r="P112" s="474">
        <v>0</v>
      </c>
      <c r="Q112" s="483">
        <v>1.8</v>
      </c>
      <c r="R112" s="485">
        <f t="shared" si="276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77"/>
        <v>0</v>
      </c>
      <c r="Y112" s="475">
        <v>0</v>
      </c>
      <c r="Z112" s="475">
        <v>0</v>
      </c>
      <c r="AA112" s="475">
        <v>0</v>
      </c>
      <c r="AB112" s="475">
        <f t="shared" si="278"/>
        <v>0</v>
      </c>
      <c r="AC112" s="475">
        <f t="shared" si="279"/>
        <v>0</v>
      </c>
      <c r="AD112" s="70">
        <f t="shared" si="280"/>
        <v>0</v>
      </c>
      <c r="AE112" s="70">
        <f t="shared" si="281"/>
        <v>0</v>
      </c>
      <c r="AF112" s="475">
        <v>0</v>
      </c>
      <c r="AG112" s="475">
        <v>0</v>
      </c>
      <c r="AH112" s="475">
        <f t="shared" si="282"/>
        <v>0</v>
      </c>
      <c r="AI112" s="475">
        <f t="shared" si="283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188"/>
        <v>0</v>
      </c>
      <c r="AS112" s="476">
        <f t="shared" si="189"/>
        <v>0</v>
      </c>
      <c r="AT112" s="478">
        <f t="shared" si="190"/>
        <v>0</v>
      </c>
      <c r="AU112" s="484">
        <f>I112+AI112</f>
        <v>778244</v>
      </c>
      <c r="AV112" s="475">
        <f>J112+X112</f>
        <v>570519</v>
      </c>
      <c r="AW112" s="475">
        <f>K112+AB112</f>
        <v>0</v>
      </c>
      <c r="AX112" s="475">
        <f t="shared" si="284"/>
        <v>192835</v>
      </c>
      <c r="AY112" s="475">
        <f t="shared" si="284"/>
        <v>11410</v>
      </c>
      <c r="AZ112" s="475">
        <f>N112+AH112</f>
        <v>3480</v>
      </c>
      <c r="BA112" s="476">
        <f>O112+AT112</f>
        <v>1.8</v>
      </c>
      <c r="BB112" s="476">
        <f t="shared" si="285"/>
        <v>0</v>
      </c>
      <c r="BC112" s="478">
        <f t="shared" si="285"/>
        <v>1.8</v>
      </c>
    </row>
    <row r="113" spans="1:55" ht="14.1" customHeight="1" x14ac:dyDescent="0.2">
      <c r="A113" s="74">
        <v>27</v>
      </c>
      <c r="B113" s="71">
        <v>2443</v>
      </c>
      <c r="C113" s="72">
        <v>600079309</v>
      </c>
      <c r="D113" s="71">
        <v>72743051</v>
      </c>
      <c r="E113" s="73" t="s">
        <v>618</v>
      </c>
      <c r="F113" s="74"/>
      <c r="G113" s="73"/>
      <c r="H113" s="75"/>
      <c r="I113" s="76">
        <v>5527235</v>
      </c>
      <c r="J113" s="77">
        <v>3993817</v>
      </c>
      <c r="K113" s="77">
        <v>21040</v>
      </c>
      <c r="L113" s="77">
        <v>1357022</v>
      </c>
      <c r="M113" s="77">
        <v>79876</v>
      </c>
      <c r="N113" s="77">
        <v>75480</v>
      </c>
      <c r="O113" s="78">
        <v>9.7842000000000002</v>
      </c>
      <c r="P113" s="78">
        <v>6</v>
      </c>
      <c r="Q113" s="718">
        <v>3.7842000000000002</v>
      </c>
      <c r="R113" s="76">
        <f t="shared" ref="R113:BC113" si="286">SUM(R110:R112)</f>
        <v>0</v>
      </c>
      <c r="S113" s="77">
        <f t="shared" si="286"/>
        <v>0</v>
      </c>
      <c r="T113" s="77">
        <f t="shared" si="286"/>
        <v>0</v>
      </c>
      <c r="U113" s="77">
        <f t="shared" si="286"/>
        <v>0</v>
      </c>
      <c r="V113" s="77">
        <f t="shared" si="286"/>
        <v>0</v>
      </c>
      <c r="W113" s="77">
        <f t="shared" si="286"/>
        <v>0</v>
      </c>
      <c r="X113" s="77">
        <f t="shared" si="286"/>
        <v>0</v>
      </c>
      <c r="Y113" s="77">
        <f t="shared" si="286"/>
        <v>0</v>
      </c>
      <c r="Z113" s="77">
        <f t="shared" si="286"/>
        <v>0</v>
      </c>
      <c r="AA113" s="77">
        <f t="shared" si="286"/>
        <v>0</v>
      </c>
      <c r="AB113" s="77">
        <f t="shared" si="286"/>
        <v>0</v>
      </c>
      <c r="AC113" s="77">
        <f t="shared" si="286"/>
        <v>0</v>
      </c>
      <c r="AD113" s="77">
        <f t="shared" si="286"/>
        <v>0</v>
      </c>
      <c r="AE113" s="77">
        <f t="shared" si="286"/>
        <v>0</v>
      </c>
      <c r="AF113" s="77">
        <f t="shared" si="286"/>
        <v>0</v>
      </c>
      <c r="AG113" s="77">
        <f t="shared" si="286"/>
        <v>0</v>
      </c>
      <c r="AH113" s="77">
        <f t="shared" si="286"/>
        <v>0</v>
      </c>
      <c r="AI113" s="77">
        <f t="shared" si="286"/>
        <v>0</v>
      </c>
      <c r="AJ113" s="78">
        <f t="shared" si="286"/>
        <v>0</v>
      </c>
      <c r="AK113" s="78">
        <f t="shared" si="286"/>
        <v>0</v>
      </c>
      <c r="AL113" s="78">
        <f t="shared" si="286"/>
        <v>0</v>
      </c>
      <c r="AM113" s="78">
        <f t="shared" si="286"/>
        <v>0</v>
      </c>
      <c r="AN113" s="78">
        <f t="shared" si="286"/>
        <v>0</v>
      </c>
      <c r="AO113" s="78">
        <f t="shared" si="286"/>
        <v>0</v>
      </c>
      <c r="AP113" s="78">
        <f t="shared" si="286"/>
        <v>0</v>
      </c>
      <c r="AQ113" s="78">
        <f t="shared" si="286"/>
        <v>0</v>
      </c>
      <c r="AR113" s="78">
        <f t="shared" si="286"/>
        <v>0</v>
      </c>
      <c r="AS113" s="78">
        <f t="shared" si="286"/>
        <v>0</v>
      </c>
      <c r="AT113" s="79">
        <f t="shared" si="286"/>
        <v>0</v>
      </c>
      <c r="AU113" s="433">
        <f t="shared" si="286"/>
        <v>5527235</v>
      </c>
      <c r="AV113" s="77">
        <f t="shared" si="286"/>
        <v>3993817</v>
      </c>
      <c r="AW113" s="77">
        <f t="shared" si="286"/>
        <v>21040</v>
      </c>
      <c r="AX113" s="77">
        <f t="shared" si="286"/>
        <v>1357022</v>
      </c>
      <c r="AY113" s="77">
        <f t="shared" si="286"/>
        <v>79876</v>
      </c>
      <c r="AZ113" s="77">
        <f t="shared" si="286"/>
        <v>75480</v>
      </c>
      <c r="BA113" s="78">
        <f t="shared" si="286"/>
        <v>9.7842000000000002</v>
      </c>
      <c r="BB113" s="78">
        <f t="shared" si="286"/>
        <v>6</v>
      </c>
      <c r="BC113" s="79">
        <f t="shared" si="286"/>
        <v>3.7842000000000002</v>
      </c>
    </row>
    <row r="114" spans="1:55" ht="14.1" customHeight="1" x14ac:dyDescent="0.2">
      <c r="A114" s="68">
        <v>28</v>
      </c>
      <c r="B114" s="65">
        <v>2425</v>
      </c>
      <c r="C114" s="66">
        <v>600079333</v>
      </c>
      <c r="D114" s="65">
        <v>72741864</v>
      </c>
      <c r="E114" s="67" t="s">
        <v>619</v>
      </c>
      <c r="F114" s="68">
        <v>3111</v>
      </c>
      <c r="G114" s="67" t="s">
        <v>311</v>
      </c>
      <c r="H114" s="69" t="s">
        <v>277</v>
      </c>
      <c r="I114" s="477">
        <v>3533684</v>
      </c>
      <c r="J114" s="643">
        <v>2571490</v>
      </c>
      <c r="K114" s="643">
        <v>0</v>
      </c>
      <c r="L114" s="472">
        <v>869165</v>
      </c>
      <c r="M114" s="472">
        <v>51429</v>
      </c>
      <c r="N114" s="472">
        <v>41600</v>
      </c>
      <c r="O114" s="473">
        <v>5.4897999999999998</v>
      </c>
      <c r="P114" s="473">
        <v>4</v>
      </c>
      <c r="Q114" s="483">
        <v>1.4898</v>
      </c>
      <c r="R114" s="485">
        <f t="shared" ref="R114:R115" si="287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 t="shared" ref="X114:X115" si="288">SUM(R114:W114)</f>
        <v>0</v>
      </c>
      <c r="Y114" s="475">
        <v>0</v>
      </c>
      <c r="Z114" s="475">
        <v>0</v>
      </c>
      <c r="AA114" s="475">
        <v>0</v>
      </c>
      <c r="AB114" s="475">
        <f t="shared" ref="AB114:AB115" si="289">SUM(Y114:AA114)</f>
        <v>0</v>
      </c>
      <c r="AC114" s="475">
        <f t="shared" ref="AC114:AC115" si="290">X114+AB114</f>
        <v>0</v>
      </c>
      <c r="AD114" s="70">
        <f t="shared" ref="AD114:AD115" si="291">ROUND((X114+Y114+Z114)*33.8%,0)</f>
        <v>0</v>
      </c>
      <c r="AE114" s="70">
        <f t="shared" ref="AE114:AE115" si="292">ROUND(X114*2%,0)</f>
        <v>0</v>
      </c>
      <c r="AF114" s="475">
        <v>0</v>
      </c>
      <c r="AG114" s="475">
        <v>0</v>
      </c>
      <c r="AH114" s="475">
        <f t="shared" ref="AH114:AH115" si="293">SUM(AF114:AG114)</f>
        <v>0</v>
      </c>
      <c r="AI114" s="475">
        <f t="shared" ref="AI114:AI115" si="294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 t="shared" si="188"/>
        <v>0</v>
      </c>
      <c r="AS114" s="476">
        <f t="shared" si="189"/>
        <v>0</v>
      </c>
      <c r="AT114" s="478">
        <f t="shared" si="190"/>
        <v>0</v>
      </c>
      <c r="AU114" s="484">
        <f>I114+AI114</f>
        <v>3533684</v>
      </c>
      <c r="AV114" s="475">
        <f>J114+X114</f>
        <v>2571490</v>
      </c>
      <c r="AW114" s="475">
        <f>K114+AB114</f>
        <v>0</v>
      </c>
      <c r="AX114" s="475">
        <f>L114+AD114</f>
        <v>869165</v>
      </c>
      <c r="AY114" s="475">
        <f>M114+AE114</f>
        <v>51429</v>
      </c>
      <c r="AZ114" s="475">
        <f>N114+AH114</f>
        <v>41600</v>
      </c>
      <c r="BA114" s="476">
        <f>O114+AT114</f>
        <v>5.4897999999999998</v>
      </c>
      <c r="BB114" s="476">
        <f>P114+AR114</f>
        <v>4</v>
      </c>
      <c r="BC114" s="478">
        <f>Q114+AS114</f>
        <v>1.4898</v>
      </c>
    </row>
    <row r="115" spans="1:55" ht="14.1" customHeight="1" x14ac:dyDescent="0.2">
      <c r="A115" s="68">
        <v>28</v>
      </c>
      <c r="B115" s="65">
        <v>2425</v>
      </c>
      <c r="C115" s="66">
        <v>600079333</v>
      </c>
      <c r="D115" s="65">
        <v>72741864</v>
      </c>
      <c r="E115" s="67" t="s">
        <v>619</v>
      </c>
      <c r="F115" s="68">
        <v>3141</v>
      </c>
      <c r="G115" s="67" t="s">
        <v>315</v>
      </c>
      <c r="H115" s="69" t="s">
        <v>278</v>
      </c>
      <c r="I115" s="477">
        <v>668757</v>
      </c>
      <c r="J115" s="472">
        <v>490407</v>
      </c>
      <c r="K115" s="472">
        <v>0</v>
      </c>
      <c r="L115" s="472">
        <v>165758</v>
      </c>
      <c r="M115" s="472">
        <v>9808</v>
      </c>
      <c r="N115" s="472">
        <v>2784</v>
      </c>
      <c r="O115" s="473">
        <v>1.54</v>
      </c>
      <c r="P115" s="474">
        <v>0</v>
      </c>
      <c r="Q115" s="483">
        <v>1.54</v>
      </c>
      <c r="R115" s="485">
        <f t="shared" si="287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288"/>
        <v>0</v>
      </c>
      <c r="Y115" s="475">
        <v>0</v>
      </c>
      <c r="Z115" s="475">
        <v>0</v>
      </c>
      <c r="AA115" s="475">
        <v>0</v>
      </c>
      <c r="AB115" s="475">
        <f t="shared" si="289"/>
        <v>0</v>
      </c>
      <c r="AC115" s="475">
        <f t="shared" si="290"/>
        <v>0</v>
      </c>
      <c r="AD115" s="70">
        <f t="shared" si="291"/>
        <v>0</v>
      </c>
      <c r="AE115" s="70">
        <f t="shared" si="292"/>
        <v>0</v>
      </c>
      <c r="AF115" s="475">
        <v>0</v>
      </c>
      <c r="AG115" s="475">
        <v>0</v>
      </c>
      <c r="AH115" s="475">
        <f t="shared" si="293"/>
        <v>0</v>
      </c>
      <c r="AI115" s="475">
        <f t="shared" si="294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 t="shared" si="188"/>
        <v>0</v>
      </c>
      <c r="AS115" s="476">
        <f t="shared" si="189"/>
        <v>0</v>
      </c>
      <c r="AT115" s="478">
        <f t="shared" si="190"/>
        <v>0</v>
      </c>
      <c r="AU115" s="484">
        <f>I115+AI115</f>
        <v>668757</v>
      </c>
      <c r="AV115" s="475">
        <f>J115+X115</f>
        <v>490407</v>
      </c>
      <c r="AW115" s="475">
        <f>K115+AB115</f>
        <v>0</v>
      </c>
      <c r="AX115" s="475">
        <f>L115+AD115</f>
        <v>165758</v>
      </c>
      <c r="AY115" s="475">
        <f>M115+AE115</f>
        <v>9808</v>
      </c>
      <c r="AZ115" s="475">
        <f>N115+AH115</f>
        <v>2784</v>
      </c>
      <c r="BA115" s="476">
        <f>O115+AT115</f>
        <v>1.54</v>
      </c>
      <c r="BB115" s="476">
        <f>P115+AR115</f>
        <v>0</v>
      </c>
      <c r="BC115" s="478">
        <f>Q115+AS115</f>
        <v>1.54</v>
      </c>
    </row>
    <row r="116" spans="1:55" ht="14.1" customHeight="1" x14ac:dyDescent="0.2">
      <c r="A116" s="74">
        <v>28</v>
      </c>
      <c r="B116" s="71">
        <v>2425</v>
      </c>
      <c r="C116" s="72">
        <v>600079333</v>
      </c>
      <c r="D116" s="71">
        <v>72741864</v>
      </c>
      <c r="E116" s="73" t="s">
        <v>620</v>
      </c>
      <c r="F116" s="74"/>
      <c r="G116" s="73"/>
      <c r="H116" s="75"/>
      <c r="I116" s="76">
        <v>4202441</v>
      </c>
      <c r="J116" s="77">
        <v>3061897</v>
      </c>
      <c r="K116" s="77">
        <v>0</v>
      </c>
      <c r="L116" s="77">
        <v>1034923</v>
      </c>
      <c r="M116" s="77">
        <v>61237</v>
      </c>
      <c r="N116" s="77">
        <v>44384</v>
      </c>
      <c r="O116" s="78">
        <v>7.0297999999999998</v>
      </c>
      <c r="P116" s="78">
        <v>4</v>
      </c>
      <c r="Q116" s="718">
        <v>3.0297999999999998</v>
      </c>
      <c r="R116" s="76">
        <f t="shared" ref="R116:BC116" si="295">SUM(R114:R115)</f>
        <v>0</v>
      </c>
      <c r="S116" s="77">
        <f t="shared" si="295"/>
        <v>0</v>
      </c>
      <c r="T116" s="77">
        <f t="shared" si="295"/>
        <v>0</v>
      </c>
      <c r="U116" s="77">
        <f t="shared" si="295"/>
        <v>0</v>
      </c>
      <c r="V116" s="77">
        <f t="shared" si="295"/>
        <v>0</v>
      </c>
      <c r="W116" s="77">
        <f t="shared" si="295"/>
        <v>0</v>
      </c>
      <c r="X116" s="77">
        <f t="shared" si="295"/>
        <v>0</v>
      </c>
      <c r="Y116" s="77">
        <f t="shared" si="295"/>
        <v>0</v>
      </c>
      <c r="Z116" s="77">
        <f t="shared" si="295"/>
        <v>0</v>
      </c>
      <c r="AA116" s="77">
        <f t="shared" si="295"/>
        <v>0</v>
      </c>
      <c r="AB116" s="77">
        <f t="shared" si="295"/>
        <v>0</v>
      </c>
      <c r="AC116" s="77">
        <f t="shared" si="295"/>
        <v>0</v>
      </c>
      <c r="AD116" s="77">
        <f t="shared" si="295"/>
        <v>0</v>
      </c>
      <c r="AE116" s="77">
        <f t="shared" si="295"/>
        <v>0</v>
      </c>
      <c r="AF116" s="77">
        <f t="shared" si="295"/>
        <v>0</v>
      </c>
      <c r="AG116" s="77">
        <f t="shared" si="295"/>
        <v>0</v>
      </c>
      <c r="AH116" s="77">
        <f t="shared" si="295"/>
        <v>0</v>
      </c>
      <c r="AI116" s="77">
        <f t="shared" si="295"/>
        <v>0</v>
      </c>
      <c r="AJ116" s="78">
        <f t="shared" si="295"/>
        <v>0</v>
      </c>
      <c r="AK116" s="78">
        <f t="shared" si="295"/>
        <v>0</v>
      </c>
      <c r="AL116" s="78">
        <f t="shared" si="295"/>
        <v>0</v>
      </c>
      <c r="AM116" s="78">
        <f t="shared" si="295"/>
        <v>0</v>
      </c>
      <c r="AN116" s="78">
        <f t="shared" si="295"/>
        <v>0</v>
      </c>
      <c r="AO116" s="78">
        <f t="shared" si="295"/>
        <v>0</v>
      </c>
      <c r="AP116" s="78">
        <f t="shared" si="295"/>
        <v>0</v>
      </c>
      <c r="AQ116" s="78">
        <f t="shared" si="295"/>
        <v>0</v>
      </c>
      <c r="AR116" s="78">
        <f t="shared" si="295"/>
        <v>0</v>
      </c>
      <c r="AS116" s="78">
        <f t="shared" si="295"/>
        <v>0</v>
      </c>
      <c r="AT116" s="79">
        <f t="shared" si="295"/>
        <v>0</v>
      </c>
      <c r="AU116" s="433">
        <f t="shared" si="295"/>
        <v>4202441</v>
      </c>
      <c r="AV116" s="77">
        <f t="shared" si="295"/>
        <v>3061897</v>
      </c>
      <c r="AW116" s="77">
        <f t="shared" si="295"/>
        <v>0</v>
      </c>
      <c r="AX116" s="77">
        <f t="shared" si="295"/>
        <v>1034923</v>
      </c>
      <c r="AY116" s="77">
        <f t="shared" si="295"/>
        <v>61237</v>
      </c>
      <c r="AZ116" s="77">
        <f t="shared" si="295"/>
        <v>44384</v>
      </c>
      <c r="BA116" s="78">
        <f t="shared" si="295"/>
        <v>7.0297999999999998</v>
      </c>
      <c r="BB116" s="78">
        <f t="shared" si="295"/>
        <v>4</v>
      </c>
      <c r="BC116" s="79">
        <f t="shared" si="295"/>
        <v>3.0297999999999998</v>
      </c>
    </row>
    <row r="117" spans="1:55" ht="14.1" customHeight="1" x14ac:dyDescent="0.2">
      <c r="A117" s="68">
        <v>29</v>
      </c>
      <c r="B117" s="65">
        <v>2433</v>
      </c>
      <c r="C117" s="66">
        <v>600079643</v>
      </c>
      <c r="D117" s="65">
        <v>66113334</v>
      </c>
      <c r="E117" s="67" t="s">
        <v>621</v>
      </c>
      <c r="F117" s="68">
        <v>3111</v>
      </c>
      <c r="G117" s="67" t="s">
        <v>311</v>
      </c>
      <c r="H117" s="69" t="s">
        <v>277</v>
      </c>
      <c r="I117" s="477">
        <v>6741178</v>
      </c>
      <c r="J117" s="643">
        <v>4912755</v>
      </c>
      <c r="K117" s="643">
        <v>26500</v>
      </c>
      <c r="L117" s="472">
        <v>1669468</v>
      </c>
      <c r="M117" s="472">
        <v>98255</v>
      </c>
      <c r="N117" s="472">
        <v>34200</v>
      </c>
      <c r="O117" s="473">
        <v>11.119699999999998</v>
      </c>
      <c r="P117" s="473">
        <v>8.4514999999999993</v>
      </c>
      <c r="Q117" s="483">
        <v>2.6681999999999997</v>
      </c>
      <c r="R117" s="485">
        <f t="shared" ref="R117:R119" si="296">Y117*-1</f>
        <v>0</v>
      </c>
      <c r="S117" s="475">
        <v>0</v>
      </c>
      <c r="T117" s="475">
        <v>0</v>
      </c>
      <c r="U117" s="475">
        <v>0</v>
      </c>
      <c r="V117" s="475">
        <v>-101620</v>
      </c>
      <c r="W117" s="475">
        <v>0</v>
      </c>
      <c r="X117" s="475">
        <f t="shared" ref="X117:X119" si="297">SUM(R117:W117)</f>
        <v>-101620</v>
      </c>
      <c r="Y117" s="475">
        <v>0</v>
      </c>
      <c r="Z117" s="475">
        <v>0</v>
      </c>
      <c r="AA117" s="475">
        <v>0</v>
      </c>
      <c r="AB117" s="475">
        <f t="shared" ref="AB117:AB119" si="298">SUM(Y117:AA117)</f>
        <v>0</v>
      </c>
      <c r="AC117" s="475">
        <f t="shared" ref="AC117:AC119" si="299">X117+AB117</f>
        <v>-101620</v>
      </c>
      <c r="AD117" s="70">
        <f t="shared" ref="AD117:AD119" si="300">ROUND((X117+Y117+Z117)*33.8%,0)</f>
        <v>-34348</v>
      </c>
      <c r="AE117" s="70">
        <f t="shared" ref="AE117:AE119" si="301">ROUND(X117*2%,0)</f>
        <v>-2032</v>
      </c>
      <c r="AF117" s="475">
        <v>0</v>
      </c>
      <c r="AG117" s="475">
        <v>138000</v>
      </c>
      <c r="AH117" s="475">
        <f t="shared" ref="AH117:AH119" si="302">SUM(AF117:AG117)</f>
        <v>138000</v>
      </c>
      <c r="AI117" s="475">
        <f t="shared" ref="AI117:AI119" si="303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si="188"/>
        <v>0</v>
      </c>
      <c r="AS117" s="476">
        <f t="shared" si="189"/>
        <v>0</v>
      </c>
      <c r="AT117" s="478">
        <f t="shared" si="190"/>
        <v>0</v>
      </c>
      <c r="AU117" s="484">
        <f>I117+AI117</f>
        <v>6741178</v>
      </c>
      <c r="AV117" s="475">
        <f>J117+X117</f>
        <v>4811135</v>
      </c>
      <c r="AW117" s="475">
        <f>K117+AB117</f>
        <v>26500</v>
      </c>
      <c r="AX117" s="475">
        <f t="shared" ref="AX117:AY119" si="304">L117+AD117</f>
        <v>1635120</v>
      </c>
      <c r="AY117" s="475">
        <f t="shared" si="304"/>
        <v>96223</v>
      </c>
      <c r="AZ117" s="475">
        <f>N117+AH117</f>
        <v>172200</v>
      </c>
      <c r="BA117" s="476">
        <f>O117+AT117</f>
        <v>11.119699999999998</v>
      </c>
      <c r="BB117" s="476">
        <f t="shared" ref="BB117:BC119" si="305">P117+AR117</f>
        <v>8.4514999999999993</v>
      </c>
      <c r="BC117" s="478">
        <f t="shared" si="305"/>
        <v>2.6681999999999997</v>
      </c>
    </row>
    <row r="118" spans="1:55" ht="14.1" customHeight="1" x14ac:dyDescent="0.2">
      <c r="A118" s="68">
        <v>29</v>
      </c>
      <c r="B118" s="65">
        <v>2433</v>
      </c>
      <c r="C118" s="66">
        <v>600079643</v>
      </c>
      <c r="D118" s="65">
        <v>66113334</v>
      </c>
      <c r="E118" s="67" t="s">
        <v>621</v>
      </c>
      <c r="F118" s="68">
        <v>3111</v>
      </c>
      <c r="G118" s="67" t="s">
        <v>312</v>
      </c>
      <c r="H118" s="69" t="s">
        <v>278</v>
      </c>
      <c r="I118" s="477">
        <v>1055936</v>
      </c>
      <c r="J118" s="472">
        <v>777567</v>
      </c>
      <c r="K118" s="472">
        <v>0</v>
      </c>
      <c r="L118" s="472">
        <v>262817</v>
      </c>
      <c r="M118" s="472">
        <v>15552</v>
      </c>
      <c r="N118" s="472">
        <v>0</v>
      </c>
      <c r="O118" s="473">
        <v>2.33</v>
      </c>
      <c r="P118" s="474">
        <v>2.33</v>
      </c>
      <c r="Q118" s="483">
        <v>0</v>
      </c>
      <c r="R118" s="485">
        <f t="shared" si="296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97"/>
        <v>0</v>
      </c>
      <c r="Y118" s="475">
        <v>0</v>
      </c>
      <c r="Z118" s="475">
        <v>0</v>
      </c>
      <c r="AA118" s="475">
        <v>0</v>
      </c>
      <c r="AB118" s="475">
        <f t="shared" si="298"/>
        <v>0</v>
      </c>
      <c r="AC118" s="475">
        <f t="shared" si="299"/>
        <v>0</v>
      </c>
      <c r="AD118" s="70">
        <f t="shared" si="300"/>
        <v>0</v>
      </c>
      <c r="AE118" s="70">
        <f t="shared" si="301"/>
        <v>0</v>
      </c>
      <c r="AF118" s="475">
        <v>0</v>
      </c>
      <c r="AG118" s="475">
        <v>0</v>
      </c>
      <c r="AH118" s="475">
        <f t="shared" si="302"/>
        <v>0</v>
      </c>
      <c r="AI118" s="475">
        <f t="shared" si="303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 t="shared" si="188"/>
        <v>0</v>
      </c>
      <c r="AS118" s="476">
        <f t="shared" si="189"/>
        <v>0</v>
      </c>
      <c r="AT118" s="478">
        <f t="shared" si="190"/>
        <v>0</v>
      </c>
      <c r="AU118" s="484">
        <f>I118+AI118</f>
        <v>1055936</v>
      </c>
      <c r="AV118" s="475">
        <f>J118+X118</f>
        <v>777567</v>
      </c>
      <c r="AW118" s="475">
        <f>K118+AB118</f>
        <v>0</v>
      </c>
      <c r="AX118" s="475">
        <f t="shared" si="304"/>
        <v>262817</v>
      </c>
      <c r="AY118" s="475">
        <f t="shared" si="304"/>
        <v>15552</v>
      </c>
      <c r="AZ118" s="475">
        <f>N118+AH118</f>
        <v>0</v>
      </c>
      <c r="BA118" s="476">
        <f>O118+AT118</f>
        <v>2.33</v>
      </c>
      <c r="BB118" s="476">
        <f t="shared" si="305"/>
        <v>2.33</v>
      </c>
      <c r="BC118" s="478">
        <f t="shared" si="305"/>
        <v>0</v>
      </c>
    </row>
    <row r="119" spans="1:55" ht="14.1" customHeight="1" x14ac:dyDescent="0.2">
      <c r="A119" s="68">
        <v>29</v>
      </c>
      <c r="B119" s="65">
        <v>2433</v>
      </c>
      <c r="C119" s="66">
        <v>600079643</v>
      </c>
      <c r="D119" s="65">
        <v>66113334</v>
      </c>
      <c r="E119" s="67" t="s">
        <v>621</v>
      </c>
      <c r="F119" s="68">
        <v>3141</v>
      </c>
      <c r="G119" s="67" t="s">
        <v>315</v>
      </c>
      <c r="H119" s="69" t="s">
        <v>278</v>
      </c>
      <c r="I119" s="477">
        <v>921157</v>
      </c>
      <c r="J119" s="472">
        <v>675030</v>
      </c>
      <c r="K119" s="472">
        <v>0</v>
      </c>
      <c r="L119" s="472">
        <v>228160</v>
      </c>
      <c r="M119" s="472">
        <v>13501</v>
      </c>
      <c r="N119" s="472">
        <v>4466</v>
      </c>
      <c r="O119" s="473">
        <v>2.13</v>
      </c>
      <c r="P119" s="474">
        <v>0</v>
      </c>
      <c r="Q119" s="483">
        <v>2.13</v>
      </c>
      <c r="R119" s="485">
        <f t="shared" si="296"/>
        <v>0</v>
      </c>
      <c r="S119" s="475">
        <v>0</v>
      </c>
      <c r="T119" s="755">
        <v>-1989</v>
      </c>
      <c r="U119" s="475">
        <v>0</v>
      </c>
      <c r="V119" s="475">
        <v>0</v>
      </c>
      <c r="W119" s="475">
        <v>0</v>
      </c>
      <c r="X119" s="475">
        <f t="shared" si="297"/>
        <v>-1989</v>
      </c>
      <c r="Y119" s="475">
        <v>0</v>
      </c>
      <c r="Z119" s="475">
        <v>0</v>
      </c>
      <c r="AA119" s="475">
        <v>0</v>
      </c>
      <c r="AB119" s="475">
        <f t="shared" si="298"/>
        <v>0</v>
      </c>
      <c r="AC119" s="475">
        <f t="shared" si="299"/>
        <v>-1989</v>
      </c>
      <c r="AD119" s="70">
        <f t="shared" si="300"/>
        <v>-672</v>
      </c>
      <c r="AE119" s="70">
        <f t="shared" si="301"/>
        <v>-40</v>
      </c>
      <c r="AF119" s="475">
        <v>0</v>
      </c>
      <c r="AG119" s="475">
        <v>0</v>
      </c>
      <c r="AH119" s="475">
        <f t="shared" si="302"/>
        <v>0</v>
      </c>
      <c r="AI119" s="475">
        <f t="shared" si="303"/>
        <v>-2701</v>
      </c>
      <c r="AJ119" s="476">
        <v>0</v>
      </c>
      <c r="AK119" s="476">
        <v>0</v>
      </c>
      <c r="AL119" s="476">
        <v>0</v>
      </c>
      <c r="AM119" s="476">
        <v>0</v>
      </c>
      <c r="AN119" s="756">
        <v>-1.0000000000000009E-2</v>
      </c>
      <c r="AO119" s="476">
        <v>0</v>
      </c>
      <c r="AP119" s="476">
        <v>0</v>
      </c>
      <c r="AQ119" s="476">
        <v>0</v>
      </c>
      <c r="AR119" s="476">
        <f t="shared" si="188"/>
        <v>0</v>
      </c>
      <c r="AS119" s="476">
        <f t="shared" si="189"/>
        <v>-1.0000000000000009E-2</v>
      </c>
      <c r="AT119" s="478">
        <f t="shared" si="190"/>
        <v>-1.0000000000000009E-2</v>
      </c>
      <c r="AU119" s="484">
        <f>I119+AI119</f>
        <v>918456</v>
      </c>
      <c r="AV119" s="475">
        <f>J119+X119</f>
        <v>673041</v>
      </c>
      <c r="AW119" s="475">
        <f>K119+AB119</f>
        <v>0</v>
      </c>
      <c r="AX119" s="475">
        <f t="shared" si="304"/>
        <v>227488</v>
      </c>
      <c r="AY119" s="475">
        <f t="shared" si="304"/>
        <v>13461</v>
      </c>
      <c r="AZ119" s="475">
        <f>N119+AH119</f>
        <v>4466</v>
      </c>
      <c r="BA119" s="476">
        <f>O119+AT119</f>
        <v>2.12</v>
      </c>
      <c r="BB119" s="476">
        <f t="shared" si="305"/>
        <v>0</v>
      </c>
      <c r="BC119" s="478">
        <f t="shared" si="305"/>
        <v>2.12</v>
      </c>
    </row>
    <row r="120" spans="1:55" ht="14.1" customHeight="1" x14ac:dyDescent="0.2">
      <c r="A120" s="74">
        <v>29</v>
      </c>
      <c r="B120" s="71">
        <v>2433</v>
      </c>
      <c r="C120" s="72">
        <v>600079643</v>
      </c>
      <c r="D120" s="71">
        <v>66113334</v>
      </c>
      <c r="E120" s="73" t="s">
        <v>622</v>
      </c>
      <c r="F120" s="74"/>
      <c r="G120" s="73"/>
      <c r="H120" s="75"/>
      <c r="I120" s="76">
        <v>8718271</v>
      </c>
      <c r="J120" s="77">
        <v>6365352</v>
      </c>
      <c r="K120" s="77">
        <v>26500</v>
      </c>
      <c r="L120" s="77">
        <v>2160445</v>
      </c>
      <c r="M120" s="77">
        <v>127308</v>
      </c>
      <c r="N120" s="77">
        <v>38666</v>
      </c>
      <c r="O120" s="78">
        <v>15.579699999999999</v>
      </c>
      <c r="P120" s="78">
        <v>10.781499999999999</v>
      </c>
      <c r="Q120" s="718">
        <v>4.7981999999999996</v>
      </c>
      <c r="R120" s="76">
        <f t="shared" ref="R120:BC120" si="306">SUM(R117:R119)</f>
        <v>0</v>
      </c>
      <c r="S120" s="77">
        <f t="shared" si="306"/>
        <v>0</v>
      </c>
      <c r="T120" s="77">
        <f t="shared" si="306"/>
        <v>-1989</v>
      </c>
      <c r="U120" s="77">
        <f t="shared" si="306"/>
        <v>0</v>
      </c>
      <c r="V120" s="77">
        <f t="shared" si="306"/>
        <v>-101620</v>
      </c>
      <c r="W120" s="77">
        <f t="shared" si="306"/>
        <v>0</v>
      </c>
      <c r="X120" s="77">
        <f t="shared" si="306"/>
        <v>-103609</v>
      </c>
      <c r="Y120" s="77">
        <f t="shared" si="306"/>
        <v>0</v>
      </c>
      <c r="Z120" s="77">
        <f t="shared" si="306"/>
        <v>0</v>
      </c>
      <c r="AA120" s="77">
        <f t="shared" si="306"/>
        <v>0</v>
      </c>
      <c r="AB120" s="77">
        <f t="shared" si="306"/>
        <v>0</v>
      </c>
      <c r="AC120" s="77">
        <f t="shared" si="306"/>
        <v>-103609</v>
      </c>
      <c r="AD120" s="77">
        <f t="shared" si="306"/>
        <v>-35020</v>
      </c>
      <c r="AE120" s="77">
        <f t="shared" si="306"/>
        <v>-2072</v>
      </c>
      <c r="AF120" s="77">
        <f t="shared" si="306"/>
        <v>0</v>
      </c>
      <c r="AG120" s="77">
        <f t="shared" si="306"/>
        <v>138000</v>
      </c>
      <c r="AH120" s="77">
        <f t="shared" si="306"/>
        <v>138000</v>
      </c>
      <c r="AI120" s="77">
        <f t="shared" si="306"/>
        <v>-2701</v>
      </c>
      <c r="AJ120" s="78">
        <f t="shared" si="306"/>
        <v>0</v>
      </c>
      <c r="AK120" s="78">
        <f t="shared" si="306"/>
        <v>0</v>
      </c>
      <c r="AL120" s="78">
        <f t="shared" si="306"/>
        <v>0</v>
      </c>
      <c r="AM120" s="78">
        <f t="shared" si="306"/>
        <v>0</v>
      </c>
      <c r="AN120" s="78">
        <f t="shared" si="306"/>
        <v>-1.0000000000000009E-2</v>
      </c>
      <c r="AO120" s="78">
        <f t="shared" si="306"/>
        <v>0</v>
      </c>
      <c r="AP120" s="78">
        <f t="shared" si="306"/>
        <v>0</v>
      </c>
      <c r="AQ120" s="78">
        <f t="shared" si="306"/>
        <v>0</v>
      </c>
      <c r="AR120" s="78">
        <f t="shared" si="306"/>
        <v>0</v>
      </c>
      <c r="AS120" s="78">
        <f t="shared" si="306"/>
        <v>-1.0000000000000009E-2</v>
      </c>
      <c r="AT120" s="79">
        <f t="shared" si="306"/>
        <v>-1.0000000000000009E-2</v>
      </c>
      <c r="AU120" s="433">
        <f t="shared" si="306"/>
        <v>8715570</v>
      </c>
      <c r="AV120" s="77">
        <f t="shared" si="306"/>
        <v>6261743</v>
      </c>
      <c r="AW120" s="77">
        <f t="shared" si="306"/>
        <v>26500</v>
      </c>
      <c r="AX120" s="77">
        <f t="shared" si="306"/>
        <v>2125425</v>
      </c>
      <c r="AY120" s="77">
        <f t="shared" si="306"/>
        <v>125236</v>
      </c>
      <c r="AZ120" s="77">
        <f t="shared" si="306"/>
        <v>176666</v>
      </c>
      <c r="BA120" s="78">
        <f t="shared" si="306"/>
        <v>15.569699999999997</v>
      </c>
      <c r="BB120" s="78">
        <f t="shared" si="306"/>
        <v>10.781499999999999</v>
      </c>
      <c r="BC120" s="79">
        <f t="shared" si="306"/>
        <v>4.7881999999999998</v>
      </c>
    </row>
    <row r="121" spans="1:55" ht="14.1" customHeight="1" x14ac:dyDescent="0.2">
      <c r="A121" s="68">
        <v>30</v>
      </c>
      <c r="B121" s="65">
        <v>2435</v>
      </c>
      <c r="C121" s="66">
        <v>600079341</v>
      </c>
      <c r="D121" s="65">
        <v>72743069</v>
      </c>
      <c r="E121" s="67" t="s">
        <v>623</v>
      </c>
      <c r="F121" s="68">
        <v>3111</v>
      </c>
      <c r="G121" s="67" t="s">
        <v>311</v>
      </c>
      <c r="H121" s="69" t="s">
        <v>277</v>
      </c>
      <c r="I121" s="477">
        <v>7082499</v>
      </c>
      <c r="J121" s="643">
        <v>5145891</v>
      </c>
      <c r="K121" s="643">
        <v>35672</v>
      </c>
      <c r="L121" s="472">
        <v>1751368</v>
      </c>
      <c r="M121" s="472">
        <v>102918</v>
      </c>
      <c r="N121" s="472">
        <v>46650</v>
      </c>
      <c r="O121" s="473">
        <v>11.213199999999999</v>
      </c>
      <c r="P121" s="473">
        <v>8.2579999999999991</v>
      </c>
      <c r="Q121" s="483">
        <v>2.9552</v>
      </c>
      <c r="R121" s="485">
        <f t="shared" ref="R121:R124" si="307">Y121*-1</f>
        <v>0</v>
      </c>
      <c r="S121" s="475">
        <v>0</v>
      </c>
      <c r="T121" s="475">
        <v>0</v>
      </c>
      <c r="U121" s="475">
        <v>0</v>
      </c>
      <c r="V121" s="475">
        <v>-36819</v>
      </c>
      <c r="W121" s="475">
        <v>0</v>
      </c>
      <c r="X121" s="475">
        <f t="shared" ref="X121:X124" si="308">SUM(R121:W121)</f>
        <v>-36819</v>
      </c>
      <c r="Y121" s="475">
        <v>0</v>
      </c>
      <c r="Z121" s="475">
        <v>0</v>
      </c>
      <c r="AA121" s="475">
        <v>0</v>
      </c>
      <c r="AB121" s="475">
        <f t="shared" ref="AB121:AB124" si="309">SUM(Y121:AA121)</f>
        <v>0</v>
      </c>
      <c r="AC121" s="475">
        <f t="shared" ref="AC121:AC124" si="310">X121+AB121</f>
        <v>-36819</v>
      </c>
      <c r="AD121" s="70">
        <f t="shared" ref="AD121:AD124" si="311">ROUND((X121+Y121+Z121)*33.8%,0)</f>
        <v>-12445</v>
      </c>
      <c r="AE121" s="70">
        <f t="shared" ref="AE121:AE124" si="312">ROUND(X121*2%,0)</f>
        <v>-736</v>
      </c>
      <c r="AF121" s="475">
        <v>0</v>
      </c>
      <c r="AG121" s="475">
        <v>50000</v>
      </c>
      <c r="AH121" s="475">
        <f t="shared" ref="AH121:AH124" si="313">SUM(AF121:AG121)</f>
        <v>50000</v>
      </c>
      <c r="AI121" s="475">
        <f t="shared" ref="AI121:AI124" si="314">AC121+AD121+AE121+AH121</f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 t="shared" si="188"/>
        <v>0</v>
      </c>
      <c r="AS121" s="476">
        <f t="shared" si="189"/>
        <v>0</v>
      </c>
      <c r="AT121" s="478">
        <f t="shared" si="190"/>
        <v>0</v>
      </c>
      <c r="AU121" s="484">
        <f>I121+AI121</f>
        <v>7082499</v>
      </c>
      <c r="AV121" s="475">
        <f>J121+X121</f>
        <v>5109072</v>
      </c>
      <c r="AW121" s="475">
        <f>K121+AB121</f>
        <v>35672</v>
      </c>
      <c r="AX121" s="475">
        <f t="shared" ref="AX121:AY124" si="315">L121+AD121</f>
        <v>1738923</v>
      </c>
      <c r="AY121" s="475">
        <f t="shared" si="315"/>
        <v>102182</v>
      </c>
      <c r="AZ121" s="475">
        <f>N121+AH121</f>
        <v>96650</v>
      </c>
      <c r="BA121" s="476">
        <f>O121+AT121</f>
        <v>11.213199999999999</v>
      </c>
      <c r="BB121" s="476">
        <f t="shared" ref="BB121:BC124" si="316">P121+AR121</f>
        <v>8.2579999999999991</v>
      </c>
      <c r="BC121" s="478">
        <f t="shared" si="316"/>
        <v>2.9552</v>
      </c>
    </row>
    <row r="122" spans="1:55" ht="14.1" customHeight="1" x14ac:dyDescent="0.2">
      <c r="A122" s="68">
        <v>30</v>
      </c>
      <c r="B122" s="65">
        <v>2435</v>
      </c>
      <c r="C122" s="66">
        <v>600079341</v>
      </c>
      <c r="D122" s="65">
        <v>72743069</v>
      </c>
      <c r="E122" s="67" t="s">
        <v>623</v>
      </c>
      <c r="F122" s="68">
        <v>3111</v>
      </c>
      <c r="G122" s="44" t="s">
        <v>313</v>
      </c>
      <c r="H122" s="69" t="s">
        <v>277</v>
      </c>
      <c r="I122" s="477">
        <v>490005</v>
      </c>
      <c r="J122" s="472">
        <v>360828</v>
      </c>
      <c r="K122" s="472">
        <v>0</v>
      </c>
      <c r="L122" s="472">
        <v>121960</v>
      </c>
      <c r="M122" s="472">
        <v>7217</v>
      </c>
      <c r="N122" s="472">
        <v>0</v>
      </c>
      <c r="O122" s="473">
        <v>1</v>
      </c>
      <c r="P122" s="473">
        <v>1</v>
      </c>
      <c r="Q122" s="483">
        <v>0</v>
      </c>
      <c r="R122" s="485">
        <f t="shared" si="307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308"/>
        <v>0</v>
      </c>
      <c r="Y122" s="475">
        <v>0</v>
      </c>
      <c r="Z122" s="475">
        <v>0</v>
      </c>
      <c r="AA122" s="475">
        <v>0</v>
      </c>
      <c r="AB122" s="475">
        <f t="shared" si="309"/>
        <v>0</v>
      </c>
      <c r="AC122" s="475">
        <f t="shared" si="310"/>
        <v>0</v>
      </c>
      <c r="AD122" s="70">
        <f t="shared" si="311"/>
        <v>0</v>
      </c>
      <c r="AE122" s="70">
        <f t="shared" si="312"/>
        <v>0</v>
      </c>
      <c r="AF122" s="475">
        <v>0</v>
      </c>
      <c r="AG122" s="475">
        <v>0</v>
      </c>
      <c r="AH122" s="475">
        <f t="shared" si="313"/>
        <v>0</v>
      </c>
      <c r="AI122" s="475">
        <f t="shared" si="314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 t="shared" si="188"/>
        <v>0</v>
      </c>
      <c r="AS122" s="476">
        <f t="shared" si="189"/>
        <v>0</v>
      </c>
      <c r="AT122" s="478">
        <f t="shared" si="190"/>
        <v>0</v>
      </c>
      <c r="AU122" s="484">
        <f>I122+AI122</f>
        <v>490005</v>
      </c>
      <c r="AV122" s="475">
        <f>J122+X122</f>
        <v>360828</v>
      </c>
      <c r="AW122" s="475">
        <f>K122+AB122</f>
        <v>0</v>
      </c>
      <c r="AX122" s="475">
        <f t="shared" si="315"/>
        <v>121960</v>
      </c>
      <c r="AY122" s="475">
        <f t="shared" si="315"/>
        <v>7217</v>
      </c>
      <c r="AZ122" s="475">
        <f>N122+AH122</f>
        <v>0</v>
      </c>
      <c r="BA122" s="476">
        <f>O122+AT122</f>
        <v>1</v>
      </c>
      <c r="BB122" s="476">
        <f t="shared" si="316"/>
        <v>1</v>
      </c>
      <c r="BC122" s="478">
        <f t="shared" si="316"/>
        <v>0</v>
      </c>
    </row>
    <row r="123" spans="1:55" ht="14.1" customHeight="1" x14ac:dyDescent="0.2">
      <c r="A123" s="68">
        <v>30</v>
      </c>
      <c r="B123" s="65">
        <v>2435</v>
      </c>
      <c r="C123" s="66">
        <v>600079341</v>
      </c>
      <c r="D123" s="65">
        <v>72743069</v>
      </c>
      <c r="E123" s="67" t="s">
        <v>623</v>
      </c>
      <c r="F123" s="68">
        <v>3111</v>
      </c>
      <c r="G123" s="44" t="s">
        <v>312</v>
      </c>
      <c r="H123" s="69" t="s">
        <v>278</v>
      </c>
      <c r="I123" s="477">
        <v>470470</v>
      </c>
      <c r="J123" s="472">
        <v>346443</v>
      </c>
      <c r="K123" s="472">
        <v>0</v>
      </c>
      <c r="L123" s="472">
        <v>117098</v>
      </c>
      <c r="M123" s="472">
        <v>6929</v>
      </c>
      <c r="N123" s="472">
        <v>0</v>
      </c>
      <c r="O123" s="473">
        <v>1</v>
      </c>
      <c r="P123" s="474">
        <v>1</v>
      </c>
      <c r="Q123" s="483">
        <v>0</v>
      </c>
      <c r="R123" s="485">
        <f t="shared" si="307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308"/>
        <v>0</v>
      </c>
      <c r="Y123" s="475">
        <v>0</v>
      </c>
      <c r="Z123" s="475">
        <v>0</v>
      </c>
      <c r="AA123" s="475">
        <v>0</v>
      </c>
      <c r="AB123" s="475">
        <f t="shared" si="309"/>
        <v>0</v>
      </c>
      <c r="AC123" s="475">
        <f t="shared" si="310"/>
        <v>0</v>
      </c>
      <c r="AD123" s="70">
        <f t="shared" si="311"/>
        <v>0</v>
      </c>
      <c r="AE123" s="70">
        <f t="shared" si="312"/>
        <v>0</v>
      </c>
      <c r="AF123" s="475">
        <v>0</v>
      </c>
      <c r="AG123" s="475">
        <v>0</v>
      </c>
      <c r="AH123" s="475">
        <f t="shared" si="313"/>
        <v>0</v>
      </c>
      <c r="AI123" s="475">
        <f t="shared" si="314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 t="shared" si="188"/>
        <v>0</v>
      </c>
      <c r="AS123" s="476">
        <f t="shared" si="189"/>
        <v>0</v>
      </c>
      <c r="AT123" s="478">
        <f t="shared" si="190"/>
        <v>0</v>
      </c>
      <c r="AU123" s="484">
        <f>I123+AI123</f>
        <v>470470</v>
      </c>
      <c r="AV123" s="475">
        <f>J123+X123</f>
        <v>346443</v>
      </c>
      <c r="AW123" s="475">
        <f>K123+AB123</f>
        <v>0</v>
      </c>
      <c r="AX123" s="475">
        <f t="shared" si="315"/>
        <v>117098</v>
      </c>
      <c r="AY123" s="475">
        <f t="shared" si="315"/>
        <v>6929</v>
      </c>
      <c r="AZ123" s="475">
        <f>N123+AH123</f>
        <v>0</v>
      </c>
      <c r="BA123" s="476">
        <f>O123+AT123</f>
        <v>1</v>
      </c>
      <c r="BB123" s="476">
        <f t="shared" si="316"/>
        <v>1</v>
      </c>
      <c r="BC123" s="478">
        <f t="shared" si="316"/>
        <v>0</v>
      </c>
    </row>
    <row r="124" spans="1:55" ht="14.1" customHeight="1" x14ac:dyDescent="0.2">
      <c r="A124" s="68">
        <v>30</v>
      </c>
      <c r="B124" s="65">
        <v>2435</v>
      </c>
      <c r="C124" s="66">
        <v>600079341</v>
      </c>
      <c r="D124" s="65">
        <v>72743069</v>
      </c>
      <c r="E124" s="67" t="s">
        <v>623</v>
      </c>
      <c r="F124" s="68">
        <v>3141</v>
      </c>
      <c r="G124" s="67" t="s">
        <v>315</v>
      </c>
      <c r="H124" s="69" t="s">
        <v>278</v>
      </c>
      <c r="I124" s="477">
        <v>985813</v>
      </c>
      <c r="J124" s="472">
        <v>722300</v>
      </c>
      <c r="K124" s="472">
        <v>0</v>
      </c>
      <c r="L124" s="472">
        <v>244137</v>
      </c>
      <c r="M124" s="472">
        <v>14446</v>
      </c>
      <c r="N124" s="472">
        <v>4930</v>
      </c>
      <c r="O124" s="473">
        <v>2.27</v>
      </c>
      <c r="P124" s="474">
        <v>0</v>
      </c>
      <c r="Q124" s="483">
        <v>2.27</v>
      </c>
      <c r="R124" s="485">
        <f t="shared" si="307"/>
        <v>0</v>
      </c>
      <c r="S124" s="475">
        <v>0</v>
      </c>
      <c r="T124" s="755">
        <v>-11794</v>
      </c>
      <c r="U124" s="475">
        <v>0</v>
      </c>
      <c r="V124" s="475">
        <v>0</v>
      </c>
      <c r="W124" s="475">
        <v>0</v>
      </c>
      <c r="X124" s="475">
        <f t="shared" si="308"/>
        <v>-11794</v>
      </c>
      <c r="Y124" s="475">
        <v>0</v>
      </c>
      <c r="Z124" s="475">
        <v>0</v>
      </c>
      <c r="AA124" s="475">
        <v>0</v>
      </c>
      <c r="AB124" s="475">
        <f t="shared" si="309"/>
        <v>0</v>
      </c>
      <c r="AC124" s="475">
        <f t="shared" si="310"/>
        <v>-11794</v>
      </c>
      <c r="AD124" s="70">
        <f t="shared" si="311"/>
        <v>-3986</v>
      </c>
      <c r="AE124" s="70">
        <f t="shared" si="312"/>
        <v>-236</v>
      </c>
      <c r="AF124" s="475">
        <v>0</v>
      </c>
      <c r="AG124" s="475">
        <v>0</v>
      </c>
      <c r="AH124" s="475">
        <f t="shared" si="313"/>
        <v>0</v>
      </c>
      <c r="AI124" s="475">
        <f t="shared" si="314"/>
        <v>-16016</v>
      </c>
      <c r="AJ124" s="476">
        <v>0</v>
      </c>
      <c r="AK124" s="476">
        <v>0</v>
      </c>
      <c r="AL124" s="476">
        <v>0</v>
      </c>
      <c r="AM124" s="476">
        <v>0</v>
      </c>
      <c r="AN124" s="756">
        <v>-4.0000000000000036E-2</v>
      </c>
      <c r="AO124" s="476">
        <v>0</v>
      </c>
      <c r="AP124" s="476">
        <v>0</v>
      </c>
      <c r="AQ124" s="476">
        <v>0</v>
      </c>
      <c r="AR124" s="476">
        <f t="shared" si="188"/>
        <v>0</v>
      </c>
      <c r="AS124" s="476">
        <f t="shared" si="189"/>
        <v>-4.0000000000000036E-2</v>
      </c>
      <c r="AT124" s="478">
        <f t="shared" si="190"/>
        <v>-4.0000000000000036E-2</v>
      </c>
      <c r="AU124" s="484">
        <f>I124+AI124</f>
        <v>969797</v>
      </c>
      <c r="AV124" s="475">
        <f>J124+X124</f>
        <v>710506</v>
      </c>
      <c r="AW124" s="475">
        <f>K124+AB124</f>
        <v>0</v>
      </c>
      <c r="AX124" s="475">
        <f t="shared" si="315"/>
        <v>240151</v>
      </c>
      <c r="AY124" s="475">
        <f t="shared" si="315"/>
        <v>14210</v>
      </c>
      <c r="AZ124" s="475">
        <f>N124+AH124</f>
        <v>4930</v>
      </c>
      <c r="BA124" s="476">
        <f>O124+AT124</f>
        <v>2.23</v>
      </c>
      <c r="BB124" s="476">
        <f t="shared" si="316"/>
        <v>0</v>
      </c>
      <c r="BC124" s="478">
        <f t="shared" si="316"/>
        <v>2.23</v>
      </c>
    </row>
    <row r="125" spans="1:55" ht="14.1" customHeight="1" x14ac:dyDescent="0.2">
      <c r="A125" s="74">
        <v>30</v>
      </c>
      <c r="B125" s="71">
        <v>2435</v>
      </c>
      <c r="C125" s="72">
        <v>600079341</v>
      </c>
      <c r="D125" s="71">
        <v>72743069</v>
      </c>
      <c r="E125" s="73" t="s">
        <v>624</v>
      </c>
      <c r="F125" s="74"/>
      <c r="G125" s="73"/>
      <c r="H125" s="75"/>
      <c r="I125" s="76">
        <v>9028787</v>
      </c>
      <c r="J125" s="77">
        <v>6575462</v>
      </c>
      <c r="K125" s="77">
        <v>35672</v>
      </c>
      <c r="L125" s="77">
        <v>2234563</v>
      </c>
      <c r="M125" s="77">
        <v>131510</v>
      </c>
      <c r="N125" s="77">
        <v>51580</v>
      </c>
      <c r="O125" s="78">
        <v>15.483199999999998</v>
      </c>
      <c r="P125" s="78">
        <v>10.257999999999999</v>
      </c>
      <c r="Q125" s="718">
        <v>5.2252000000000001</v>
      </c>
      <c r="R125" s="76">
        <f t="shared" ref="R125:BC125" si="317">SUM(R121:R124)</f>
        <v>0</v>
      </c>
      <c r="S125" s="77">
        <f t="shared" si="317"/>
        <v>0</v>
      </c>
      <c r="T125" s="77">
        <f t="shared" si="317"/>
        <v>-11794</v>
      </c>
      <c r="U125" s="77">
        <f t="shared" si="317"/>
        <v>0</v>
      </c>
      <c r="V125" s="77">
        <f t="shared" si="317"/>
        <v>-36819</v>
      </c>
      <c r="W125" s="77">
        <f t="shared" si="317"/>
        <v>0</v>
      </c>
      <c r="X125" s="77">
        <f t="shared" si="317"/>
        <v>-48613</v>
      </c>
      <c r="Y125" s="77">
        <f t="shared" si="317"/>
        <v>0</v>
      </c>
      <c r="Z125" s="77">
        <f t="shared" si="317"/>
        <v>0</v>
      </c>
      <c r="AA125" s="77">
        <f t="shared" si="317"/>
        <v>0</v>
      </c>
      <c r="AB125" s="77">
        <f t="shared" si="317"/>
        <v>0</v>
      </c>
      <c r="AC125" s="77">
        <f t="shared" si="317"/>
        <v>-48613</v>
      </c>
      <c r="AD125" s="77">
        <f t="shared" si="317"/>
        <v>-16431</v>
      </c>
      <c r="AE125" s="77">
        <f t="shared" si="317"/>
        <v>-972</v>
      </c>
      <c r="AF125" s="77">
        <f t="shared" si="317"/>
        <v>0</v>
      </c>
      <c r="AG125" s="77">
        <f t="shared" si="317"/>
        <v>50000</v>
      </c>
      <c r="AH125" s="77">
        <f t="shared" si="317"/>
        <v>50000</v>
      </c>
      <c r="AI125" s="77">
        <f t="shared" si="317"/>
        <v>-16016</v>
      </c>
      <c r="AJ125" s="78">
        <f t="shared" si="317"/>
        <v>0</v>
      </c>
      <c r="AK125" s="78">
        <f t="shared" si="317"/>
        <v>0</v>
      </c>
      <c r="AL125" s="78">
        <f t="shared" si="317"/>
        <v>0</v>
      </c>
      <c r="AM125" s="78">
        <f t="shared" si="317"/>
        <v>0</v>
      </c>
      <c r="AN125" s="78">
        <f t="shared" si="317"/>
        <v>-4.0000000000000036E-2</v>
      </c>
      <c r="AO125" s="78">
        <f t="shared" si="317"/>
        <v>0</v>
      </c>
      <c r="AP125" s="78">
        <f t="shared" si="317"/>
        <v>0</v>
      </c>
      <c r="AQ125" s="78">
        <f t="shared" si="317"/>
        <v>0</v>
      </c>
      <c r="AR125" s="78">
        <f t="shared" si="317"/>
        <v>0</v>
      </c>
      <c r="AS125" s="78">
        <f t="shared" si="317"/>
        <v>-4.0000000000000036E-2</v>
      </c>
      <c r="AT125" s="79">
        <f t="shared" si="317"/>
        <v>-4.0000000000000036E-2</v>
      </c>
      <c r="AU125" s="433">
        <f t="shared" si="317"/>
        <v>9012771</v>
      </c>
      <c r="AV125" s="77">
        <f t="shared" si="317"/>
        <v>6526849</v>
      </c>
      <c r="AW125" s="77">
        <f t="shared" si="317"/>
        <v>35672</v>
      </c>
      <c r="AX125" s="77">
        <f t="shared" si="317"/>
        <v>2218132</v>
      </c>
      <c r="AY125" s="77">
        <f t="shared" si="317"/>
        <v>130538</v>
      </c>
      <c r="AZ125" s="77">
        <f t="shared" si="317"/>
        <v>101580</v>
      </c>
      <c r="BA125" s="78">
        <f t="shared" si="317"/>
        <v>15.443199999999999</v>
      </c>
      <c r="BB125" s="78">
        <f t="shared" si="317"/>
        <v>10.257999999999999</v>
      </c>
      <c r="BC125" s="79">
        <f t="shared" si="317"/>
        <v>5.1852</v>
      </c>
    </row>
    <row r="126" spans="1:55" ht="14.1" customHeight="1" x14ac:dyDescent="0.2">
      <c r="A126" s="68">
        <v>31</v>
      </c>
      <c r="B126" s="65">
        <v>2474</v>
      </c>
      <c r="C126" s="66">
        <v>600080307</v>
      </c>
      <c r="D126" s="65">
        <v>65635612</v>
      </c>
      <c r="E126" s="67" t="s">
        <v>625</v>
      </c>
      <c r="F126" s="68">
        <v>3111</v>
      </c>
      <c r="G126" s="67" t="s">
        <v>311</v>
      </c>
      <c r="H126" s="69" t="s">
        <v>277</v>
      </c>
      <c r="I126" s="477">
        <v>3577506</v>
      </c>
      <c r="J126" s="472">
        <v>2611250</v>
      </c>
      <c r="K126" s="472">
        <v>6000</v>
      </c>
      <c r="L126" s="472">
        <v>884631</v>
      </c>
      <c r="M126" s="472">
        <v>52225</v>
      </c>
      <c r="N126" s="472">
        <v>23400</v>
      </c>
      <c r="O126" s="473">
        <v>5.2218</v>
      </c>
      <c r="P126" s="473">
        <v>4.2300000000000004</v>
      </c>
      <c r="Q126" s="483">
        <v>0.99180000000000001</v>
      </c>
      <c r="R126" s="485">
        <f t="shared" ref="R126:R131" si="318">Y126*-1</f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ref="X126:X131" si="319">SUM(R126:W126)</f>
        <v>0</v>
      </c>
      <c r="Y126" s="475">
        <v>0</v>
      </c>
      <c r="Z126" s="475">
        <v>0</v>
      </c>
      <c r="AA126" s="475">
        <v>0</v>
      </c>
      <c r="AB126" s="475">
        <f t="shared" ref="AB126:AB131" si="320">SUM(Y126:AA126)</f>
        <v>0</v>
      </c>
      <c r="AC126" s="475">
        <f t="shared" ref="AC126:AC131" si="321">X126+AB126</f>
        <v>0</v>
      </c>
      <c r="AD126" s="70">
        <f t="shared" ref="AD126:AD131" si="322">ROUND((X126+Y126+Z126)*33.8%,0)</f>
        <v>0</v>
      </c>
      <c r="AE126" s="70">
        <f t="shared" ref="AE126:AE131" si="323">ROUND(X126*2%,0)</f>
        <v>0</v>
      </c>
      <c r="AF126" s="475">
        <v>0</v>
      </c>
      <c r="AG126" s="475">
        <v>0</v>
      </c>
      <c r="AH126" s="475">
        <f t="shared" ref="AH126:AH131" si="324">SUM(AF126:AG126)</f>
        <v>0</v>
      </c>
      <c r="AI126" s="475">
        <f t="shared" ref="AI126:AI131" si="325">AC126+AD126+AE126+AH126</f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 t="shared" si="188"/>
        <v>0</v>
      </c>
      <c r="AS126" s="476">
        <f t="shared" si="189"/>
        <v>0</v>
      </c>
      <c r="AT126" s="478">
        <f t="shared" si="190"/>
        <v>0</v>
      </c>
      <c r="AU126" s="484">
        <f t="shared" ref="AU126:AU131" si="326">I126+AI126</f>
        <v>3577506</v>
      </c>
      <c r="AV126" s="475">
        <f t="shared" ref="AV126:AV131" si="327">J126+X126</f>
        <v>2611250</v>
      </c>
      <c r="AW126" s="475">
        <f t="shared" ref="AW126:AW131" si="328">K126+AB126</f>
        <v>6000</v>
      </c>
      <c r="AX126" s="475">
        <f t="shared" ref="AX126:AY131" si="329">L126+AD126</f>
        <v>884631</v>
      </c>
      <c r="AY126" s="475">
        <f t="shared" si="329"/>
        <v>52225</v>
      </c>
      <c r="AZ126" s="475">
        <f t="shared" ref="AZ126:AZ131" si="330">N126+AH126</f>
        <v>23400</v>
      </c>
      <c r="BA126" s="476">
        <f t="shared" ref="BA126:BA131" si="331">O126+AT126</f>
        <v>5.2218</v>
      </c>
      <c r="BB126" s="476">
        <f t="shared" ref="BB126:BC131" si="332">P126+AR126</f>
        <v>4.2300000000000004</v>
      </c>
      <c r="BC126" s="478">
        <f t="shared" si="332"/>
        <v>0.99180000000000001</v>
      </c>
    </row>
    <row r="127" spans="1:55" ht="14.1" customHeight="1" x14ac:dyDescent="0.2">
      <c r="A127" s="68">
        <v>31</v>
      </c>
      <c r="B127" s="65">
        <v>2474</v>
      </c>
      <c r="C127" s="66">
        <v>600080307</v>
      </c>
      <c r="D127" s="65">
        <v>65635612</v>
      </c>
      <c r="E127" s="67" t="s">
        <v>625</v>
      </c>
      <c r="F127" s="68">
        <v>3113</v>
      </c>
      <c r="G127" s="67" t="s">
        <v>314</v>
      </c>
      <c r="H127" s="69" t="s">
        <v>277</v>
      </c>
      <c r="I127" s="477">
        <v>28535191</v>
      </c>
      <c r="J127" s="472">
        <v>20486397</v>
      </c>
      <c r="K127" s="472">
        <v>58000</v>
      </c>
      <c r="L127" s="472">
        <v>6944006</v>
      </c>
      <c r="M127" s="472">
        <v>409728</v>
      </c>
      <c r="N127" s="472">
        <v>637060</v>
      </c>
      <c r="O127" s="473">
        <v>36.211299999999994</v>
      </c>
      <c r="P127" s="473">
        <v>27.747</v>
      </c>
      <c r="Q127" s="483">
        <v>8.4642999999999997</v>
      </c>
      <c r="R127" s="485">
        <f t="shared" si="318"/>
        <v>0</v>
      </c>
      <c r="S127" s="475">
        <v>0</v>
      </c>
      <c r="T127" s="475">
        <v>96088</v>
      </c>
      <c r="U127" s="475">
        <v>0</v>
      </c>
      <c r="V127" s="475">
        <v>0</v>
      </c>
      <c r="W127" s="475">
        <v>0</v>
      </c>
      <c r="X127" s="475">
        <f t="shared" si="319"/>
        <v>96088</v>
      </c>
      <c r="Y127" s="475">
        <v>0</v>
      </c>
      <c r="Z127" s="475">
        <v>0</v>
      </c>
      <c r="AA127" s="475">
        <v>0</v>
      </c>
      <c r="AB127" s="475">
        <f t="shared" si="320"/>
        <v>0</v>
      </c>
      <c r="AC127" s="475">
        <f t="shared" si="321"/>
        <v>96088</v>
      </c>
      <c r="AD127" s="70">
        <f t="shared" si="322"/>
        <v>32478</v>
      </c>
      <c r="AE127" s="70">
        <f t="shared" si="323"/>
        <v>1922</v>
      </c>
      <c r="AF127" s="475">
        <v>0</v>
      </c>
      <c r="AG127" s="475">
        <v>0</v>
      </c>
      <c r="AH127" s="475">
        <f t="shared" si="324"/>
        <v>0</v>
      </c>
      <c r="AI127" s="475">
        <f t="shared" si="325"/>
        <v>130488</v>
      </c>
      <c r="AJ127" s="476">
        <v>0</v>
      </c>
      <c r="AK127" s="476">
        <v>0</v>
      </c>
      <c r="AL127" s="476">
        <v>0</v>
      </c>
      <c r="AM127" s="476">
        <v>0.15</v>
      </c>
      <c r="AN127" s="476">
        <v>0</v>
      </c>
      <c r="AO127" s="476">
        <v>0</v>
      </c>
      <c r="AP127" s="476">
        <v>0</v>
      </c>
      <c r="AQ127" s="476">
        <v>0</v>
      </c>
      <c r="AR127" s="476">
        <f t="shared" si="188"/>
        <v>0.15</v>
      </c>
      <c r="AS127" s="476">
        <f t="shared" si="189"/>
        <v>0</v>
      </c>
      <c r="AT127" s="478">
        <f t="shared" si="190"/>
        <v>0.15</v>
      </c>
      <c r="AU127" s="484">
        <f t="shared" si="326"/>
        <v>28665679</v>
      </c>
      <c r="AV127" s="475">
        <f t="shared" si="327"/>
        <v>20582485</v>
      </c>
      <c r="AW127" s="475">
        <f t="shared" si="328"/>
        <v>58000</v>
      </c>
      <c r="AX127" s="475">
        <f t="shared" si="329"/>
        <v>6976484</v>
      </c>
      <c r="AY127" s="475">
        <f t="shared" si="329"/>
        <v>411650</v>
      </c>
      <c r="AZ127" s="475">
        <f t="shared" si="330"/>
        <v>637060</v>
      </c>
      <c r="BA127" s="476">
        <f t="shared" si="331"/>
        <v>36.361299999999993</v>
      </c>
      <c r="BB127" s="476">
        <f t="shared" si="332"/>
        <v>27.896999999999998</v>
      </c>
      <c r="BC127" s="478">
        <f t="shared" si="332"/>
        <v>8.4642999999999997</v>
      </c>
    </row>
    <row r="128" spans="1:55" ht="14.1" customHeight="1" x14ac:dyDescent="0.2">
      <c r="A128" s="68">
        <v>31</v>
      </c>
      <c r="B128" s="65">
        <v>2474</v>
      </c>
      <c r="C128" s="66">
        <v>600080307</v>
      </c>
      <c r="D128" s="65">
        <v>65635612</v>
      </c>
      <c r="E128" s="67" t="s">
        <v>625</v>
      </c>
      <c r="F128" s="68">
        <v>3113</v>
      </c>
      <c r="G128" s="80" t="s">
        <v>312</v>
      </c>
      <c r="H128" s="69" t="s">
        <v>278</v>
      </c>
      <c r="I128" s="477">
        <v>1459977</v>
      </c>
      <c r="J128" s="472">
        <v>1071412</v>
      </c>
      <c r="K128" s="472">
        <v>0</v>
      </c>
      <c r="L128" s="472">
        <v>362137</v>
      </c>
      <c r="M128" s="472">
        <v>21428</v>
      </c>
      <c r="N128" s="472">
        <v>5000</v>
      </c>
      <c r="O128" s="473">
        <v>3.0999999999999996</v>
      </c>
      <c r="P128" s="474">
        <v>3.0999999999999996</v>
      </c>
      <c r="Q128" s="483">
        <v>0</v>
      </c>
      <c r="R128" s="485">
        <f t="shared" si="318"/>
        <v>0</v>
      </c>
      <c r="S128" s="475">
        <v>250211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319"/>
        <v>250211</v>
      </c>
      <c r="Y128" s="475">
        <v>0</v>
      </c>
      <c r="Z128" s="475">
        <v>0</v>
      </c>
      <c r="AA128" s="475">
        <v>0</v>
      </c>
      <c r="AB128" s="475">
        <f t="shared" si="320"/>
        <v>0</v>
      </c>
      <c r="AC128" s="475">
        <f t="shared" si="321"/>
        <v>250211</v>
      </c>
      <c r="AD128" s="70">
        <f t="shared" si="322"/>
        <v>84571</v>
      </c>
      <c r="AE128" s="70">
        <f t="shared" si="323"/>
        <v>5004</v>
      </c>
      <c r="AF128" s="475">
        <v>0</v>
      </c>
      <c r="AG128" s="475">
        <v>0</v>
      </c>
      <c r="AH128" s="475">
        <f t="shared" si="324"/>
        <v>0</v>
      </c>
      <c r="AI128" s="475">
        <f t="shared" si="325"/>
        <v>339786</v>
      </c>
      <c r="AJ128" s="476">
        <v>0</v>
      </c>
      <c r="AK128" s="476">
        <v>0</v>
      </c>
      <c r="AL128" s="476">
        <v>0.73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 t="shared" si="188"/>
        <v>0.73</v>
      </c>
      <c r="AS128" s="476">
        <f t="shared" si="189"/>
        <v>0</v>
      </c>
      <c r="AT128" s="478">
        <f t="shared" si="190"/>
        <v>0.73</v>
      </c>
      <c r="AU128" s="484">
        <f t="shared" si="326"/>
        <v>1799763</v>
      </c>
      <c r="AV128" s="475">
        <f t="shared" si="327"/>
        <v>1321623</v>
      </c>
      <c r="AW128" s="475">
        <f t="shared" si="328"/>
        <v>0</v>
      </c>
      <c r="AX128" s="475">
        <f t="shared" si="329"/>
        <v>446708</v>
      </c>
      <c r="AY128" s="475">
        <f t="shared" si="329"/>
        <v>26432</v>
      </c>
      <c r="AZ128" s="475">
        <f t="shared" si="330"/>
        <v>5000</v>
      </c>
      <c r="BA128" s="476">
        <f t="shared" si="331"/>
        <v>3.8299999999999996</v>
      </c>
      <c r="BB128" s="476">
        <f t="shared" si="332"/>
        <v>3.8299999999999996</v>
      </c>
      <c r="BC128" s="478">
        <f t="shared" si="332"/>
        <v>0</v>
      </c>
    </row>
    <row r="129" spans="1:55" ht="14.1" customHeight="1" x14ac:dyDescent="0.2">
      <c r="A129" s="68">
        <v>31</v>
      </c>
      <c r="B129" s="65">
        <v>2474</v>
      </c>
      <c r="C129" s="66">
        <v>600080307</v>
      </c>
      <c r="D129" s="65">
        <v>65635612</v>
      </c>
      <c r="E129" s="67" t="s">
        <v>625</v>
      </c>
      <c r="F129" s="68">
        <v>3141</v>
      </c>
      <c r="G129" s="67" t="s">
        <v>315</v>
      </c>
      <c r="H129" s="69" t="s">
        <v>278</v>
      </c>
      <c r="I129" s="477">
        <v>283314</v>
      </c>
      <c r="J129" s="472">
        <v>207171</v>
      </c>
      <c r="K129" s="472">
        <v>0</v>
      </c>
      <c r="L129" s="472">
        <v>70024</v>
      </c>
      <c r="M129" s="472">
        <v>4143</v>
      </c>
      <c r="N129" s="472">
        <v>1976</v>
      </c>
      <c r="O129" s="473">
        <v>0.65</v>
      </c>
      <c r="P129" s="474">
        <v>0</v>
      </c>
      <c r="Q129" s="483">
        <v>0.65</v>
      </c>
      <c r="R129" s="485">
        <f t="shared" si="318"/>
        <v>0</v>
      </c>
      <c r="S129" s="475">
        <v>0</v>
      </c>
      <c r="T129" s="755">
        <v>-5553</v>
      </c>
      <c r="U129" s="475">
        <v>0</v>
      </c>
      <c r="V129" s="475">
        <v>0</v>
      </c>
      <c r="W129" s="475">
        <v>0</v>
      </c>
      <c r="X129" s="475">
        <f t="shared" si="319"/>
        <v>-5553</v>
      </c>
      <c r="Y129" s="475">
        <v>0</v>
      </c>
      <c r="Z129" s="475">
        <v>0</v>
      </c>
      <c r="AA129" s="475">
        <v>0</v>
      </c>
      <c r="AB129" s="475">
        <f t="shared" si="320"/>
        <v>0</v>
      </c>
      <c r="AC129" s="475">
        <f t="shared" si="321"/>
        <v>-5553</v>
      </c>
      <c r="AD129" s="70">
        <f t="shared" si="322"/>
        <v>-1877</v>
      </c>
      <c r="AE129" s="70">
        <f t="shared" si="323"/>
        <v>-111</v>
      </c>
      <c r="AF129" s="475">
        <v>0</v>
      </c>
      <c r="AG129" s="475">
        <v>0</v>
      </c>
      <c r="AH129" s="475">
        <f t="shared" si="324"/>
        <v>0</v>
      </c>
      <c r="AI129" s="475">
        <f t="shared" si="325"/>
        <v>-7541</v>
      </c>
      <c r="AJ129" s="476">
        <v>0</v>
      </c>
      <c r="AK129" s="476">
        <v>0</v>
      </c>
      <c r="AL129" s="476">
        <v>0</v>
      </c>
      <c r="AM129" s="476">
        <v>0</v>
      </c>
      <c r="AN129" s="756">
        <v>-1.999999999999999E-2</v>
      </c>
      <c r="AO129" s="476">
        <v>0</v>
      </c>
      <c r="AP129" s="476">
        <v>0</v>
      </c>
      <c r="AQ129" s="476">
        <v>0</v>
      </c>
      <c r="AR129" s="476">
        <f t="shared" si="188"/>
        <v>0</v>
      </c>
      <c r="AS129" s="476">
        <f t="shared" si="189"/>
        <v>-1.999999999999999E-2</v>
      </c>
      <c r="AT129" s="478">
        <f t="shared" si="190"/>
        <v>-1.999999999999999E-2</v>
      </c>
      <c r="AU129" s="484">
        <f t="shared" si="326"/>
        <v>275773</v>
      </c>
      <c r="AV129" s="475">
        <f t="shared" si="327"/>
        <v>201618</v>
      </c>
      <c r="AW129" s="475">
        <f t="shared" si="328"/>
        <v>0</v>
      </c>
      <c r="AX129" s="475">
        <f t="shared" si="329"/>
        <v>68147</v>
      </c>
      <c r="AY129" s="475">
        <f t="shared" si="329"/>
        <v>4032</v>
      </c>
      <c r="AZ129" s="475">
        <f t="shared" si="330"/>
        <v>1976</v>
      </c>
      <c r="BA129" s="476">
        <f t="shared" si="331"/>
        <v>0.63</v>
      </c>
      <c r="BB129" s="476">
        <f t="shared" si="332"/>
        <v>0</v>
      </c>
      <c r="BC129" s="478">
        <f t="shared" si="332"/>
        <v>0.63</v>
      </c>
    </row>
    <row r="130" spans="1:55" ht="14.1" customHeight="1" x14ac:dyDescent="0.2">
      <c r="A130" s="68">
        <v>31</v>
      </c>
      <c r="B130" s="65">
        <v>2474</v>
      </c>
      <c r="C130" s="66">
        <v>600080307</v>
      </c>
      <c r="D130" s="65">
        <v>65635612</v>
      </c>
      <c r="E130" s="67" t="s">
        <v>625</v>
      </c>
      <c r="F130" s="68">
        <v>3143</v>
      </c>
      <c r="G130" s="80" t="s">
        <v>626</v>
      </c>
      <c r="H130" s="69" t="s">
        <v>277</v>
      </c>
      <c r="I130" s="477">
        <v>2275762</v>
      </c>
      <c r="J130" s="472">
        <v>1672863</v>
      </c>
      <c r="K130" s="472">
        <v>3000</v>
      </c>
      <c r="L130" s="472">
        <v>566442</v>
      </c>
      <c r="M130" s="472">
        <v>33457</v>
      </c>
      <c r="N130" s="472">
        <v>0</v>
      </c>
      <c r="O130" s="473">
        <v>3.544</v>
      </c>
      <c r="P130" s="473">
        <v>3.544</v>
      </c>
      <c r="Q130" s="483">
        <v>0</v>
      </c>
      <c r="R130" s="485">
        <f t="shared" si="318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319"/>
        <v>0</v>
      </c>
      <c r="Y130" s="475">
        <v>0</v>
      </c>
      <c r="Z130" s="475">
        <v>0</v>
      </c>
      <c r="AA130" s="475">
        <v>0</v>
      </c>
      <c r="AB130" s="475">
        <f t="shared" si="320"/>
        <v>0</v>
      </c>
      <c r="AC130" s="475">
        <f t="shared" si="321"/>
        <v>0</v>
      </c>
      <c r="AD130" s="70">
        <f t="shared" si="322"/>
        <v>0</v>
      </c>
      <c r="AE130" s="70">
        <f t="shared" si="323"/>
        <v>0</v>
      </c>
      <c r="AF130" s="475">
        <v>0</v>
      </c>
      <c r="AG130" s="475">
        <v>0</v>
      </c>
      <c r="AH130" s="475">
        <f t="shared" si="324"/>
        <v>0</v>
      </c>
      <c r="AI130" s="475">
        <f t="shared" si="325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 t="shared" si="188"/>
        <v>0</v>
      </c>
      <c r="AS130" s="476">
        <f t="shared" si="189"/>
        <v>0</v>
      </c>
      <c r="AT130" s="478">
        <f t="shared" si="190"/>
        <v>0</v>
      </c>
      <c r="AU130" s="484">
        <f t="shared" si="326"/>
        <v>2275762</v>
      </c>
      <c r="AV130" s="475">
        <f t="shared" si="327"/>
        <v>1672863</v>
      </c>
      <c r="AW130" s="475">
        <f t="shared" si="328"/>
        <v>3000</v>
      </c>
      <c r="AX130" s="475">
        <f t="shared" si="329"/>
        <v>566442</v>
      </c>
      <c r="AY130" s="475">
        <f t="shared" si="329"/>
        <v>33457</v>
      </c>
      <c r="AZ130" s="475">
        <f t="shared" si="330"/>
        <v>0</v>
      </c>
      <c r="BA130" s="476">
        <f t="shared" si="331"/>
        <v>3.544</v>
      </c>
      <c r="BB130" s="476">
        <f t="shared" si="332"/>
        <v>3.544</v>
      </c>
      <c r="BC130" s="478">
        <f t="shared" si="332"/>
        <v>0</v>
      </c>
    </row>
    <row r="131" spans="1:55" ht="14.1" customHeight="1" x14ac:dyDescent="0.2">
      <c r="A131" s="68">
        <v>31</v>
      </c>
      <c r="B131" s="65">
        <v>2474</v>
      </c>
      <c r="C131" s="66">
        <v>600080307</v>
      </c>
      <c r="D131" s="65">
        <v>65635612</v>
      </c>
      <c r="E131" s="67" t="s">
        <v>625</v>
      </c>
      <c r="F131" s="68">
        <v>3143</v>
      </c>
      <c r="G131" s="80" t="s">
        <v>627</v>
      </c>
      <c r="H131" s="69" t="s">
        <v>278</v>
      </c>
      <c r="I131" s="477">
        <v>86940</v>
      </c>
      <c r="J131" s="472">
        <v>61480</v>
      </c>
      <c r="K131" s="472">
        <v>0</v>
      </c>
      <c r="L131" s="472">
        <v>20780</v>
      </c>
      <c r="M131" s="472">
        <v>1230</v>
      </c>
      <c r="N131" s="472">
        <v>3450</v>
      </c>
      <c r="O131" s="473">
        <v>0.24</v>
      </c>
      <c r="P131" s="474">
        <v>0</v>
      </c>
      <c r="Q131" s="483">
        <v>0.24</v>
      </c>
      <c r="R131" s="485">
        <f t="shared" si="318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319"/>
        <v>0</v>
      </c>
      <c r="Y131" s="475">
        <v>0</v>
      </c>
      <c r="Z131" s="475">
        <v>0</v>
      </c>
      <c r="AA131" s="475">
        <v>0</v>
      </c>
      <c r="AB131" s="475">
        <f t="shared" si="320"/>
        <v>0</v>
      </c>
      <c r="AC131" s="475">
        <f t="shared" si="321"/>
        <v>0</v>
      </c>
      <c r="AD131" s="70">
        <f t="shared" si="322"/>
        <v>0</v>
      </c>
      <c r="AE131" s="70">
        <f t="shared" si="323"/>
        <v>0</v>
      </c>
      <c r="AF131" s="475">
        <v>0</v>
      </c>
      <c r="AG131" s="475">
        <v>0</v>
      </c>
      <c r="AH131" s="475">
        <f t="shared" si="324"/>
        <v>0</v>
      </c>
      <c r="AI131" s="475">
        <f t="shared" si="325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 t="shared" si="188"/>
        <v>0</v>
      </c>
      <c r="AS131" s="476">
        <f t="shared" si="189"/>
        <v>0</v>
      </c>
      <c r="AT131" s="478">
        <f t="shared" si="190"/>
        <v>0</v>
      </c>
      <c r="AU131" s="484">
        <f t="shared" si="326"/>
        <v>86940</v>
      </c>
      <c r="AV131" s="475">
        <f t="shared" si="327"/>
        <v>61480</v>
      </c>
      <c r="AW131" s="475">
        <f t="shared" si="328"/>
        <v>0</v>
      </c>
      <c r="AX131" s="475">
        <f t="shared" si="329"/>
        <v>20780</v>
      </c>
      <c r="AY131" s="475">
        <f t="shared" si="329"/>
        <v>1230</v>
      </c>
      <c r="AZ131" s="475">
        <f t="shared" si="330"/>
        <v>3450</v>
      </c>
      <c r="BA131" s="476">
        <f t="shared" si="331"/>
        <v>0.24</v>
      </c>
      <c r="BB131" s="476">
        <f t="shared" si="332"/>
        <v>0</v>
      </c>
      <c r="BC131" s="478">
        <f t="shared" si="332"/>
        <v>0.24</v>
      </c>
    </row>
    <row r="132" spans="1:55" ht="14.1" customHeight="1" x14ac:dyDescent="0.2">
      <c r="A132" s="74">
        <v>31</v>
      </c>
      <c r="B132" s="71">
        <v>2474</v>
      </c>
      <c r="C132" s="72">
        <v>600080307</v>
      </c>
      <c r="D132" s="71">
        <v>65635612</v>
      </c>
      <c r="E132" s="73" t="s">
        <v>628</v>
      </c>
      <c r="F132" s="74"/>
      <c r="G132" s="73"/>
      <c r="H132" s="75"/>
      <c r="I132" s="76">
        <v>36218690</v>
      </c>
      <c r="J132" s="77">
        <v>26110573</v>
      </c>
      <c r="K132" s="77">
        <v>67000</v>
      </c>
      <c r="L132" s="77">
        <v>8848020</v>
      </c>
      <c r="M132" s="77">
        <v>522211</v>
      </c>
      <c r="N132" s="77">
        <v>670886</v>
      </c>
      <c r="O132" s="78">
        <v>48.967099999999995</v>
      </c>
      <c r="P132" s="78">
        <v>38.620999999999995</v>
      </c>
      <c r="Q132" s="718">
        <v>10.3461</v>
      </c>
      <c r="R132" s="76">
        <f t="shared" ref="R132:BC132" si="333">SUM(R126:R131)</f>
        <v>0</v>
      </c>
      <c r="S132" s="77">
        <f t="shared" si="333"/>
        <v>250211</v>
      </c>
      <c r="T132" s="77">
        <f t="shared" si="333"/>
        <v>90535</v>
      </c>
      <c r="U132" s="77">
        <f t="shared" si="333"/>
        <v>0</v>
      </c>
      <c r="V132" s="77">
        <f t="shared" si="333"/>
        <v>0</v>
      </c>
      <c r="W132" s="77">
        <f t="shared" si="333"/>
        <v>0</v>
      </c>
      <c r="X132" s="77">
        <f t="shared" si="333"/>
        <v>340746</v>
      </c>
      <c r="Y132" s="77">
        <f t="shared" si="333"/>
        <v>0</v>
      </c>
      <c r="Z132" s="77">
        <f t="shared" si="333"/>
        <v>0</v>
      </c>
      <c r="AA132" s="77">
        <f t="shared" si="333"/>
        <v>0</v>
      </c>
      <c r="AB132" s="77">
        <f t="shared" si="333"/>
        <v>0</v>
      </c>
      <c r="AC132" s="77">
        <f t="shared" si="333"/>
        <v>340746</v>
      </c>
      <c r="AD132" s="77">
        <f t="shared" si="333"/>
        <v>115172</v>
      </c>
      <c r="AE132" s="77">
        <f t="shared" si="333"/>
        <v>6815</v>
      </c>
      <c r="AF132" s="77">
        <f t="shared" si="333"/>
        <v>0</v>
      </c>
      <c r="AG132" s="77">
        <f t="shared" si="333"/>
        <v>0</v>
      </c>
      <c r="AH132" s="77">
        <f t="shared" si="333"/>
        <v>0</v>
      </c>
      <c r="AI132" s="77">
        <f t="shared" si="333"/>
        <v>462733</v>
      </c>
      <c r="AJ132" s="78">
        <f t="shared" si="333"/>
        <v>0</v>
      </c>
      <c r="AK132" s="78">
        <f t="shared" si="333"/>
        <v>0</v>
      </c>
      <c r="AL132" s="78">
        <f t="shared" si="333"/>
        <v>0.73</v>
      </c>
      <c r="AM132" s="78">
        <f t="shared" si="333"/>
        <v>0.15</v>
      </c>
      <c r="AN132" s="78">
        <f t="shared" si="333"/>
        <v>-1.999999999999999E-2</v>
      </c>
      <c r="AO132" s="78">
        <f t="shared" si="333"/>
        <v>0</v>
      </c>
      <c r="AP132" s="78">
        <f t="shared" si="333"/>
        <v>0</v>
      </c>
      <c r="AQ132" s="78">
        <f t="shared" si="333"/>
        <v>0</v>
      </c>
      <c r="AR132" s="78">
        <f t="shared" si="333"/>
        <v>0.88</v>
      </c>
      <c r="AS132" s="78">
        <f t="shared" si="333"/>
        <v>-1.999999999999999E-2</v>
      </c>
      <c r="AT132" s="79">
        <f t="shared" si="333"/>
        <v>0.86</v>
      </c>
      <c r="AU132" s="433">
        <f t="shared" si="333"/>
        <v>36681423</v>
      </c>
      <c r="AV132" s="77">
        <f t="shared" si="333"/>
        <v>26451319</v>
      </c>
      <c r="AW132" s="77">
        <f t="shared" si="333"/>
        <v>67000</v>
      </c>
      <c r="AX132" s="77">
        <f t="shared" si="333"/>
        <v>8963192</v>
      </c>
      <c r="AY132" s="77">
        <f t="shared" si="333"/>
        <v>529026</v>
      </c>
      <c r="AZ132" s="77">
        <f t="shared" si="333"/>
        <v>670886</v>
      </c>
      <c r="BA132" s="78">
        <f t="shared" si="333"/>
        <v>49.827099999999994</v>
      </c>
      <c r="BB132" s="78">
        <f t="shared" si="333"/>
        <v>39.500999999999991</v>
      </c>
      <c r="BC132" s="79">
        <f t="shared" si="333"/>
        <v>10.3261</v>
      </c>
    </row>
    <row r="133" spans="1:55" ht="14.1" customHeight="1" x14ac:dyDescent="0.2">
      <c r="A133" s="68">
        <v>32</v>
      </c>
      <c r="B133" s="65">
        <v>2312</v>
      </c>
      <c r="C133" s="66">
        <v>600079899</v>
      </c>
      <c r="D133" s="65">
        <v>65642350</v>
      </c>
      <c r="E133" s="67" t="s">
        <v>629</v>
      </c>
      <c r="F133" s="68">
        <v>3113</v>
      </c>
      <c r="G133" s="67" t="s">
        <v>314</v>
      </c>
      <c r="H133" s="69" t="s">
        <v>277</v>
      </c>
      <c r="I133" s="477">
        <v>32188385</v>
      </c>
      <c r="J133" s="472">
        <v>22966469</v>
      </c>
      <c r="K133" s="472">
        <v>215000</v>
      </c>
      <c r="L133" s="472">
        <v>7835337</v>
      </c>
      <c r="M133" s="472">
        <v>459329</v>
      </c>
      <c r="N133" s="472">
        <v>712250</v>
      </c>
      <c r="O133" s="473">
        <v>39.613799999999998</v>
      </c>
      <c r="P133" s="473">
        <v>31.4344</v>
      </c>
      <c r="Q133" s="483">
        <v>8.1793999999999993</v>
      </c>
      <c r="R133" s="485">
        <f t="shared" ref="R133:R138" si="334">Y133*-1</f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ref="X133:X138" si="335">SUM(R133:W133)</f>
        <v>0</v>
      </c>
      <c r="Y133" s="475">
        <v>0</v>
      </c>
      <c r="Z133" s="475">
        <v>0</v>
      </c>
      <c r="AA133" s="475">
        <v>0</v>
      </c>
      <c r="AB133" s="475">
        <f t="shared" ref="AB133:AB138" si="336">SUM(Y133:AA133)</f>
        <v>0</v>
      </c>
      <c r="AC133" s="475">
        <f t="shared" ref="AC133:AC138" si="337">X133+AB133</f>
        <v>0</v>
      </c>
      <c r="AD133" s="70">
        <f t="shared" ref="AD133:AD138" si="338">ROUND((X133+Y133+Z133)*33.8%,0)</f>
        <v>0</v>
      </c>
      <c r="AE133" s="70">
        <f t="shared" ref="AE133:AE138" si="339">ROUND(X133*2%,0)</f>
        <v>0</v>
      </c>
      <c r="AF133" s="475">
        <v>0</v>
      </c>
      <c r="AG133" s="475">
        <v>0</v>
      </c>
      <c r="AH133" s="475">
        <f t="shared" ref="AH133:AH138" si="340">SUM(AF133:AG133)</f>
        <v>0</v>
      </c>
      <c r="AI133" s="475">
        <f t="shared" ref="AI133:AI138" si="341">AC133+AD133+AE133+AH133</f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 t="shared" si="188"/>
        <v>0</v>
      </c>
      <c r="AS133" s="476">
        <f t="shared" si="189"/>
        <v>0</v>
      </c>
      <c r="AT133" s="478">
        <f t="shared" si="190"/>
        <v>0</v>
      </c>
      <c r="AU133" s="484">
        <f t="shared" ref="AU133:AU138" si="342">I133+AI133</f>
        <v>32188385</v>
      </c>
      <c r="AV133" s="475">
        <f t="shared" ref="AV133:AV138" si="343">J133+X133</f>
        <v>22966469</v>
      </c>
      <c r="AW133" s="475">
        <f t="shared" ref="AW133:AW138" si="344">K133+AB133</f>
        <v>215000</v>
      </c>
      <c r="AX133" s="475">
        <f t="shared" ref="AX133:AY138" si="345">L133+AD133</f>
        <v>7835337</v>
      </c>
      <c r="AY133" s="475">
        <f t="shared" si="345"/>
        <v>459329</v>
      </c>
      <c r="AZ133" s="475">
        <f t="shared" ref="AZ133:AZ138" si="346">N133+AH133</f>
        <v>712250</v>
      </c>
      <c r="BA133" s="476">
        <f t="shared" ref="BA133:BA138" si="347">O133+AT133</f>
        <v>39.613799999999998</v>
      </c>
      <c r="BB133" s="476">
        <f t="shared" ref="BB133:BC138" si="348">P133+AR133</f>
        <v>31.4344</v>
      </c>
      <c r="BC133" s="478">
        <f t="shared" si="348"/>
        <v>8.1793999999999993</v>
      </c>
    </row>
    <row r="134" spans="1:55" ht="14.1" customHeight="1" x14ac:dyDescent="0.2">
      <c r="A134" s="68">
        <v>32</v>
      </c>
      <c r="B134" s="65">
        <v>2312</v>
      </c>
      <c r="C134" s="66">
        <v>600079899</v>
      </c>
      <c r="D134" s="65">
        <v>65642350</v>
      </c>
      <c r="E134" s="67" t="s">
        <v>629</v>
      </c>
      <c r="F134" s="68">
        <v>3113</v>
      </c>
      <c r="G134" s="80" t="s">
        <v>312</v>
      </c>
      <c r="H134" s="69" t="s">
        <v>278</v>
      </c>
      <c r="I134" s="477">
        <v>1898678</v>
      </c>
      <c r="J134" s="472">
        <v>1394829</v>
      </c>
      <c r="K134" s="472">
        <v>0</v>
      </c>
      <c r="L134" s="472">
        <v>471453</v>
      </c>
      <c r="M134" s="472">
        <v>27896</v>
      </c>
      <c r="N134" s="472">
        <v>4500</v>
      </c>
      <c r="O134" s="473">
        <v>3.86</v>
      </c>
      <c r="P134" s="474">
        <v>3.86</v>
      </c>
      <c r="Q134" s="483">
        <v>0</v>
      </c>
      <c r="R134" s="485">
        <f t="shared" si="334"/>
        <v>0</v>
      </c>
      <c r="S134" s="475">
        <v>5784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335"/>
        <v>5784</v>
      </c>
      <c r="Y134" s="475">
        <v>0</v>
      </c>
      <c r="Z134" s="475">
        <v>0</v>
      </c>
      <c r="AA134" s="475">
        <v>0</v>
      </c>
      <c r="AB134" s="475">
        <f t="shared" si="336"/>
        <v>0</v>
      </c>
      <c r="AC134" s="475">
        <f t="shared" si="337"/>
        <v>5784</v>
      </c>
      <c r="AD134" s="70">
        <f t="shared" si="338"/>
        <v>1955</v>
      </c>
      <c r="AE134" s="70">
        <f t="shared" si="339"/>
        <v>116</v>
      </c>
      <c r="AF134" s="475">
        <v>3500</v>
      </c>
      <c r="AG134" s="475">
        <v>0</v>
      </c>
      <c r="AH134" s="475">
        <f t="shared" si="340"/>
        <v>3500</v>
      </c>
      <c r="AI134" s="475">
        <f t="shared" si="341"/>
        <v>11355</v>
      </c>
      <c r="AJ134" s="476">
        <v>0</v>
      </c>
      <c r="AK134" s="476">
        <v>0</v>
      </c>
      <c r="AL134" s="476">
        <v>0.01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 t="shared" si="188"/>
        <v>0.01</v>
      </c>
      <c r="AS134" s="476">
        <f t="shared" si="189"/>
        <v>0</v>
      </c>
      <c r="AT134" s="478">
        <f t="shared" si="190"/>
        <v>0.01</v>
      </c>
      <c r="AU134" s="484">
        <f t="shared" si="342"/>
        <v>1910033</v>
      </c>
      <c r="AV134" s="475">
        <f t="shared" si="343"/>
        <v>1400613</v>
      </c>
      <c r="AW134" s="475">
        <f t="shared" si="344"/>
        <v>0</v>
      </c>
      <c r="AX134" s="475">
        <f t="shared" si="345"/>
        <v>473408</v>
      </c>
      <c r="AY134" s="475">
        <f t="shared" si="345"/>
        <v>28012</v>
      </c>
      <c r="AZ134" s="475">
        <f t="shared" si="346"/>
        <v>8000</v>
      </c>
      <c r="BA134" s="476">
        <f t="shared" si="347"/>
        <v>3.8699999999999997</v>
      </c>
      <c r="BB134" s="476">
        <f t="shared" si="348"/>
        <v>3.8699999999999997</v>
      </c>
      <c r="BC134" s="478">
        <f t="shared" si="348"/>
        <v>0</v>
      </c>
    </row>
    <row r="135" spans="1:55" ht="14.1" customHeight="1" x14ac:dyDescent="0.2">
      <c r="A135" s="68">
        <v>32</v>
      </c>
      <c r="B135" s="65">
        <v>2312</v>
      </c>
      <c r="C135" s="66">
        <v>600079899</v>
      </c>
      <c r="D135" s="65">
        <v>65642350</v>
      </c>
      <c r="E135" s="67" t="s">
        <v>629</v>
      </c>
      <c r="F135" s="68">
        <v>3141</v>
      </c>
      <c r="G135" s="67" t="s">
        <v>315</v>
      </c>
      <c r="H135" s="69" t="s">
        <v>278</v>
      </c>
      <c r="I135" s="477">
        <v>1405873</v>
      </c>
      <c r="J135" s="472">
        <v>1012700</v>
      </c>
      <c r="K135" s="472">
        <v>15000</v>
      </c>
      <c r="L135" s="472">
        <v>347363</v>
      </c>
      <c r="M135" s="472">
        <v>20254</v>
      </c>
      <c r="N135" s="472">
        <v>10556</v>
      </c>
      <c r="O135" s="473">
        <v>3.24</v>
      </c>
      <c r="P135" s="474">
        <v>0</v>
      </c>
      <c r="Q135" s="483">
        <v>3.24</v>
      </c>
      <c r="R135" s="485">
        <f t="shared" si="334"/>
        <v>0</v>
      </c>
      <c r="S135" s="475">
        <v>0</v>
      </c>
      <c r="T135" s="755">
        <v>76565</v>
      </c>
      <c r="U135" s="475">
        <v>0</v>
      </c>
      <c r="V135" s="475">
        <v>0</v>
      </c>
      <c r="W135" s="475">
        <v>0</v>
      </c>
      <c r="X135" s="475">
        <f t="shared" si="335"/>
        <v>76565</v>
      </c>
      <c r="Y135" s="475">
        <v>0</v>
      </c>
      <c r="Z135" s="475">
        <v>0</v>
      </c>
      <c r="AA135" s="475">
        <v>0</v>
      </c>
      <c r="AB135" s="475">
        <f t="shared" si="336"/>
        <v>0</v>
      </c>
      <c r="AC135" s="475">
        <f t="shared" si="337"/>
        <v>76565</v>
      </c>
      <c r="AD135" s="70">
        <f t="shared" si="338"/>
        <v>25879</v>
      </c>
      <c r="AE135" s="70">
        <f t="shared" si="339"/>
        <v>1531</v>
      </c>
      <c r="AF135" s="475">
        <v>0</v>
      </c>
      <c r="AG135" s="475">
        <v>0</v>
      </c>
      <c r="AH135" s="475">
        <f t="shared" si="340"/>
        <v>0</v>
      </c>
      <c r="AI135" s="475">
        <f t="shared" si="341"/>
        <v>103975</v>
      </c>
      <c r="AJ135" s="476">
        <v>0</v>
      </c>
      <c r="AK135" s="476">
        <v>0</v>
      </c>
      <c r="AL135" s="476">
        <v>0</v>
      </c>
      <c r="AM135" s="476">
        <v>0</v>
      </c>
      <c r="AN135" s="756">
        <v>0.24</v>
      </c>
      <c r="AO135" s="476">
        <v>0</v>
      </c>
      <c r="AP135" s="476">
        <v>0</v>
      </c>
      <c r="AQ135" s="476">
        <v>0</v>
      </c>
      <c r="AR135" s="476">
        <f t="shared" si="188"/>
        <v>0</v>
      </c>
      <c r="AS135" s="476">
        <f t="shared" si="189"/>
        <v>0.24</v>
      </c>
      <c r="AT135" s="478">
        <f t="shared" si="190"/>
        <v>0.24</v>
      </c>
      <c r="AU135" s="484">
        <f t="shared" si="342"/>
        <v>1509848</v>
      </c>
      <c r="AV135" s="475">
        <f t="shared" si="343"/>
        <v>1089265</v>
      </c>
      <c r="AW135" s="475">
        <f t="shared" si="344"/>
        <v>15000</v>
      </c>
      <c r="AX135" s="475">
        <f t="shared" si="345"/>
        <v>373242</v>
      </c>
      <c r="AY135" s="475">
        <f t="shared" si="345"/>
        <v>21785</v>
      </c>
      <c r="AZ135" s="475">
        <f t="shared" si="346"/>
        <v>10556</v>
      </c>
      <c r="BA135" s="476">
        <f t="shared" si="347"/>
        <v>3.4800000000000004</v>
      </c>
      <c r="BB135" s="476">
        <f t="shared" si="348"/>
        <v>0</v>
      </c>
      <c r="BC135" s="478">
        <f t="shared" si="348"/>
        <v>3.4800000000000004</v>
      </c>
    </row>
    <row r="136" spans="1:55" ht="14.1" customHeight="1" x14ac:dyDescent="0.2">
      <c r="A136" s="68">
        <v>32</v>
      </c>
      <c r="B136" s="65">
        <v>2312</v>
      </c>
      <c r="C136" s="66">
        <v>600079899</v>
      </c>
      <c r="D136" s="65">
        <v>65642350</v>
      </c>
      <c r="E136" s="67" t="s">
        <v>629</v>
      </c>
      <c r="F136" s="68">
        <v>3143</v>
      </c>
      <c r="G136" s="80" t="s">
        <v>626</v>
      </c>
      <c r="H136" s="69" t="s">
        <v>277</v>
      </c>
      <c r="I136" s="477">
        <v>3636472</v>
      </c>
      <c r="J136" s="472">
        <v>2677815</v>
      </c>
      <c r="K136" s="472">
        <v>0</v>
      </c>
      <c r="L136" s="472">
        <v>905101</v>
      </c>
      <c r="M136" s="472">
        <v>53556</v>
      </c>
      <c r="N136" s="472">
        <v>0</v>
      </c>
      <c r="O136" s="473">
        <v>5.5</v>
      </c>
      <c r="P136" s="473">
        <v>5.5</v>
      </c>
      <c r="Q136" s="483">
        <v>0</v>
      </c>
      <c r="R136" s="485">
        <f t="shared" si="334"/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335"/>
        <v>0</v>
      </c>
      <c r="Y136" s="475">
        <v>0</v>
      </c>
      <c r="Z136" s="475">
        <v>0</v>
      </c>
      <c r="AA136" s="475">
        <v>0</v>
      </c>
      <c r="AB136" s="475">
        <f t="shared" si="336"/>
        <v>0</v>
      </c>
      <c r="AC136" s="475">
        <f t="shared" si="337"/>
        <v>0</v>
      </c>
      <c r="AD136" s="70">
        <f t="shared" si="338"/>
        <v>0</v>
      </c>
      <c r="AE136" s="70">
        <f t="shared" si="339"/>
        <v>0</v>
      </c>
      <c r="AF136" s="475">
        <v>0</v>
      </c>
      <c r="AG136" s="475">
        <v>0</v>
      </c>
      <c r="AH136" s="475">
        <f t="shared" si="340"/>
        <v>0</v>
      </c>
      <c r="AI136" s="475">
        <f t="shared" si="341"/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 t="shared" si="188"/>
        <v>0</v>
      </c>
      <c r="AS136" s="476">
        <f t="shared" si="189"/>
        <v>0</v>
      </c>
      <c r="AT136" s="478">
        <f t="shared" si="190"/>
        <v>0</v>
      </c>
      <c r="AU136" s="484">
        <f t="shared" si="342"/>
        <v>3636472</v>
      </c>
      <c r="AV136" s="475">
        <f t="shared" si="343"/>
        <v>2677815</v>
      </c>
      <c r="AW136" s="475">
        <f t="shared" si="344"/>
        <v>0</v>
      </c>
      <c r="AX136" s="475">
        <f t="shared" si="345"/>
        <v>905101</v>
      </c>
      <c r="AY136" s="475">
        <f t="shared" si="345"/>
        <v>53556</v>
      </c>
      <c r="AZ136" s="475">
        <f t="shared" si="346"/>
        <v>0</v>
      </c>
      <c r="BA136" s="476">
        <f t="shared" si="347"/>
        <v>5.5</v>
      </c>
      <c r="BB136" s="476">
        <f t="shared" si="348"/>
        <v>5.5</v>
      </c>
      <c r="BC136" s="478">
        <f t="shared" si="348"/>
        <v>0</v>
      </c>
    </row>
    <row r="137" spans="1:55" ht="14.1" customHeight="1" x14ac:dyDescent="0.2">
      <c r="A137" s="68">
        <v>32</v>
      </c>
      <c r="B137" s="65">
        <v>2312</v>
      </c>
      <c r="C137" s="66">
        <v>600079899</v>
      </c>
      <c r="D137" s="65">
        <v>65642350</v>
      </c>
      <c r="E137" s="67" t="s">
        <v>629</v>
      </c>
      <c r="F137" s="68">
        <v>3143</v>
      </c>
      <c r="G137" s="80" t="s">
        <v>627</v>
      </c>
      <c r="H137" s="69" t="s">
        <v>278</v>
      </c>
      <c r="I137" s="477">
        <v>114912</v>
      </c>
      <c r="J137" s="472">
        <v>81261</v>
      </c>
      <c r="K137" s="472">
        <v>0</v>
      </c>
      <c r="L137" s="472">
        <v>27466</v>
      </c>
      <c r="M137" s="472">
        <v>1625</v>
      </c>
      <c r="N137" s="472">
        <v>4560</v>
      </c>
      <c r="O137" s="473">
        <v>0.32</v>
      </c>
      <c r="P137" s="474">
        <v>0</v>
      </c>
      <c r="Q137" s="483">
        <v>0.32</v>
      </c>
      <c r="R137" s="485">
        <f t="shared" si="334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335"/>
        <v>0</v>
      </c>
      <c r="Y137" s="475">
        <v>0</v>
      </c>
      <c r="Z137" s="475">
        <v>0</v>
      </c>
      <c r="AA137" s="475">
        <v>0</v>
      </c>
      <c r="AB137" s="475">
        <f t="shared" si="336"/>
        <v>0</v>
      </c>
      <c r="AC137" s="475">
        <f t="shared" si="337"/>
        <v>0</v>
      </c>
      <c r="AD137" s="70">
        <f t="shared" si="338"/>
        <v>0</v>
      </c>
      <c r="AE137" s="70">
        <f t="shared" si="339"/>
        <v>0</v>
      </c>
      <c r="AF137" s="475">
        <v>0</v>
      </c>
      <c r="AG137" s="475">
        <v>0</v>
      </c>
      <c r="AH137" s="475">
        <f t="shared" si="340"/>
        <v>0</v>
      </c>
      <c r="AI137" s="475">
        <f t="shared" si="341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 t="shared" si="188"/>
        <v>0</v>
      </c>
      <c r="AS137" s="476">
        <f t="shared" si="189"/>
        <v>0</v>
      </c>
      <c r="AT137" s="478">
        <f t="shared" si="190"/>
        <v>0</v>
      </c>
      <c r="AU137" s="484">
        <f t="shared" si="342"/>
        <v>114912</v>
      </c>
      <c r="AV137" s="475">
        <f t="shared" si="343"/>
        <v>81261</v>
      </c>
      <c r="AW137" s="475">
        <f t="shared" si="344"/>
        <v>0</v>
      </c>
      <c r="AX137" s="475">
        <f t="shared" si="345"/>
        <v>27466</v>
      </c>
      <c r="AY137" s="475">
        <f t="shared" si="345"/>
        <v>1625</v>
      </c>
      <c r="AZ137" s="475">
        <f t="shared" si="346"/>
        <v>4560</v>
      </c>
      <c r="BA137" s="476">
        <f t="shared" si="347"/>
        <v>0.32</v>
      </c>
      <c r="BB137" s="476">
        <f t="shared" si="348"/>
        <v>0</v>
      </c>
      <c r="BC137" s="478">
        <f t="shared" si="348"/>
        <v>0.32</v>
      </c>
    </row>
    <row r="138" spans="1:55" ht="14.1" customHeight="1" x14ac:dyDescent="0.2">
      <c r="A138" s="68">
        <v>32</v>
      </c>
      <c r="B138" s="65">
        <v>2312</v>
      </c>
      <c r="C138" s="66">
        <v>600079899</v>
      </c>
      <c r="D138" s="65">
        <v>65642350</v>
      </c>
      <c r="E138" s="67" t="s">
        <v>629</v>
      </c>
      <c r="F138" s="68">
        <v>3231</v>
      </c>
      <c r="G138" s="67" t="s">
        <v>316</v>
      </c>
      <c r="H138" s="69" t="s">
        <v>277</v>
      </c>
      <c r="I138" s="477">
        <v>15140478</v>
      </c>
      <c r="J138" s="472">
        <v>10935230</v>
      </c>
      <c r="K138" s="472">
        <v>185000</v>
      </c>
      <c r="L138" s="472">
        <v>3758638</v>
      </c>
      <c r="M138" s="472">
        <v>218705</v>
      </c>
      <c r="N138" s="472">
        <v>42905</v>
      </c>
      <c r="O138" s="473">
        <v>20.2301</v>
      </c>
      <c r="P138" s="474">
        <v>18.039200000000001</v>
      </c>
      <c r="Q138" s="483">
        <v>2.1909000000000001</v>
      </c>
      <c r="R138" s="485">
        <f t="shared" si="334"/>
        <v>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335"/>
        <v>0</v>
      </c>
      <c r="Y138" s="475">
        <v>0</v>
      </c>
      <c r="Z138" s="475">
        <v>0</v>
      </c>
      <c r="AA138" s="475">
        <v>0</v>
      </c>
      <c r="AB138" s="475">
        <f t="shared" si="336"/>
        <v>0</v>
      </c>
      <c r="AC138" s="475">
        <f t="shared" si="337"/>
        <v>0</v>
      </c>
      <c r="AD138" s="70">
        <f t="shared" si="338"/>
        <v>0</v>
      </c>
      <c r="AE138" s="70">
        <f t="shared" si="339"/>
        <v>0</v>
      </c>
      <c r="AF138" s="475">
        <v>0</v>
      </c>
      <c r="AG138" s="475">
        <v>0</v>
      </c>
      <c r="AH138" s="475">
        <f t="shared" si="340"/>
        <v>0</v>
      </c>
      <c r="AI138" s="475">
        <f t="shared" si="341"/>
        <v>0</v>
      </c>
      <c r="AJ138" s="476">
        <v>0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f t="shared" si="188"/>
        <v>0</v>
      </c>
      <c r="AS138" s="476">
        <f t="shared" si="189"/>
        <v>0</v>
      </c>
      <c r="AT138" s="478">
        <f t="shared" si="190"/>
        <v>0</v>
      </c>
      <c r="AU138" s="484">
        <f t="shared" si="342"/>
        <v>15140478</v>
      </c>
      <c r="AV138" s="475">
        <f t="shared" si="343"/>
        <v>10935230</v>
      </c>
      <c r="AW138" s="475">
        <f t="shared" si="344"/>
        <v>185000</v>
      </c>
      <c r="AX138" s="475">
        <f t="shared" si="345"/>
        <v>3758638</v>
      </c>
      <c r="AY138" s="475">
        <f t="shared" si="345"/>
        <v>218705</v>
      </c>
      <c r="AZ138" s="475">
        <f t="shared" si="346"/>
        <v>42905</v>
      </c>
      <c r="BA138" s="476">
        <f t="shared" si="347"/>
        <v>20.2301</v>
      </c>
      <c r="BB138" s="476">
        <f t="shared" si="348"/>
        <v>18.039200000000001</v>
      </c>
      <c r="BC138" s="478">
        <f t="shared" si="348"/>
        <v>2.1909000000000001</v>
      </c>
    </row>
    <row r="139" spans="1:55" ht="14.1" customHeight="1" x14ac:dyDescent="0.2">
      <c r="A139" s="74">
        <v>32</v>
      </c>
      <c r="B139" s="71">
        <v>2312</v>
      </c>
      <c r="C139" s="72">
        <v>600079899</v>
      </c>
      <c r="D139" s="71">
        <v>65642350</v>
      </c>
      <c r="E139" s="73" t="s">
        <v>630</v>
      </c>
      <c r="F139" s="74"/>
      <c r="G139" s="73"/>
      <c r="H139" s="75"/>
      <c r="I139" s="81">
        <v>54384798</v>
      </c>
      <c r="J139" s="82">
        <v>39068304</v>
      </c>
      <c r="K139" s="82">
        <v>415000</v>
      </c>
      <c r="L139" s="82">
        <v>13345358</v>
      </c>
      <c r="M139" s="82">
        <v>781365</v>
      </c>
      <c r="N139" s="82">
        <v>774771</v>
      </c>
      <c r="O139" s="83">
        <v>72.763900000000007</v>
      </c>
      <c r="P139" s="83">
        <v>58.833600000000004</v>
      </c>
      <c r="Q139" s="719">
        <v>13.930299999999999</v>
      </c>
      <c r="R139" s="81">
        <f t="shared" ref="R139:BC139" si="349">SUM(R133:R138)</f>
        <v>0</v>
      </c>
      <c r="S139" s="82">
        <f t="shared" si="349"/>
        <v>5784</v>
      </c>
      <c r="T139" s="82">
        <f t="shared" si="349"/>
        <v>76565</v>
      </c>
      <c r="U139" s="82">
        <f t="shared" si="349"/>
        <v>0</v>
      </c>
      <c r="V139" s="82">
        <f t="shared" si="349"/>
        <v>0</v>
      </c>
      <c r="W139" s="82">
        <f t="shared" si="349"/>
        <v>0</v>
      </c>
      <c r="X139" s="82">
        <f t="shared" si="349"/>
        <v>82349</v>
      </c>
      <c r="Y139" s="82">
        <f t="shared" si="349"/>
        <v>0</v>
      </c>
      <c r="Z139" s="82">
        <f t="shared" si="349"/>
        <v>0</v>
      </c>
      <c r="AA139" s="82">
        <f t="shared" si="349"/>
        <v>0</v>
      </c>
      <c r="AB139" s="82">
        <f t="shared" si="349"/>
        <v>0</v>
      </c>
      <c r="AC139" s="82">
        <f t="shared" si="349"/>
        <v>82349</v>
      </c>
      <c r="AD139" s="82">
        <f t="shared" si="349"/>
        <v>27834</v>
      </c>
      <c r="AE139" s="82">
        <f t="shared" si="349"/>
        <v>1647</v>
      </c>
      <c r="AF139" s="82">
        <f t="shared" si="349"/>
        <v>3500</v>
      </c>
      <c r="AG139" s="82">
        <f t="shared" si="349"/>
        <v>0</v>
      </c>
      <c r="AH139" s="82">
        <f t="shared" si="349"/>
        <v>3500</v>
      </c>
      <c r="AI139" s="82">
        <f t="shared" si="349"/>
        <v>115330</v>
      </c>
      <c r="AJ139" s="83">
        <f t="shared" si="349"/>
        <v>0</v>
      </c>
      <c r="AK139" s="83">
        <f t="shared" si="349"/>
        <v>0</v>
      </c>
      <c r="AL139" s="83">
        <f t="shared" si="349"/>
        <v>0.01</v>
      </c>
      <c r="AM139" s="83">
        <f t="shared" si="349"/>
        <v>0</v>
      </c>
      <c r="AN139" s="83">
        <f t="shared" si="349"/>
        <v>0.24</v>
      </c>
      <c r="AO139" s="83">
        <f t="shared" si="349"/>
        <v>0</v>
      </c>
      <c r="AP139" s="83">
        <f t="shared" si="349"/>
        <v>0</v>
      </c>
      <c r="AQ139" s="83">
        <f t="shared" si="349"/>
        <v>0</v>
      </c>
      <c r="AR139" s="83">
        <f t="shared" si="349"/>
        <v>0.01</v>
      </c>
      <c r="AS139" s="83">
        <f t="shared" si="349"/>
        <v>0.24</v>
      </c>
      <c r="AT139" s="84">
        <f t="shared" si="349"/>
        <v>0.25</v>
      </c>
      <c r="AU139" s="434">
        <f t="shared" si="349"/>
        <v>54500128</v>
      </c>
      <c r="AV139" s="82">
        <f t="shared" si="349"/>
        <v>39150653</v>
      </c>
      <c r="AW139" s="82">
        <f t="shared" si="349"/>
        <v>415000</v>
      </c>
      <c r="AX139" s="82">
        <f t="shared" si="349"/>
        <v>13373192</v>
      </c>
      <c r="AY139" s="82">
        <f t="shared" si="349"/>
        <v>783012</v>
      </c>
      <c r="AZ139" s="82">
        <f t="shared" si="349"/>
        <v>778271</v>
      </c>
      <c r="BA139" s="83">
        <f t="shared" si="349"/>
        <v>73.013899999999992</v>
      </c>
      <c r="BB139" s="83">
        <f t="shared" si="349"/>
        <v>58.843600000000002</v>
      </c>
      <c r="BC139" s="84">
        <f t="shared" si="349"/>
        <v>14.170300000000001</v>
      </c>
    </row>
    <row r="140" spans="1:55" ht="14.1" customHeight="1" x14ac:dyDescent="0.2">
      <c r="A140" s="68">
        <v>33</v>
      </c>
      <c r="B140" s="65">
        <v>2479</v>
      </c>
      <c r="C140" s="66">
        <v>600080340</v>
      </c>
      <c r="D140" s="65">
        <v>65100280</v>
      </c>
      <c r="E140" s="67" t="s">
        <v>631</v>
      </c>
      <c r="F140" s="68">
        <v>3113</v>
      </c>
      <c r="G140" s="67" t="s">
        <v>314</v>
      </c>
      <c r="H140" s="69" t="s">
        <v>277</v>
      </c>
      <c r="I140" s="477">
        <v>37432746</v>
      </c>
      <c r="J140" s="472">
        <v>26712162</v>
      </c>
      <c r="K140" s="472">
        <v>200000</v>
      </c>
      <c r="L140" s="472">
        <v>9096311</v>
      </c>
      <c r="M140" s="472">
        <v>534243</v>
      </c>
      <c r="N140" s="472">
        <v>890030</v>
      </c>
      <c r="O140" s="473">
        <v>48.253100000000003</v>
      </c>
      <c r="P140" s="473">
        <v>37</v>
      </c>
      <c r="Q140" s="483">
        <v>11.2531</v>
      </c>
      <c r="R140" s="485">
        <f t="shared" ref="R140:R144" si="350">Y140*-1</f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ref="X140:X144" si="351">SUM(R140:W140)</f>
        <v>0</v>
      </c>
      <c r="Y140" s="475">
        <v>0</v>
      </c>
      <c r="Z140" s="475">
        <v>0</v>
      </c>
      <c r="AA140" s="475">
        <v>0</v>
      </c>
      <c r="AB140" s="475">
        <f t="shared" ref="AB140:AB144" si="352">SUM(Y140:AA140)</f>
        <v>0</v>
      </c>
      <c r="AC140" s="475">
        <f t="shared" ref="AC140:AC144" si="353">X140+AB140</f>
        <v>0</v>
      </c>
      <c r="AD140" s="70">
        <f t="shared" ref="AD140:AD144" si="354">ROUND((X140+Y140+Z140)*33.8%,0)</f>
        <v>0</v>
      </c>
      <c r="AE140" s="70">
        <f t="shared" ref="AE140:AE144" si="355">ROUND(X140*2%,0)</f>
        <v>0</v>
      </c>
      <c r="AF140" s="475">
        <v>0</v>
      </c>
      <c r="AG140" s="475">
        <v>0</v>
      </c>
      <c r="AH140" s="475">
        <f t="shared" ref="AH140:AH144" si="356">SUM(AF140:AG140)</f>
        <v>0</v>
      </c>
      <c r="AI140" s="475">
        <f t="shared" ref="AI140:AI144" si="357">AC140+AD140+AE140+AH140</f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si="188"/>
        <v>0</v>
      </c>
      <c r="AS140" s="476">
        <f t="shared" si="189"/>
        <v>0</v>
      </c>
      <c r="AT140" s="478">
        <f t="shared" si="190"/>
        <v>0</v>
      </c>
      <c r="AU140" s="484">
        <f>I140+AI140</f>
        <v>37432746</v>
      </c>
      <c r="AV140" s="475">
        <f>J140+X140</f>
        <v>26712162</v>
      </c>
      <c r="AW140" s="475">
        <f>K140+AB140</f>
        <v>200000</v>
      </c>
      <c r="AX140" s="475">
        <f t="shared" ref="AX140:AY144" si="358">L140+AD140</f>
        <v>9096311</v>
      </c>
      <c r="AY140" s="475">
        <f t="shared" si="358"/>
        <v>534243</v>
      </c>
      <c r="AZ140" s="475">
        <f>N140+AH140</f>
        <v>890030</v>
      </c>
      <c r="BA140" s="476">
        <f>O140+AT140</f>
        <v>48.253100000000003</v>
      </c>
      <c r="BB140" s="476">
        <f t="shared" ref="BB140:BC144" si="359">P140+AR140</f>
        <v>37</v>
      </c>
      <c r="BC140" s="478">
        <f t="shared" si="359"/>
        <v>11.2531</v>
      </c>
    </row>
    <row r="141" spans="1:55" ht="14.1" customHeight="1" x14ac:dyDescent="0.2">
      <c r="A141" s="68">
        <v>33</v>
      </c>
      <c r="B141" s="65">
        <v>2479</v>
      </c>
      <c r="C141" s="66">
        <v>600080340</v>
      </c>
      <c r="D141" s="65">
        <v>65100280</v>
      </c>
      <c r="E141" s="67" t="s">
        <v>631</v>
      </c>
      <c r="F141" s="68">
        <v>3113</v>
      </c>
      <c r="G141" s="80" t="s">
        <v>312</v>
      </c>
      <c r="H141" s="69" t="s">
        <v>278</v>
      </c>
      <c r="I141" s="477">
        <v>3619283</v>
      </c>
      <c r="J141" s="472">
        <v>2664421</v>
      </c>
      <c r="K141" s="472">
        <v>0</v>
      </c>
      <c r="L141" s="472">
        <v>900574</v>
      </c>
      <c r="M141" s="472">
        <v>53288</v>
      </c>
      <c r="N141" s="472">
        <v>1000</v>
      </c>
      <c r="O141" s="473">
        <v>7.43</v>
      </c>
      <c r="P141" s="474">
        <v>7.43</v>
      </c>
      <c r="Q141" s="483">
        <v>0</v>
      </c>
      <c r="R141" s="485">
        <f t="shared" si="350"/>
        <v>0</v>
      </c>
      <c r="S141" s="475">
        <v>-43972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51"/>
        <v>-43972</v>
      </c>
      <c r="Y141" s="475">
        <v>0</v>
      </c>
      <c r="Z141" s="475">
        <v>0</v>
      </c>
      <c r="AA141" s="475">
        <v>0</v>
      </c>
      <c r="AB141" s="475">
        <f t="shared" si="352"/>
        <v>0</v>
      </c>
      <c r="AC141" s="475">
        <f t="shared" si="353"/>
        <v>-43972</v>
      </c>
      <c r="AD141" s="70">
        <f t="shared" si="354"/>
        <v>-14863</v>
      </c>
      <c r="AE141" s="70">
        <f t="shared" si="355"/>
        <v>-879</v>
      </c>
      <c r="AF141" s="475">
        <v>0</v>
      </c>
      <c r="AG141" s="475">
        <v>0</v>
      </c>
      <c r="AH141" s="475">
        <f t="shared" si="356"/>
        <v>0</v>
      </c>
      <c r="AI141" s="475">
        <f t="shared" si="357"/>
        <v>-59714</v>
      </c>
      <c r="AJ141" s="476">
        <v>0</v>
      </c>
      <c r="AK141" s="476">
        <v>0</v>
      </c>
      <c r="AL141" s="476">
        <v>-0.1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ref="AR141:AR204" si="360">AJ141+AL141+AM141+AO141+AP141</f>
        <v>-0.1</v>
      </c>
      <c r="AS141" s="476">
        <f t="shared" ref="AS141:AS204" si="361">AK141+AN141+AQ141</f>
        <v>0</v>
      </c>
      <c r="AT141" s="478">
        <f t="shared" ref="AT141:AT204" si="362">SUM(AR141:AS141)</f>
        <v>-0.1</v>
      </c>
      <c r="AU141" s="484">
        <f>I141+AI141</f>
        <v>3559569</v>
      </c>
      <c r="AV141" s="475">
        <f>J141+X141</f>
        <v>2620449</v>
      </c>
      <c r="AW141" s="475">
        <f>K141+AB141</f>
        <v>0</v>
      </c>
      <c r="AX141" s="475">
        <f t="shared" si="358"/>
        <v>885711</v>
      </c>
      <c r="AY141" s="475">
        <f t="shared" si="358"/>
        <v>52409</v>
      </c>
      <c r="AZ141" s="475">
        <f>N141+AH141</f>
        <v>1000</v>
      </c>
      <c r="BA141" s="476">
        <f>O141+AT141</f>
        <v>7.33</v>
      </c>
      <c r="BB141" s="476">
        <f t="shared" si="359"/>
        <v>7.33</v>
      </c>
      <c r="BC141" s="478">
        <f t="shared" si="359"/>
        <v>0</v>
      </c>
    </row>
    <row r="142" spans="1:55" ht="14.1" customHeight="1" x14ac:dyDescent="0.2">
      <c r="A142" s="68">
        <v>33</v>
      </c>
      <c r="B142" s="65">
        <v>2479</v>
      </c>
      <c r="C142" s="66">
        <v>600080340</v>
      </c>
      <c r="D142" s="65">
        <v>65100280</v>
      </c>
      <c r="E142" s="67" t="s">
        <v>631</v>
      </c>
      <c r="F142" s="68">
        <v>3141</v>
      </c>
      <c r="G142" s="67" t="s">
        <v>315</v>
      </c>
      <c r="H142" s="69" t="s">
        <v>278</v>
      </c>
      <c r="I142" s="477">
        <v>3415265</v>
      </c>
      <c r="J142" s="472">
        <v>2485195</v>
      </c>
      <c r="K142" s="472">
        <v>6200</v>
      </c>
      <c r="L142" s="472">
        <v>842092</v>
      </c>
      <c r="M142" s="472">
        <v>49704</v>
      </c>
      <c r="N142" s="472">
        <v>32074</v>
      </c>
      <c r="O142" s="473">
        <v>7.85</v>
      </c>
      <c r="P142" s="474">
        <v>0</v>
      </c>
      <c r="Q142" s="483">
        <v>7.85</v>
      </c>
      <c r="R142" s="485">
        <f t="shared" si="350"/>
        <v>0</v>
      </c>
      <c r="S142" s="475">
        <v>0</v>
      </c>
      <c r="T142" s="755">
        <v>-36342</v>
      </c>
      <c r="U142" s="475">
        <v>0</v>
      </c>
      <c r="V142" s="475">
        <v>0</v>
      </c>
      <c r="W142" s="475">
        <v>0</v>
      </c>
      <c r="X142" s="475">
        <f t="shared" si="351"/>
        <v>-36342</v>
      </c>
      <c r="Y142" s="475">
        <v>0</v>
      </c>
      <c r="Z142" s="475">
        <v>0</v>
      </c>
      <c r="AA142" s="475">
        <v>0</v>
      </c>
      <c r="AB142" s="475">
        <f t="shared" si="352"/>
        <v>0</v>
      </c>
      <c r="AC142" s="475">
        <f t="shared" si="353"/>
        <v>-36342</v>
      </c>
      <c r="AD142" s="70">
        <f t="shared" si="354"/>
        <v>-12284</v>
      </c>
      <c r="AE142" s="70">
        <f t="shared" si="355"/>
        <v>-727</v>
      </c>
      <c r="AF142" s="475">
        <v>0</v>
      </c>
      <c r="AG142" s="475">
        <v>0</v>
      </c>
      <c r="AH142" s="475">
        <f t="shared" si="356"/>
        <v>0</v>
      </c>
      <c r="AI142" s="475">
        <f t="shared" si="357"/>
        <v>-49353</v>
      </c>
      <c r="AJ142" s="476">
        <v>0</v>
      </c>
      <c r="AK142" s="476">
        <v>0</v>
      </c>
      <c r="AL142" s="476">
        <v>0</v>
      </c>
      <c r="AM142" s="476">
        <v>0</v>
      </c>
      <c r="AN142" s="756">
        <v>-0.12000000000000011</v>
      </c>
      <c r="AO142" s="476">
        <v>0</v>
      </c>
      <c r="AP142" s="476">
        <v>0</v>
      </c>
      <c r="AQ142" s="476">
        <v>0</v>
      </c>
      <c r="AR142" s="476">
        <f t="shared" si="360"/>
        <v>0</v>
      </c>
      <c r="AS142" s="476">
        <f t="shared" si="361"/>
        <v>-0.12000000000000011</v>
      </c>
      <c r="AT142" s="478">
        <f t="shared" si="362"/>
        <v>-0.12000000000000011</v>
      </c>
      <c r="AU142" s="484">
        <f>I142+AI142</f>
        <v>3365912</v>
      </c>
      <c r="AV142" s="475">
        <f>J142+X142</f>
        <v>2448853</v>
      </c>
      <c r="AW142" s="475">
        <f>K142+AB142</f>
        <v>6200</v>
      </c>
      <c r="AX142" s="475">
        <f t="shared" si="358"/>
        <v>829808</v>
      </c>
      <c r="AY142" s="475">
        <f t="shared" si="358"/>
        <v>48977</v>
      </c>
      <c r="AZ142" s="475">
        <f>N142+AH142</f>
        <v>32074</v>
      </c>
      <c r="BA142" s="476">
        <f>O142+AT142</f>
        <v>7.7299999999999995</v>
      </c>
      <c r="BB142" s="476">
        <f t="shared" si="359"/>
        <v>0</v>
      </c>
      <c r="BC142" s="478">
        <f t="shared" si="359"/>
        <v>7.7299999999999995</v>
      </c>
    </row>
    <row r="143" spans="1:55" ht="14.1" customHeight="1" x14ac:dyDescent="0.2">
      <c r="A143" s="68">
        <v>33</v>
      </c>
      <c r="B143" s="65">
        <v>2479</v>
      </c>
      <c r="C143" s="66">
        <v>600080340</v>
      </c>
      <c r="D143" s="65">
        <v>65100280</v>
      </c>
      <c r="E143" s="67" t="s">
        <v>631</v>
      </c>
      <c r="F143" s="68">
        <v>3143</v>
      </c>
      <c r="G143" s="80" t="s">
        <v>626</v>
      </c>
      <c r="H143" s="69" t="s">
        <v>277</v>
      </c>
      <c r="I143" s="477">
        <v>4272896</v>
      </c>
      <c r="J143" s="472">
        <v>3144492</v>
      </c>
      <c r="K143" s="472">
        <v>2000</v>
      </c>
      <c r="L143" s="472">
        <v>1063514</v>
      </c>
      <c r="M143" s="472">
        <v>62890</v>
      </c>
      <c r="N143" s="472">
        <v>0</v>
      </c>
      <c r="O143" s="473">
        <v>6.1420000000000003</v>
      </c>
      <c r="P143" s="473">
        <v>6.1420000000000003</v>
      </c>
      <c r="Q143" s="483">
        <v>0</v>
      </c>
      <c r="R143" s="485">
        <f t="shared" si="350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51"/>
        <v>0</v>
      </c>
      <c r="Y143" s="475">
        <v>0</v>
      </c>
      <c r="Z143" s="475">
        <v>0</v>
      </c>
      <c r="AA143" s="475">
        <v>0</v>
      </c>
      <c r="AB143" s="475">
        <f t="shared" si="352"/>
        <v>0</v>
      </c>
      <c r="AC143" s="475">
        <f t="shared" si="353"/>
        <v>0</v>
      </c>
      <c r="AD143" s="70">
        <f t="shared" si="354"/>
        <v>0</v>
      </c>
      <c r="AE143" s="70">
        <f t="shared" si="355"/>
        <v>0</v>
      </c>
      <c r="AF143" s="475">
        <v>0</v>
      </c>
      <c r="AG143" s="475">
        <v>0</v>
      </c>
      <c r="AH143" s="475">
        <f t="shared" si="356"/>
        <v>0</v>
      </c>
      <c r="AI143" s="475">
        <f t="shared" si="357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360"/>
        <v>0</v>
      </c>
      <c r="AS143" s="476">
        <f t="shared" si="361"/>
        <v>0</v>
      </c>
      <c r="AT143" s="478">
        <f t="shared" si="362"/>
        <v>0</v>
      </c>
      <c r="AU143" s="484">
        <f>I143+AI143</f>
        <v>4272896</v>
      </c>
      <c r="AV143" s="475">
        <f>J143+X143</f>
        <v>3144492</v>
      </c>
      <c r="AW143" s="475">
        <f>K143+AB143</f>
        <v>2000</v>
      </c>
      <c r="AX143" s="475">
        <f t="shared" si="358"/>
        <v>1063514</v>
      </c>
      <c r="AY143" s="475">
        <f t="shared" si="358"/>
        <v>62890</v>
      </c>
      <c r="AZ143" s="475">
        <f>N143+AH143</f>
        <v>0</v>
      </c>
      <c r="BA143" s="476">
        <f>O143+AT143</f>
        <v>6.1420000000000003</v>
      </c>
      <c r="BB143" s="476">
        <f t="shared" si="359"/>
        <v>6.1420000000000003</v>
      </c>
      <c r="BC143" s="478">
        <f t="shared" si="359"/>
        <v>0</v>
      </c>
    </row>
    <row r="144" spans="1:55" ht="14.1" customHeight="1" x14ac:dyDescent="0.2">
      <c r="A144" s="68">
        <v>33</v>
      </c>
      <c r="B144" s="65">
        <v>2479</v>
      </c>
      <c r="C144" s="66">
        <v>600080340</v>
      </c>
      <c r="D144" s="65">
        <v>65100280</v>
      </c>
      <c r="E144" s="67" t="s">
        <v>631</v>
      </c>
      <c r="F144" s="68">
        <v>3143</v>
      </c>
      <c r="G144" s="80" t="s">
        <v>627</v>
      </c>
      <c r="H144" s="69" t="s">
        <v>278</v>
      </c>
      <c r="I144" s="477">
        <v>151200</v>
      </c>
      <c r="J144" s="472">
        <v>106922</v>
      </c>
      <c r="K144" s="472">
        <v>0</v>
      </c>
      <c r="L144" s="472">
        <v>36140</v>
      </c>
      <c r="M144" s="472">
        <v>2138</v>
      </c>
      <c r="N144" s="472">
        <v>6000</v>
      </c>
      <c r="O144" s="473">
        <v>0.42</v>
      </c>
      <c r="P144" s="474">
        <v>0</v>
      </c>
      <c r="Q144" s="483">
        <v>0.42</v>
      </c>
      <c r="R144" s="485">
        <f t="shared" si="350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351"/>
        <v>0</v>
      </c>
      <c r="Y144" s="475">
        <v>0</v>
      </c>
      <c r="Z144" s="475">
        <v>0</v>
      </c>
      <c r="AA144" s="475">
        <v>0</v>
      </c>
      <c r="AB144" s="475">
        <f t="shared" si="352"/>
        <v>0</v>
      </c>
      <c r="AC144" s="475">
        <f t="shared" si="353"/>
        <v>0</v>
      </c>
      <c r="AD144" s="70">
        <f t="shared" si="354"/>
        <v>0</v>
      </c>
      <c r="AE144" s="70">
        <f t="shared" si="355"/>
        <v>0</v>
      </c>
      <c r="AF144" s="475">
        <v>0</v>
      </c>
      <c r="AG144" s="475">
        <v>0</v>
      </c>
      <c r="AH144" s="475">
        <f t="shared" si="356"/>
        <v>0</v>
      </c>
      <c r="AI144" s="475">
        <f t="shared" si="357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 t="shared" si="360"/>
        <v>0</v>
      </c>
      <c r="AS144" s="476">
        <f t="shared" si="361"/>
        <v>0</v>
      </c>
      <c r="AT144" s="478">
        <f t="shared" si="362"/>
        <v>0</v>
      </c>
      <c r="AU144" s="484">
        <f>I144+AI144</f>
        <v>151200</v>
      </c>
      <c r="AV144" s="475">
        <f>J144+X144</f>
        <v>106922</v>
      </c>
      <c r="AW144" s="475">
        <f>K144+AB144</f>
        <v>0</v>
      </c>
      <c r="AX144" s="475">
        <f t="shared" si="358"/>
        <v>36140</v>
      </c>
      <c r="AY144" s="475">
        <f t="shared" si="358"/>
        <v>2138</v>
      </c>
      <c r="AZ144" s="475">
        <f>N144+AH144</f>
        <v>6000</v>
      </c>
      <c r="BA144" s="476">
        <f>O144+AT144</f>
        <v>0.42</v>
      </c>
      <c r="BB144" s="476">
        <f t="shared" si="359"/>
        <v>0</v>
      </c>
      <c r="BC144" s="478">
        <f t="shared" si="359"/>
        <v>0.42</v>
      </c>
    </row>
    <row r="145" spans="1:55" ht="14.1" customHeight="1" x14ac:dyDescent="0.2">
      <c r="A145" s="74">
        <v>33</v>
      </c>
      <c r="B145" s="71">
        <v>2479</v>
      </c>
      <c r="C145" s="72">
        <v>600080340</v>
      </c>
      <c r="D145" s="71">
        <v>65100280</v>
      </c>
      <c r="E145" s="73" t="s">
        <v>632</v>
      </c>
      <c r="F145" s="74"/>
      <c r="G145" s="73"/>
      <c r="H145" s="75"/>
      <c r="I145" s="76">
        <v>48891390</v>
      </c>
      <c r="J145" s="77">
        <v>35113192</v>
      </c>
      <c r="K145" s="77">
        <v>208200</v>
      </c>
      <c r="L145" s="77">
        <v>11938631</v>
      </c>
      <c r="M145" s="77">
        <v>702263</v>
      </c>
      <c r="N145" s="77">
        <v>929104</v>
      </c>
      <c r="O145" s="78">
        <v>70.095100000000002</v>
      </c>
      <c r="P145" s="78">
        <v>50.572000000000003</v>
      </c>
      <c r="Q145" s="718">
        <v>19.523099999999999</v>
      </c>
      <c r="R145" s="76">
        <f t="shared" ref="R145:BC145" si="363">SUM(R140:R144)</f>
        <v>0</v>
      </c>
      <c r="S145" s="77">
        <f t="shared" si="363"/>
        <v>-43972</v>
      </c>
      <c r="T145" s="77">
        <f t="shared" si="363"/>
        <v>-36342</v>
      </c>
      <c r="U145" s="77">
        <f t="shared" si="363"/>
        <v>0</v>
      </c>
      <c r="V145" s="77">
        <f t="shared" si="363"/>
        <v>0</v>
      </c>
      <c r="W145" s="77">
        <f t="shared" si="363"/>
        <v>0</v>
      </c>
      <c r="X145" s="77">
        <f t="shared" si="363"/>
        <v>-80314</v>
      </c>
      <c r="Y145" s="77">
        <f t="shared" si="363"/>
        <v>0</v>
      </c>
      <c r="Z145" s="77">
        <f t="shared" si="363"/>
        <v>0</v>
      </c>
      <c r="AA145" s="77">
        <f t="shared" si="363"/>
        <v>0</v>
      </c>
      <c r="AB145" s="77">
        <f t="shared" si="363"/>
        <v>0</v>
      </c>
      <c r="AC145" s="77">
        <f t="shared" si="363"/>
        <v>-80314</v>
      </c>
      <c r="AD145" s="77">
        <f t="shared" si="363"/>
        <v>-27147</v>
      </c>
      <c r="AE145" s="77">
        <f t="shared" si="363"/>
        <v>-1606</v>
      </c>
      <c r="AF145" s="77">
        <f t="shared" si="363"/>
        <v>0</v>
      </c>
      <c r="AG145" s="77">
        <f t="shared" si="363"/>
        <v>0</v>
      </c>
      <c r="AH145" s="77">
        <f t="shared" si="363"/>
        <v>0</v>
      </c>
      <c r="AI145" s="77">
        <f t="shared" si="363"/>
        <v>-109067</v>
      </c>
      <c r="AJ145" s="78">
        <f t="shared" si="363"/>
        <v>0</v>
      </c>
      <c r="AK145" s="78">
        <f t="shared" si="363"/>
        <v>0</v>
      </c>
      <c r="AL145" s="78">
        <f t="shared" si="363"/>
        <v>-0.1</v>
      </c>
      <c r="AM145" s="78">
        <f t="shared" si="363"/>
        <v>0</v>
      </c>
      <c r="AN145" s="78">
        <f t="shared" si="363"/>
        <v>-0.12000000000000011</v>
      </c>
      <c r="AO145" s="78">
        <f t="shared" si="363"/>
        <v>0</v>
      </c>
      <c r="AP145" s="78">
        <f t="shared" si="363"/>
        <v>0</v>
      </c>
      <c r="AQ145" s="78">
        <f t="shared" si="363"/>
        <v>0</v>
      </c>
      <c r="AR145" s="78">
        <f t="shared" si="363"/>
        <v>-0.1</v>
      </c>
      <c r="AS145" s="78">
        <f t="shared" si="363"/>
        <v>-0.12000000000000011</v>
      </c>
      <c r="AT145" s="79">
        <f t="shared" si="363"/>
        <v>-0.22000000000000011</v>
      </c>
      <c r="AU145" s="433">
        <f t="shared" si="363"/>
        <v>48782323</v>
      </c>
      <c r="AV145" s="77">
        <f t="shared" si="363"/>
        <v>35032878</v>
      </c>
      <c r="AW145" s="77">
        <f t="shared" si="363"/>
        <v>208200</v>
      </c>
      <c r="AX145" s="77">
        <f t="shared" si="363"/>
        <v>11911484</v>
      </c>
      <c r="AY145" s="77">
        <f t="shared" si="363"/>
        <v>700657</v>
      </c>
      <c r="AZ145" s="77">
        <f t="shared" si="363"/>
        <v>929104</v>
      </c>
      <c r="BA145" s="78">
        <f t="shared" si="363"/>
        <v>69.875100000000003</v>
      </c>
      <c r="BB145" s="78">
        <f t="shared" si="363"/>
        <v>50.472000000000001</v>
      </c>
      <c r="BC145" s="79">
        <f t="shared" si="363"/>
        <v>19.403100000000002</v>
      </c>
    </row>
    <row r="146" spans="1:55" ht="14.1" customHeight="1" x14ac:dyDescent="0.2">
      <c r="A146" s="68">
        <v>34</v>
      </c>
      <c r="B146" s="65">
        <v>2475</v>
      </c>
      <c r="C146" s="66">
        <v>600080331</v>
      </c>
      <c r="D146" s="65">
        <v>65642368</v>
      </c>
      <c r="E146" s="67" t="s">
        <v>633</v>
      </c>
      <c r="F146" s="68">
        <v>3113</v>
      </c>
      <c r="G146" s="67" t="s">
        <v>314</v>
      </c>
      <c r="H146" s="69" t="s">
        <v>277</v>
      </c>
      <c r="I146" s="477">
        <v>41690564</v>
      </c>
      <c r="J146" s="472">
        <v>29614812</v>
      </c>
      <c r="K146" s="472">
        <v>390000</v>
      </c>
      <c r="L146" s="472">
        <v>10141626</v>
      </c>
      <c r="M146" s="472">
        <v>592296</v>
      </c>
      <c r="N146" s="472">
        <v>951830</v>
      </c>
      <c r="O146" s="473">
        <v>51.072499999999998</v>
      </c>
      <c r="P146" s="473">
        <v>40.156999999999996</v>
      </c>
      <c r="Q146" s="483">
        <v>10.9155</v>
      </c>
      <c r="R146" s="485">
        <f t="shared" ref="R146:R150" si="364">Y146*-1</f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ref="X146:X150" si="365">SUM(R146:W146)</f>
        <v>0</v>
      </c>
      <c r="Y146" s="475">
        <v>0</v>
      </c>
      <c r="Z146" s="475">
        <v>0</v>
      </c>
      <c r="AA146" s="475">
        <v>0</v>
      </c>
      <c r="AB146" s="475">
        <f t="shared" ref="AB146:AB150" si="366">SUM(Y146:AA146)</f>
        <v>0</v>
      </c>
      <c r="AC146" s="475">
        <f t="shared" ref="AC146:AC150" si="367">X146+AB146</f>
        <v>0</v>
      </c>
      <c r="AD146" s="70">
        <f t="shared" ref="AD146:AD150" si="368">ROUND((X146+Y146+Z146)*33.8%,0)</f>
        <v>0</v>
      </c>
      <c r="AE146" s="70">
        <f t="shared" ref="AE146:AE150" si="369">ROUND(X146*2%,0)</f>
        <v>0</v>
      </c>
      <c r="AF146" s="475">
        <v>0</v>
      </c>
      <c r="AG146" s="475">
        <v>0</v>
      </c>
      <c r="AH146" s="475">
        <f t="shared" ref="AH146:AH150" si="370">SUM(AF146:AG146)</f>
        <v>0</v>
      </c>
      <c r="AI146" s="475">
        <f t="shared" ref="AI146:AI150" si="371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476">
        <f t="shared" si="360"/>
        <v>0</v>
      </c>
      <c r="AS146" s="476">
        <f t="shared" si="361"/>
        <v>0</v>
      </c>
      <c r="AT146" s="478">
        <f t="shared" si="362"/>
        <v>0</v>
      </c>
      <c r="AU146" s="484">
        <f>I146+AI146</f>
        <v>41690564</v>
      </c>
      <c r="AV146" s="475">
        <f>J146+X146</f>
        <v>29614812</v>
      </c>
      <c r="AW146" s="475">
        <f>K146+AB146</f>
        <v>390000</v>
      </c>
      <c r="AX146" s="475">
        <f t="shared" ref="AX146:AY150" si="372">L146+AD146</f>
        <v>10141626</v>
      </c>
      <c r="AY146" s="475">
        <f t="shared" si="372"/>
        <v>592296</v>
      </c>
      <c r="AZ146" s="475">
        <f>N146+AH146</f>
        <v>951830</v>
      </c>
      <c r="BA146" s="476">
        <f>O146+AT146</f>
        <v>51.072499999999998</v>
      </c>
      <c r="BB146" s="476">
        <f t="shared" ref="BB146:BC150" si="373">P146+AR146</f>
        <v>40.156999999999996</v>
      </c>
      <c r="BC146" s="478">
        <f t="shared" si="373"/>
        <v>10.9155</v>
      </c>
    </row>
    <row r="147" spans="1:55" ht="14.1" customHeight="1" x14ac:dyDescent="0.2">
      <c r="A147" s="68">
        <v>34</v>
      </c>
      <c r="B147" s="65">
        <v>2475</v>
      </c>
      <c r="C147" s="66">
        <v>600080331</v>
      </c>
      <c r="D147" s="65">
        <v>65642368</v>
      </c>
      <c r="E147" s="67" t="s">
        <v>633</v>
      </c>
      <c r="F147" s="68">
        <v>3113</v>
      </c>
      <c r="G147" s="80" t="s">
        <v>312</v>
      </c>
      <c r="H147" s="69" t="s">
        <v>278</v>
      </c>
      <c r="I147" s="477">
        <v>4105769</v>
      </c>
      <c r="J147" s="472">
        <v>3020817</v>
      </c>
      <c r="K147" s="472">
        <v>0</v>
      </c>
      <c r="L147" s="472">
        <v>1021036</v>
      </c>
      <c r="M147" s="472">
        <v>60416</v>
      </c>
      <c r="N147" s="472">
        <v>3500</v>
      </c>
      <c r="O147" s="473">
        <v>8.52</v>
      </c>
      <c r="P147" s="474">
        <v>8.52</v>
      </c>
      <c r="Q147" s="483">
        <v>0</v>
      </c>
      <c r="R147" s="485">
        <f t="shared" si="364"/>
        <v>0</v>
      </c>
      <c r="S147" s="475">
        <v>0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65"/>
        <v>0</v>
      </c>
      <c r="Y147" s="475">
        <v>0</v>
      </c>
      <c r="Z147" s="475">
        <v>0</v>
      </c>
      <c r="AA147" s="475">
        <v>0</v>
      </c>
      <c r="AB147" s="475">
        <f t="shared" si="366"/>
        <v>0</v>
      </c>
      <c r="AC147" s="475">
        <f t="shared" si="367"/>
        <v>0</v>
      </c>
      <c r="AD147" s="70">
        <f t="shared" si="368"/>
        <v>0</v>
      </c>
      <c r="AE147" s="70">
        <f t="shared" si="369"/>
        <v>0</v>
      </c>
      <c r="AF147" s="475">
        <v>0</v>
      </c>
      <c r="AG147" s="475">
        <v>0</v>
      </c>
      <c r="AH147" s="475">
        <f t="shared" si="370"/>
        <v>0</v>
      </c>
      <c r="AI147" s="475">
        <f t="shared" si="371"/>
        <v>0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 t="shared" si="360"/>
        <v>0</v>
      </c>
      <c r="AS147" s="476">
        <f t="shared" si="361"/>
        <v>0</v>
      </c>
      <c r="AT147" s="478">
        <f t="shared" si="362"/>
        <v>0</v>
      </c>
      <c r="AU147" s="484">
        <f>I147+AI147</f>
        <v>4105769</v>
      </c>
      <c r="AV147" s="475">
        <f>J147+X147</f>
        <v>3020817</v>
      </c>
      <c r="AW147" s="475">
        <f>K147+AB147</f>
        <v>0</v>
      </c>
      <c r="AX147" s="475">
        <f t="shared" si="372"/>
        <v>1021036</v>
      </c>
      <c r="AY147" s="475">
        <f t="shared" si="372"/>
        <v>60416</v>
      </c>
      <c r="AZ147" s="475">
        <f>N147+AH147</f>
        <v>3500</v>
      </c>
      <c r="BA147" s="476">
        <f>O147+AT147</f>
        <v>8.52</v>
      </c>
      <c r="BB147" s="476">
        <f t="shared" si="373"/>
        <v>8.52</v>
      </c>
      <c r="BC147" s="478">
        <f t="shared" si="373"/>
        <v>0</v>
      </c>
    </row>
    <row r="148" spans="1:55" ht="14.1" customHeight="1" x14ac:dyDescent="0.2">
      <c r="A148" s="68">
        <v>34</v>
      </c>
      <c r="B148" s="65">
        <v>2475</v>
      </c>
      <c r="C148" s="66">
        <v>600080331</v>
      </c>
      <c r="D148" s="65">
        <v>65642368</v>
      </c>
      <c r="E148" s="67" t="s">
        <v>634</v>
      </c>
      <c r="F148" s="68">
        <v>3141</v>
      </c>
      <c r="G148" s="67" t="s">
        <v>315</v>
      </c>
      <c r="H148" s="69" t="s">
        <v>278</v>
      </c>
      <c r="I148" s="477">
        <v>1555523</v>
      </c>
      <c r="J148" s="472">
        <v>1122476</v>
      </c>
      <c r="K148" s="472">
        <v>5000</v>
      </c>
      <c r="L148" s="472">
        <v>381087</v>
      </c>
      <c r="M148" s="472">
        <v>22450</v>
      </c>
      <c r="N148" s="472">
        <v>24510</v>
      </c>
      <c r="O148" s="473">
        <v>3.55</v>
      </c>
      <c r="P148" s="474">
        <v>0</v>
      </c>
      <c r="Q148" s="483">
        <v>3.55</v>
      </c>
      <c r="R148" s="485">
        <f t="shared" si="364"/>
        <v>0</v>
      </c>
      <c r="S148" s="475">
        <v>0</v>
      </c>
      <c r="T148" s="755">
        <v>-3742</v>
      </c>
      <c r="U148" s="475">
        <v>0</v>
      </c>
      <c r="V148" s="475">
        <v>0</v>
      </c>
      <c r="W148" s="475">
        <v>0</v>
      </c>
      <c r="X148" s="475">
        <f t="shared" si="365"/>
        <v>-3742</v>
      </c>
      <c r="Y148" s="475">
        <v>0</v>
      </c>
      <c r="Z148" s="475">
        <v>0</v>
      </c>
      <c r="AA148" s="475">
        <v>0</v>
      </c>
      <c r="AB148" s="475">
        <f t="shared" si="366"/>
        <v>0</v>
      </c>
      <c r="AC148" s="475">
        <f t="shared" si="367"/>
        <v>-3742</v>
      </c>
      <c r="AD148" s="70">
        <f t="shared" si="368"/>
        <v>-1265</v>
      </c>
      <c r="AE148" s="70">
        <f t="shared" si="369"/>
        <v>-75</v>
      </c>
      <c r="AF148" s="475">
        <v>0</v>
      </c>
      <c r="AG148" s="475">
        <v>0</v>
      </c>
      <c r="AH148" s="475">
        <f t="shared" si="370"/>
        <v>0</v>
      </c>
      <c r="AI148" s="475">
        <f t="shared" si="371"/>
        <v>-5082</v>
      </c>
      <c r="AJ148" s="476">
        <v>0</v>
      </c>
      <c r="AK148" s="476">
        <v>0</v>
      </c>
      <c r="AL148" s="476">
        <v>0</v>
      </c>
      <c r="AM148" s="476">
        <v>0</v>
      </c>
      <c r="AN148" s="756">
        <v>-1.0000000000000009E-2</v>
      </c>
      <c r="AO148" s="476">
        <v>0</v>
      </c>
      <c r="AP148" s="476">
        <v>0</v>
      </c>
      <c r="AQ148" s="476">
        <v>0</v>
      </c>
      <c r="AR148" s="476">
        <f t="shared" si="360"/>
        <v>0</v>
      </c>
      <c r="AS148" s="476">
        <f t="shared" si="361"/>
        <v>-1.0000000000000009E-2</v>
      </c>
      <c r="AT148" s="478">
        <f t="shared" si="362"/>
        <v>-1.0000000000000009E-2</v>
      </c>
      <c r="AU148" s="484">
        <f>I148+AI148</f>
        <v>1550441</v>
      </c>
      <c r="AV148" s="475">
        <f>J148+X148</f>
        <v>1118734</v>
      </c>
      <c r="AW148" s="475">
        <f>K148+AB148</f>
        <v>5000</v>
      </c>
      <c r="AX148" s="475">
        <f t="shared" si="372"/>
        <v>379822</v>
      </c>
      <c r="AY148" s="475">
        <f t="shared" si="372"/>
        <v>22375</v>
      </c>
      <c r="AZ148" s="475">
        <f>N148+AH148</f>
        <v>24510</v>
      </c>
      <c r="BA148" s="476">
        <f>O148+AT148</f>
        <v>3.54</v>
      </c>
      <c r="BB148" s="476">
        <f t="shared" si="373"/>
        <v>0</v>
      </c>
      <c r="BC148" s="478">
        <f t="shared" si="373"/>
        <v>3.54</v>
      </c>
    </row>
    <row r="149" spans="1:55" ht="14.1" customHeight="1" x14ac:dyDescent="0.2">
      <c r="A149" s="68">
        <v>34</v>
      </c>
      <c r="B149" s="65">
        <v>2475</v>
      </c>
      <c r="C149" s="66">
        <v>600080331</v>
      </c>
      <c r="D149" s="65">
        <v>65642368</v>
      </c>
      <c r="E149" s="67" t="s">
        <v>633</v>
      </c>
      <c r="F149" s="68">
        <v>3143</v>
      </c>
      <c r="G149" s="80" t="s">
        <v>626</v>
      </c>
      <c r="H149" s="69" t="s">
        <v>277</v>
      </c>
      <c r="I149" s="477">
        <v>4124711</v>
      </c>
      <c r="J149" s="472">
        <v>3037342</v>
      </c>
      <c r="K149" s="472">
        <v>0</v>
      </c>
      <c r="L149" s="472">
        <v>1026622</v>
      </c>
      <c r="M149" s="472">
        <v>60747</v>
      </c>
      <c r="N149" s="472">
        <v>0</v>
      </c>
      <c r="O149" s="473">
        <v>6.16</v>
      </c>
      <c r="P149" s="473">
        <v>6.16</v>
      </c>
      <c r="Q149" s="483">
        <v>0</v>
      </c>
      <c r="R149" s="485">
        <f t="shared" si="364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365"/>
        <v>0</v>
      </c>
      <c r="Y149" s="475">
        <v>0</v>
      </c>
      <c r="Z149" s="475">
        <v>0</v>
      </c>
      <c r="AA149" s="475">
        <v>0</v>
      </c>
      <c r="AB149" s="475">
        <f t="shared" si="366"/>
        <v>0</v>
      </c>
      <c r="AC149" s="475">
        <f t="shared" si="367"/>
        <v>0</v>
      </c>
      <c r="AD149" s="70">
        <f t="shared" si="368"/>
        <v>0</v>
      </c>
      <c r="AE149" s="70">
        <f t="shared" si="369"/>
        <v>0</v>
      </c>
      <c r="AF149" s="475">
        <v>0</v>
      </c>
      <c r="AG149" s="475">
        <v>0</v>
      </c>
      <c r="AH149" s="475">
        <f t="shared" si="370"/>
        <v>0</v>
      </c>
      <c r="AI149" s="475">
        <f t="shared" si="371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 t="shared" si="360"/>
        <v>0</v>
      </c>
      <c r="AS149" s="476">
        <f t="shared" si="361"/>
        <v>0</v>
      </c>
      <c r="AT149" s="478">
        <f t="shared" si="362"/>
        <v>0</v>
      </c>
      <c r="AU149" s="484">
        <f>I149+AI149</f>
        <v>4124711</v>
      </c>
      <c r="AV149" s="475">
        <f>J149+X149</f>
        <v>3037342</v>
      </c>
      <c r="AW149" s="475">
        <f>K149+AB149</f>
        <v>0</v>
      </c>
      <c r="AX149" s="475">
        <f t="shared" si="372"/>
        <v>1026622</v>
      </c>
      <c r="AY149" s="475">
        <f t="shared" si="372"/>
        <v>60747</v>
      </c>
      <c r="AZ149" s="475">
        <f>N149+AH149</f>
        <v>0</v>
      </c>
      <c r="BA149" s="476">
        <f>O149+AT149</f>
        <v>6.16</v>
      </c>
      <c r="BB149" s="476">
        <f t="shared" si="373"/>
        <v>6.16</v>
      </c>
      <c r="BC149" s="478">
        <f t="shared" si="373"/>
        <v>0</v>
      </c>
    </row>
    <row r="150" spans="1:55" ht="14.1" customHeight="1" x14ac:dyDescent="0.2">
      <c r="A150" s="68">
        <v>34</v>
      </c>
      <c r="B150" s="65">
        <v>2475</v>
      </c>
      <c r="C150" s="66">
        <v>600080331</v>
      </c>
      <c r="D150" s="65">
        <v>65642368</v>
      </c>
      <c r="E150" s="67" t="s">
        <v>633</v>
      </c>
      <c r="F150" s="68">
        <v>3143</v>
      </c>
      <c r="G150" s="80" t="s">
        <v>627</v>
      </c>
      <c r="H150" s="69" t="s">
        <v>278</v>
      </c>
      <c r="I150" s="477">
        <v>135324</v>
      </c>
      <c r="J150" s="472">
        <v>95695</v>
      </c>
      <c r="K150" s="472">
        <v>0</v>
      </c>
      <c r="L150" s="472">
        <v>32345</v>
      </c>
      <c r="M150" s="472">
        <v>1914</v>
      </c>
      <c r="N150" s="472">
        <v>5370</v>
      </c>
      <c r="O150" s="473">
        <v>0.37</v>
      </c>
      <c r="P150" s="474">
        <v>0</v>
      </c>
      <c r="Q150" s="483">
        <v>0.37</v>
      </c>
      <c r="R150" s="485">
        <f t="shared" si="364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65"/>
        <v>0</v>
      </c>
      <c r="Y150" s="475">
        <v>0</v>
      </c>
      <c r="Z150" s="475">
        <v>0</v>
      </c>
      <c r="AA150" s="475">
        <v>0</v>
      </c>
      <c r="AB150" s="475">
        <f t="shared" si="366"/>
        <v>0</v>
      </c>
      <c r="AC150" s="475">
        <f t="shared" si="367"/>
        <v>0</v>
      </c>
      <c r="AD150" s="70">
        <f t="shared" si="368"/>
        <v>0</v>
      </c>
      <c r="AE150" s="70">
        <f t="shared" si="369"/>
        <v>0</v>
      </c>
      <c r="AF150" s="475">
        <v>0</v>
      </c>
      <c r="AG150" s="475">
        <v>0</v>
      </c>
      <c r="AH150" s="475">
        <f t="shared" si="370"/>
        <v>0</v>
      </c>
      <c r="AI150" s="475">
        <f t="shared" si="371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 t="shared" si="360"/>
        <v>0</v>
      </c>
      <c r="AS150" s="476">
        <f t="shared" si="361"/>
        <v>0</v>
      </c>
      <c r="AT150" s="478">
        <f t="shared" si="362"/>
        <v>0</v>
      </c>
      <c r="AU150" s="484">
        <f>I150+AI150</f>
        <v>135324</v>
      </c>
      <c r="AV150" s="475">
        <f>J150+X150</f>
        <v>95695</v>
      </c>
      <c r="AW150" s="475">
        <f>K150+AB150</f>
        <v>0</v>
      </c>
      <c r="AX150" s="475">
        <f t="shared" si="372"/>
        <v>32345</v>
      </c>
      <c r="AY150" s="475">
        <f t="shared" si="372"/>
        <v>1914</v>
      </c>
      <c r="AZ150" s="475">
        <f>N150+AH150</f>
        <v>5370</v>
      </c>
      <c r="BA150" s="476">
        <f>O150+AT150</f>
        <v>0.37</v>
      </c>
      <c r="BB150" s="476">
        <f t="shared" si="373"/>
        <v>0</v>
      </c>
      <c r="BC150" s="478">
        <f t="shared" si="373"/>
        <v>0.37</v>
      </c>
    </row>
    <row r="151" spans="1:55" ht="14.1" customHeight="1" x14ac:dyDescent="0.2">
      <c r="A151" s="74">
        <v>34</v>
      </c>
      <c r="B151" s="71">
        <v>2475</v>
      </c>
      <c r="C151" s="72">
        <v>600080331</v>
      </c>
      <c r="D151" s="71">
        <v>65642368</v>
      </c>
      <c r="E151" s="73" t="s">
        <v>635</v>
      </c>
      <c r="F151" s="74"/>
      <c r="G151" s="73"/>
      <c r="H151" s="75"/>
      <c r="I151" s="76">
        <v>51611891</v>
      </c>
      <c r="J151" s="77">
        <v>36891142</v>
      </c>
      <c r="K151" s="77">
        <v>395000</v>
      </c>
      <c r="L151" s="77">
        <v>12602716</v>
      </c>
      <c r="M151" s="77">
        <v>737823</v>
      </c>
      <c r="N151" s="77">
        <v>985210</v>
      </c>
      <c r="O151" s="78">
        <v>69.672499999999999</v>
      </c>
      <c r="P151" s="78">
        <v>54.836999999999989</v>
      </c>
      <c r="Q151" s="718">
        <v>14.835499999999998</v>
      </c>
      <c r="R151" s="76">
        <f t="shared" ref="R151:BC151" si="374">SUM(R146:R150)</f>
        <v>0</v>
      </c>
      <c r="S151" s="77">
        <f t="shared" si="374"/>
        <v>0</v>
      </c>
      <c r="T151" s="77">
        <f t="shared" si="374"/>
        <v>-3742</v>
      </c>
      <c r="U151" s="77">
        <f t="shared" si="374"/>
        <v>0</v>
      </c>
      <c r="V151" s="77">
        <f t="shared" si="374"/>
        <v>0</v>
      </c>
      <c r="W151" s="77">
        <f t="shared" si="374"/>
        <v>0</v>
      </c>
      <c r="X151" s="77">
        <f t="shared" si="374"/>
        <v>-3742</v>
      </c>
      <c r="Y151" s="77">
        <f t="shared" si="374"/>
        <v>0</v>
      </c>
      <c r="Z151" s="77">
        <f t="shared" si="374"/>
        <v>0</v>
      </c>
      <c r="AA151" s="77">
        <f t="shared" si="374"/>
        <v>0</v>
      </c>
      <c r="AB151" s="77">
        <f t="shared" si="374"/>
        <v>0</v>
      </c>
      <c r="AC151" s="77">
        <f t="shared" si="374"/>
        <v>-3742</v>
      </c>
      <c r="AD151" s="77">
        <f t="shared" si="374"/>
        <v>-1265</v>
      </c>
      <c r="AE151" s="77">
        <f t="shared" si="374"/>
        <v>-75</v>
      </c>
      <c r="AF151" s="77">
        <f t="shared" si="374"/>
        <v>0</v>
      </c>
      <c r="AG151" s="77">
        <f t="shared" si="374"/>
        <v>0</v>
      </c>
      <c r="AH151" s="77">
        <f t="shared" si="374"/>
        <v>0</v>
      </c>
      <c r="AI151" s="77">
        <f t="shared" si="374"/>
        <v>-5082</v>
      </c>
      <c r="AJ151" s="78">
        <f t="shared" si="374"/>
        <v>0</v>
      </c>
      <c r="AK151" s="78">
        <f t="shared" si="374"/>
        <v>0</v>
      </c>
      <c r="AL151" s="78">
        <f t="shared" si="374"/>
        <v>0</v>
      </c>
      <c r="AM151" s="78">
        <f t="shared" si="374"/>
        <v>0</v>
      </c>
      <c r="AN151" s="78">
        <f t="shared" si="374"/>
        <v>-1.0000000000000009E-2</v>
      </c>
      <c r="AO151" s="78">
        <f t="shared" si="374"/>
        <v>0</v>
      </c>
      <c r="AP151" s="78">
        <f t="shared" si="374"/>
        <v>0</v>
      </c>
      <c r="AQ151" s="78">
        <f t="shared" si="374"/>
        <v>0</v>
      </c>
      <c r="AR151" s="78">
        <f t="shared" si="374"/>
        <v>0</v>
      </c>
      <c r="AS151" s="78">
        <f t="shared" si="374"/>
        <v>-1.0000000000000009E-2</v>
      </c>
      <c r="AT151" s="79">
        <f t="shared" si="374"/>
        <v>-1.0000000000000009E-2</v>
      </c>
      <c r="AU151" s="433">
        <f t="shared" si="374"/>
        <v>51606809</v>
      </c>
      <c r="AV151" s="77">
        <f t="shared" si="374"/>
        <v>36887400</v>
      </c>
      <c r="AW151" s="77">
        <f t="shared" si="374"/>
        <v>395000</v>
      </c>
      <c r="AX151" s="77">
        <f t="shared" si="374"/>
        <v>12601451</v>
      </c>
      <c r="AY151" s="77">
        <f t="shared" si="374"/>
        <v>737748</v>
      </c>
      <c r="AZ151" s="77">
        <f t="shared" si="374"/>
        <v>985210</v>
      </c>
      <c r="BA151" s="78">
        <f t="shared" si="374"/>
        <v>69.662500000000009</v>
      </c>
      <c r="BB151" s="78">
        <f t="shared" si="374"/>
        <v>54.836999999999989</v>
      </c>
      <c r="BC151" s="79">
        <f t="shared" si="374"/>
        <v>14.8255</v>
      </c>
    </row>
    <row r="152" spans="1:55" ht="14.1" customHeight="1" x14ac:dyDescent="0.2">
      <c r="A152" s="68">
        <v>35</v>
      </c>
      <c r="B152" s="65">
        <v>2476</v>
      </c>
      <c r="C152" s="66">
        <v>600080170</v>
      </c>
      <c r="D152" s="65">
        <v>64040364</v>
      </c>
      <c r="E152" s="67" t="s">
        <v>636</v>
      </c>
      <c r="F152" s="68">
        <v>3113</v>
      </c>
      <c r="G152" s="67" t="s">
        <v>314</v>
      </c>
      <c r="H152" s="69" t="s">
        <v>277</v>
      </c>
      <c r="I152" s="477">
        <v>40368124</v>
      </c>
      <c r="J152" s="472">
        <v>28738678</v>
      </c>
      <c r="K152" s="472">
        <v>65000</v>
      </c>
      <c r="L152" s="472">
        <v>9735642</v>
      </c>
      <c r="M152" s="472">
        <v>574774</v>
      </c>
      <c r="N152" s="472">
        <v>1254030</v>
      </c>
      <c r="O152" s="473">
        <v>52.541799999999995</v>
      </c>
      <c r="P152" s="473">
        <v>40.952999999999996</v>
      </c>
      <c r="Q152" s="483">
        <v>11.588799999999999</v>
      </c>
      <c r="R152" s="485">
        <f t="shared" ref="R152:R156" si="375">Y152*-1</f>
        <v>0</v>
      </c>
      <c r="S152" s="475">
        <v>0</v>
      </c>
      <c r="T152" s="475">
        <v>-93112</v>
      </c>
      <c r="U152" s="475">
        <v>0</v>
      </c>
      <c r="V152" s="475">
        <v>0</v>
      </c>
      <c r="W152" s="475">
        <v>0</v>
      </c>
      <c r="X152" s="475">
        <f t="shared" ref="X152:X156" si="376">SUM(R152:W152)</f>
        <v>-93112</v>
      </c>
      <c r="Y152" s="475">
        <v>0</v>
      </c>
      <c r="Z152" s="475">
        <v>0</v>
      </c>
      <c r="AA152" s="475">
        <v>0</v>
      </c>
      <c r="AB152" s="475">
        <f t="shared" ref="AB152:AB156" si="377">SUM(Y152:AA152)</f>
        <v>0</v>
      </c>
      <c r="AC152" s="475">
        <f t="shared" ref="AC152:AC156" si="378">X152+AB152</f>
        <v>-93112</v>
      </c>
      <c r="AD152" s="70">
        <f t="shared" ref="AD152:AD156" si="379">ROUND((X152+Y152+Z152)*33.8%,0)</f>
        <v>-31472</v>
      </c>
      <c r="AE152" s="70">
        <f t="shared" ref="AE152:AE156" si="380">ROUND(X152*2%,0)</f>
        <v>-1862</v>
      </c>
      <c r="AF152" s="475">
        <v>0</v>
      </c>
      <c r="AG152" s="475">
        <v>0</v>
      </c>
      <c r="AH152" s="475">
        <f t="shared" ref="AH152:AH156" si="381">SUM(AF152:AG152)</f>
        <v>0</v>
      </c>
      <c r="AI152" s="475">
        <f t="shared" ref="AI152:AI156" si="382">AC152+AD152+AE152+AH152</f>
        <v>-126446</v>
      </c>
      <c r="AJ152" s="476">
        <v>0</v>
      </c>
      <c r="AK152" s="476">
        <v>0</v>
      </c>
      <c r="AL152" s="476">
        <v>0</v>
      </c>
      <c r="AM152" s="476">
        <v>-0.15</v>
      </c>
      <c r="AN152" s="476">
        <v>0</v>
      </c>
      <c r="AO152" s="476">
        <v>0</v>
      </c>
      <c r="AP152" s="476">
        <v>0</v>
      </c>
      <c r="AQ152" s="476">
        <v>0</v>
      </c>
      <c r="AR152" s="476">
        <f t="shared" si="360"/>
        <v>-0.15</v>
      </c>
      <c r="AS152" s="476">
        <f t="shared" si="361"/>
        <v>0</v>
      </c>
      <c r="AT152" s="478">
        <f t="shared" si="362"/>
        <v>-0.15</v>
      </c>
      <c r="AU152" s="484">
        <f>I152+AI152</f>
        <v>40241678</v>
      </c>
      <c r="AV152" s="475">
        <f>J152+X152</f>
        <v>28645566</v>
      </c>
      <c r="AW152" s="475">
        <f>K152+AB152</f>
        <v>65000</v>
      </c>
      <c r="AX152" s="475">
        <f t="shared" ref="AX152:AY156" si="383">L152+AD152</f>
        <v>9704170</v>
      </c>
      <c r="AY152" s="475">
        <f t="shared" si="383"/>
        <v>572912</v>
      </c>
      <c r="AZ152" s="475">
        <f>N152+AH152</f>
        <v>1254030</v>
      </c>
      <c r="BA152" s="476">
        <f>O152+AT152</f>
        <v>52.391799999999996</v>
      </c>
      <c r="BB152" s="476">
        <f t="shared" ref="BB152:BC156" si="384">P152+AR152</f>
        <v>40.802999999999997</v>
      </c>
      <c r="BC152" s="478">
        <f t="shared" si="384"/>
        <v>11.588799999999999</v>
      </c>
    </row>
    <row r="153" spans="1:55" ht="14.1" customHeight="1" x14ac:dyDescent="0.2">
      <c r="A153" s="68">
        <v>35</v>
      </c>
      <c r="B153" s="65">
        <v>2476</v>
      </c>
      <c r="C153" s="66">
        <v>600080170</v>
      </c>
      <c r="D153" s="65">
        <v>64040364</v>
      </c>
      <c r="E153" s="67" t="s">
        <v>636</v>
      </c>
      <c r="F153" s="68">
        <v>3113</v>
      </c>
      <c r="G153" s="80" t="s">
        <v>312</v>
      </c>
      <c r="H153" s="69" t="s">
        <v>278</v>
      </c>
      <c r="I153" s="477">
        <v>5659424</v>
      </c>
      <c r="J153" s="472">
        <v>4153700</v>
      </c>
      <c r="K153" s="472">
        <v>0</v>
      </c>
      <c r="L153" s="472">
        <v>1403950</v>
      </c>
      <c r="M153" s="472">
        <v>83074</v>
      </c>
      <c r="N153" s="472">
        <v>18700</v>
      </c>
      <c r="O153" s="473">
        <v>11.9</v>
      </c>
      <c r="P153" s="474">
        <v>11.9</v>
      </c>
      <c r="Q153" s="483">
        <v>0</v>
      </c>
      <c r="R153" s="485">
        <f t="shared" si="375"/>
        <v>0</v>
      </c>
      <c r="S153" s="475">
        <v>-33683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376"/>
        <v>-33683</v>
      </c>
      <c r="Y153" s="475">
        <v>0</v>
      </c>
      <c r="Z153" s="475">
        <v>0</v>
      </c>
      <c r="AA153" s="475">
        <v>0</v>
      </c>
      <c r="AB153" s="475">
        <f t="shared" si="377"/>
        <v>0</v>
      </c>
      <c r="AC153" s="475">
        <f t="shared" si="378"/>
        <v>-33683</v>
      </c>
      <c r="AD153" s="70">
        <f t="shared" si="379"/>
        <v>-11385</v>
      </c>
      <c r="AE153" s="70">
        <f t="shared" si="380"/>
        <v>-674</v>
      </c>
      <c r="AF153" s="475">
        <v>0</v>
      </c>
      <c r="AG153" s="475">
        <v>0</v>
      </c>
      <c r="AH153" s="475">
        <f t="shared" si="381"/>
        <v>0</v>
      </c>
      <c r="AI153" s="475">
        <f t="shared" si="382"/>
        <v>-45742</v>
      </c>
      <c r="AJ153" s="476">
        <v>0</v>
      </c>
      <c r="AK153" s="476">
        <v>0</v>
      </c>
      <c r="AL153" s="476">
        <v>-0.1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476">
        <f t="shared" si="360"/>
        <v>-0.1</v>
      </c>
      <c r="AS153" s="476">
        <f t="shared" si="361"/>
        <v>0</v>
      </c>
      <c r="AT153" s="478">
        <f t="shared" si="362"/>
        <v>-0.1</v>
      </c>
      <c r="AU153" s="484">
        <f>I153+AI153</f>
        <v>5613682</v>
      </c>
      <c r="AV153" s="475">
        <f>J153+X153</f>
        <v>4120017</v>
      </c>
      <c r="AW153" s="475">
        <f>K153+AB153</f>
        <v>0</v>
      </c>
      <c r="AX153" s="475">
        <f t="shared" si="383"/>
        <v>1392565</v>
      </c>
      <c r="AY153" s="475">
        <f t="shared" si="383"/>
        <v>82400</v>
      </c>
      <c r="AZ153" s="475">
        <f>N153+AH153</f>
        <v>18700</v>
      </c>
      <c r="BA153" s="476">
        <f>O153+AT153</f>
        <v>11.8</v>
      </c>
      <c r="BB153" s="476">
        <f t="shared" si="384"/>
        <v>11.8</v>
      </c>
      <c r="BC153" s="478">
        <f t="shared" si="384"/>
        <v>0</v>
      </c>
    </row>
    <row r="154" spans="1:55" ht="14.1" customHeight="1" x14ac:dyDescent="0.2">
      <c r="A154" s="68">
        <v>35</v>
      </c>
      <c r="B154" s="65">
        <v>2476</v>
      </c>
      <c r="C154" s="66">
        <v>600080170</v>
      </c>
      <c r="D154" s="65">
        <v>64040364</v>
      </c>
      <c r="E154" s="67" t="s">
        <v>636</v>
      </c>
      <c r="F154" s="68">
        <v>3141</v>
      </c>
      <c r="G154" s="67" t="s">
        <v>315</v>
      </c>
      <c r="H154" s="69" t="s">
        <v>278</v>
      </c>
      <c r="I154" s="477">
        <v>3494624</v>
      </c>
      <c r="J154" s="472">
        <v>2549059</v>
      </c>
      <c r="K154" s="472">
        <v>0</v>
      </c>
      <c r="L154" s="472">
        <v>861582</v>
      </c>
      <c r="M154" s="472">
        <v>50981</v>
      </c>
      <c r="N154" s="472">
        <v>33002</v>
      </c>
      <c r="O154" s="473">
        <v>8.0299999999999994</v>
      </c>
      <c r="P154" s="474">
        <v>0</v>
      </c>
      <c r="Q154" s="483">
        <v>8.0299999999999994</v>
      </c>
      <c r="R154" s="485">
        <f t="shared" si="375"/>
        <v>0</v>
      </c>
      <c r="S154" s="475">
        <v>0</v>
      </c>
      <c r="T154" s="755">
        <v>10765</v>
      </c>
      <c r="U154" s="475">
        <v>0</v>
      </c>
      <c r="V154" s="475">
        <v>0</v>
      </c>
      <c r="W154" s="475">
        <v>0</v>
      </c>
      <c r="X154" s="475">
        <f t="shared" si="376"/>
        <v>10765</v>
      </c>
      <c r="Y154" s="475">
        <v>0</v>
      </c>
      <c r="Z154" s="475">
        <v>0</v>
      </c>
      <c r="AA154" s="475">
        <v>0</v>
      </c>
      <c r="AB154" s="475">
        <f t="shared" si="377"/>
        <v>0</v>
      </c>
      <c r="AC154" s="475">
        <f t="shared" si="378"/>
        <v>10765</v>
      </c>
      <c r="AD154" s="70">
        <f t="shared" si="379"/>
        <v>3639</v>
      </c>
      <c r="AE154" s="70">
        <f t="shared" si="380"/>
        <v>215</v>
      </c>
      <c r="AF154" s="475">
        <v>0</v>
      </c>
      <c r="AG154" s="475">
        <v>0</v>
      </c>
      <c r="AH154" s="475">
        <f t="shared" si="381"/>
        <v>0</v>
      </c>
      <c r="AI154" s="475">
        <f t="shared" si="382"/>
        <v>14619</v>
      </c>
      <c r="AJ154" s="476">
        <v>0</v>
      </c>
      <c r="AK154" s="476">
        <v>0</v>
      </c>
      <c r="AL154" s="476">
        <v>0</v>
      </c>
      <c r="AM154" s="476">
        <v>0</v>
      </c>
      <c r="AN154" s="756">
        <v>2.9999999999999805E-2</v>
      </c>
      <c r="AO154" s="476">
        <v>0</v>
      </c>
      <c r="AP154" s="476">
        <v>0</v>
      </c>
      <c r="AQ154" s="476">
        <v>0</v>
      </c>
      <c r="AR154" s="476">
        <f t="shared" si="360"/>
        <v>0</v>
      </c>
      <c r="AS154" s="476">
        <f t="shared" si="361"/>
        <v>2.9999999999999805E-2</v>
      </c>
      <c r="AT154" s="478">
        <f t="shared" si="362"/>
        <v>2.9999999999999805E-2</v>
      </c>
      <c r="AU154" s="484">
        <f>I154+AI154</f>
        <v>3509243</v>
      </c>
      <c r="AV154" s="475">
        <f>J154+X154</f>
        <v>2559824</v>
      </c>
      <c r="AW154" s="475">
        <f>K154+AB154</f>
        <v>0</v>
      </c>
      <c r="AX154" s="475">
        <f t="shared" si="383"/>
        <v>865221</v>
      </c>
      <c r="AY154" s="475">
        <f t="shared" si="383"/>
        <v>51196</v>
      </c>
      <c r="AZ154" s="475">
        <f>N154+AH154</f>
        <v>33002</v>
      </c>
      <c r="BA154" s="476">
        <f>O154+AT154</f>
        <v>8.0599999999999987</v>
      </c>
      <c r="BB154" s="476">
        <f t="shared" si="384"/>
        <v>0</v>
      </c>
      <c r="BC154" s="478">
        <f t="shared" si="384"/>
        <v>8.0599999999999987</v>
      </c>
    </row>
    <row r="155" spans="1:55" ht="14.1" customHeight="1" x14ac:dyDescent="0.2">
      <c r="A155" s="68">
        <v>35</v>
      </c>
      <c r="B155" s="65">
        <v>2476</v>
      </c>
      <c r="C155" s="66">
        <v>600080170</v>
      </c>
      <c r="D155" s="65">
        <v>64040364</v>
      </c>
      <c r="E155" s="67" t="s">
        <v>636</v>
      </c>
      <c r="F155" s="68">
        <v>3143</v>
      </c>
      <c r="G155" s="80" t="s">
        <v>626</v>
      </c>
      <c r="H155" s="69" t="s">
        <v>277</v>
      </c>
      <c r="I155" s="477">
        <v>4161690</v>
      </c>
      <c r="J155" s="472">
        <v>3064573</v>
      </c>
      <c r="K155" s="472">
        <v>0</v>
      </c>
      <c r="L155" s="472">
        <v>1035826</v>
      </c>
      <c r="M155" s="472">
        <v>61291</v>
      </c>
      <c r="N155" s="472">
        <v>0</v>
      </c>
      <c r="O155" s="473">
        <v>6.0369999999999999</v>
      </c>
      <c r="P155" s="473">
        <v>6.0369999999999999</v>
      </c>
      <c r="Q155" s="483">
        <v>0</v>
      </c>
      <c r="R155" s="485">
        <f t="shared" si="375"/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376"/>
        <v>0</v>
      </c>
      <c r="Y155" s="475">
        <v>0</v>
      </c>
      <c r="Z155" s="475">
        <v>0</v>
      </c>
      <c r="AA155" s="475">
        <v>0</v>
      </c>
      <c r="AB155" s="475">
        <f t="shared" si="377"/>
        <v>0</v>
      </c>
      <c r="AC155" s="475">
        <f t="shared" si="378"/>
        <v>0</v>
      </c>
      <c r="AD155" s="70">
        <f t="shared" si="379"/>
        <v>0</v>
      </c>
      <c r="AE155" s="70">
        <f t="shared" si="380"/>
        <v>0</v>
      </c>
      <c r="AF155" s="475">
        <v>0</v>
      </c>
      <c r="AG155" s="475">
        <v>0</v>
      </c>
      <c r="AH155" s="475">
        <f t="shared" si="381"/>
        <v>0</v>
      </c>
      <c r="AI155" s="475">
        <f t="shared" si="382"/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476">
        <f t="shared" si="360"/>
        <v>0</v>
      </c>
      <c r="AS155" s="476">
        <f t="shared" si="361"/>
        <v>0</v>
      </c>
      <c r="AT155" s="478">
        <f t="shared" si="362"/>
        <v>0</v>
      </c>
      <c r="AU155" s="484">
        <f>I155+AI155</f>
        <v>4161690</v>
      </c>
      <c r="AV155" s="475">
        <f>J155+X155</f>
        <v>3064573</v>
      </c>
      <c r="AW155" s="475">
        <f>K155+AB155</f>
        <v>0</v>
      </c>
      <c r="AX155" s="475">
        <f t="shared" si="383"/>
        <v>1035826</v>
      </c>
      <c r="AY155" s="475">
        <f t="shared" si="383"/>
        <v>61291</v>
      </c>
      <c r="AZ155" s="475">
        <f>N155+AH155</f>
        <v>0</v>
      </c>
      <c r="BA155" s="476">
        <f>O155+AT155</f>
        <v>6.0369999999999999</v>
      </c>
      <c r="BB155" s="476">
        <f t="shared" si="384"/>
        <v>6.0369999999999999</v>
      </c>
      <c r="BC155" s="478">
        <f t="shared" si="384"/>
        <v>0</v>
      </c>
    </row>
    <row r="156" spans="1:55" ht="14.1" customHeight="1" x14ac:dyDescent="0.2">
      <c r="A156" s="68">
        <v>35</v>
      </c>
      <c r="B156" s="65">
        <v>2476</v>
      </c>
      <c r="C156" s="66">
        <v>600080170</v>
      </c>
      <c r="D156" s="65">
        <v>64040364</v>
      </c>
      <c r="E156" s="67" t="s">
        <v>636</v>
      </c>
      <c r="F156" s="68">
        <v>3143</v>
      </c>
      <c r="G156" s="80" t="s">
        <v>627</v>
      </c>
      <c r="H156" s="69" t="s">
        <v>278</v>
      </c>
      <c r="I156" s="477">
        <v>154223</v>
      </c>
      <c r="J156" s="472">
        <v>109060</v>
      </c>
      <c r="K156" s="472">
        <v>0</v>
      </c>
      <c r="L156" s="472">
        <v>36862</v>
      </c>
      <c r="M156" s="472">
        <v>2181</v>
      </c>
      <c r="N156" s="472">
        <v>6120</v>
      </c>
      <c r="O156" s="473">
        <v>0.43</v>
      </c>
      <c r="P156" s="474">
        <v>0</v>
      </c>
      <c r="Q156" s="483">
        <v>0.43</v>
      </c>
      <c r="R156" s="485">
        <f t="shared" si="375"/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si="376"/>
        <v>0</v>
      </c>
      <c r="Y156" s="475">
        <v>0</v>
      </c>
      <c r="Z156" s="475">
        <v>0</v>
      </c>
      <c r="AA156" s="475">
        <v>0</v>
      </c>
      <c r="AB156" s="475">
        <f t="shared" si="377"/>
        <v>0</v>
      </c>
      <c r="AC156" s="475">
        <f t="shared" si="378"/>
        <v>0</v>
      </c>
      <c r="AD156" s="70">
        <f t="shared" si="379"/>
        <v>0</v>
      </c>
      <c r="AE156" s="70">
        <f t="shared" si="380"/>
        <v>0</v>
      </c>
      <c r="AF156" s="475">
        <v>0</v>
      </c>
      <c r="AG156" s="475">
        <v>0</v>
      </c>
      <c r="AH156" s="475">
        <f t="shared" si="381"/>
        <v>0</v>
      </c>
      <c r="AI156" s="475">
        <f t="shared" si="382"/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 t="shared" si="360"/>
        <v>0</v>
      </c>
      <c r="AS156" s="476">
        <f t="shared" si="361"/>
        <v>0</v>
      </c>
      <c r="AT156" s="478">
        <f t="shared" si="362"/>
        <v>0</v>
      </c>
      <c r="AU156" s="484">
        <f>I156+AI156</f>
        <v>154223</v>
      </c>
      <c r="AV156" s="475">
        <f>J156+X156</f>
        <v>109060</v>
      </c>
      <c r="AW156" s="475">
        <f>K156+AB156</f>
        <v>0</v>
      </c>
      <c r="AX156" s="475">
        <f t="shared" si="383"/>
        <v>36862</v>
      </c>
      <c r="AY156" s="475">
        <f t="shared" si="383"/>
        <v>2181</v>
      </c>
      <c r="AZ156" s="475">
        <f>N156+AH156</f>
        <v>6120</v>
      </c>
      <c r="BA156" s="476">
        <f>O156+AT156</f>
        <v>0.43</v>
      </c>
      <c r="BB156" s="476">
        <f t="shared" si="384"/>
        <v>0</v>
      </c>
      <c r="BC156" s="478">
        <f t="shared" si="384"/>
        <v>0.43</v>
      </c>
    </row>
    <row r="157" spans="1:55" ht="14.1" customHeight="1" x14ac:dyDescent="0.2">
      <c r="A157" s="74">
        <v>35</v>
      </c>
      <c r="B157" s="71">
        <v>2476</v>
      </c>
      <c r="C157" s="72">
        <v>600080170</v>
      </c>
      <c r="D157" s="71">
        <v>64040364</v>
      </c>
      <c r="E157" s="73" t="s">
        <v>637</v>
      </c>
      <c r="F157" s="74"/>
      <c r="G157" s="73"/>
      <c r="H157" s="75"/>
      <c r="I157" s="76">
        <v>53838085</v>
      </c>
      <c r="J157" s="77">
        <v>38615070</v>
      </c>
      <c r="K157" s="77">
        <v>65000</v>
      </c>
      <c r="L157" s="77">
        <v>13073862</v>
      </c>
      <c r="M157" s="77">
        <v>772301</v>
      </c>
      <c r="N157" s="77">
        <v>1311852</v>
      </c>
      <c r="O157" s="78">
        <v>78.938800000000015</v>
      </c>
      <c r="P157" s="78">
        <v>58.889999999999993</v>
      </c>
      <c r="Q157" s="718">
        <v>20.0488</v>
      </c>
      <c r="R157" s="76">
        <f t="shared" ref="R157:BC157" si="385">SUM(R152:R156)</f>
        <v>0</v>
      </c>
      <c r="S157" s="77">
        <f t="shared" si="385"/>
        <v>-33683</v>
      </c>
      <c r="T157" s="77">
        <f t="shared" si="385"/>
        <v>-82347</v>
      </c>
      <c r="U157" s="77">
        <f t="shared" si="385"/>
        <v>0</v>
      </c>
      <c r="V157" s="77">
        <f t="shared" si="385"/>
        <v>0</v>
      </c>
      <c r="W157" s="77">
        <f t="shared" si="385"/>
        <v>0</v>
      </c>
      <c r="X157" s="77">
        <f t="shared" si="385"/>
        <v>-116030</v>
      </c>
      <c r="Y157" s="77">
        <f t="shared" si="385"/>
        <v>0</v>
      </c>
      <c r="Z157" s="77">
        <f t="shared" si="385"/>
        <v>0</v>
      </c>
      <c r="AA157" s="77">
        <f t="shared" si="385"/>
        <v>0</v>
      </c>
      <c r="AB157" s="77">
        <f t="shared" si="385"/>
        <v>0</v>
      </c>
      <c r="AC157" s="77">
        <f t="shared" si="385"/>
        <v>-116030</v>
      </c>
      <c r="AD157" s="77">
        <f t="shared" si="385"/>
        <v>-39218</v>
      </c>
      <c r="AE157" s="77">
        <f t="shared" si="385"/>
        <v>-2321</v>
      </c>
      <c r="AF157" s="77">
        <f t="shared" si="385"/>
        <v>0</v>
      </c>
      <c r="AG157" s="77">
        <f t="shared" si="385"/>
        <v>0</v>
      </c>
      <c r="AH157" s="77">
        <f t="shared" si="385"/>
        <v>0</v>
      </c>
      <c r="AI157" s="77">
        <f t="shared" si="385"/>
        <v>-157569</v>
      </c>
      <c r="AJ157" s="78">
        <f t="shared" si="385"/>
        <v>0</v>
      </c>
      <c r="AK157" s="78">
        <f t="shared" si="385"/>
        <v>0</v>
      </c>
      <c r="AL157" s="78">
        <f t="shared" si="385"/>
        <v>-0.1</v>
      </c>
      <c r="AM157" s="78">
        <f t="shared" si="385"/>
        <v>-0.15</v>
      </c>
      <c r="AN157" s="78">
        <f t="shared" si="385"/>
        <v>2.9999999999999805E-2</v>
      </c>
      <c r="AO157" s="78">
        <f t="shared" si="385"/>
        <v>0</v>
      </c>
      <c r="AP157" s="78">
        <f t="shared" si="385"/>
        <v>0</v>
      </c>
      <c r="AQ157" s="78">
        <f t="shared" si="385"/>
        <v>0</v>
      </c>
      <c r="AR157" s="78">
        <f t="shared" si="385"/>
        <v>-0.25</v>
      </c>
      <c r="AS157" s="78">
        <f t="shared" si="385"/>
        <v>2.9999999999999805E-2</v>
      </c>
      <c r="AT157" s="79">
        <f t="shared" si="385"/>
        <v>-0.2200000000000002</v>
      </c>
      <c r="AU157" s="433">
        <f t="shared" si="385"/>
        <v>53680516</v>
      </c>
      <c r="AV157" s="77">
        <f t="shared" si="385"/>
        <v>38499040</v>
      </c>
      <c r="AW157" s="77">
        <f t="shared" si="385"/>
        <v>65000</v>
      </c>
      <c r="AX157" s="77">
        <f t="shared" si="385"/>
        <v>13034644</v>
      </c>
      <c r="AY157" s="77">
        <f t="shared" si="385"/>
        <v>769980</v>
      </c>
      <c r="AZ157" s="77">
        <f t="shared" si="385"/>
        <v>1311852</v>
      </c>
      <c r="BA157" s="78">
        <f t="shared" si="385"/>
        <v>78.718800000000016</v>
      </c>
      <c r="BB157" s="78">
        <f t="shared" si="385"/>
        <v>58.639999999999993</v>
      </c>
      <c r="BC157" s="79">
        <f t="shared" si="385"/>
        <v>20.078799999999998</v>
      </c>
    </row>
    <row r="158" spans="1:55" ht="14.1" customHeight="1" x14ac:dyDescent="0.2">
      <c r="A158" s="68">
        <v>36</v>
      </c>
      <c r="B158" s="65">
        <v>2477</v>
      </c>
      <c r="C158" s="66">
        <v>600079872</v>
      </c>
      <c r="D158" s="65">
        <v>68975147</v>
      </c>
      <c r="E158" s="67" t="s">
        <v>638</v>
      </c>
      <c r="F158" s="68">
        <v>3113</v>
      </c>
      <c r="G158" s="67" t="s">
        <v>314</v>
      </c>
      <c r="H158" s="69" t="s">
        <v>277</v>
      </c>
      <c r="I158" s="477">
        <v>45893812</v>
      </c>
      <c r="J158" s="472">
        <v>32722646</v>
      </c>
      <c r="K158" s="472">
        <v>160000</v>
      </c>
      <c r="L158" s="472">
        <v>11114334</v>
      </c>
      <c r="M158" s="472">
        <v>654452</v>
      </c>
      <c r="N158" s="472">
        <v>1242380</v>
      </c>
      <c r="O158" s="473">
        <v>57.103500000000004</v>
      </c>
      <c r="P158" s="473">
        <v>44.987899999999996</v>
      </c>
      <c r="Q158" s="483">
        <v>12.115600000000001</v>
      </c>
      <c r="R158" s="485">
        <f t="shared" ref="R158:R161" si="386">Y158*-1</f>
        <v>0</v>
      </c>
      <c r="S158" s="475">
        <v>0</v>
      </c>
      <c r="T158" s="475">
        <v>0</v>
      </c>
      <c r="U158" s="475">
        <v>99792</v>
      </c>
      <c r="V158" s="475">
        <v>0</v>
      </c>
      <c r="W158" s="475">
        <v>0</v>
      </c>
      <c r="X158" s="475">
        <f t="shared" ref="X158:X161" si="387">SUM(R158:W158)</f>
        <v>99792</v>
      </c>
      <c r="Y158" s="475">
        <v>0</v>
      </c>
      <c r="Z158" s="475">
        <v>0</v>
      </c>
      <c r="AA158" s="475">
        <v>0</v>
      </c>
      <c r="AB158" s="475">
        <f t="shared" ref="AB158:AB161" si="388">SUM(Y158:AA158)</f>
        <v>0</v>
      </c>
      <c r="AC158" s="475">
        <f t="shared" ref="AC158:AC161" si="389">X158+AB158</f>
        <v>99792</v>
      </c>
      <c r="AD158" s="70">
        <f t="shared" ref="AD158:AD161" si="390">ROUND((X158+Y158+Z158)*33.8%,0)</f>
        <v>33730</v>
      </c>
      <c r="AE158" s="70">
        <f t="shared" ref="AE158:AE161" si="391">ROUND(X158*2%,0)</f>
        <v>1996</v>
      </c>
      <c r="AF158" s="475">
        <v>0</v>
      </c>
      <c r="AG158" s="475">
        <v>0</v>
      </c>
      <c r="AH158" s="475">
        <f t="shared" ref="AH158:AH161" si="392">SUM(AF158:AG158)</f>
        <v>0</v>
      </c>
      <c r="AI158" s="475">
        <f t="shared" ref="AI158:AI161" si="393">AC158+AD158+AE158+AH158</f>
        <v>135518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0.16</v>
      </c>
      <c r="AP158" s="476">
        <v>0</v>
      </c>
      <c r="AQ158" s="476">
        <v>0</v>
      </c>
      <c r="AR158" s="476">
        <f t="shared" si="360"/>
        <v>0.16</v>
      </c>
      <c r="AS158" s="476">
        <f t="shared" si="361"/>
        <v>0</v>
      </c>
      <c r="AT158" s="478">
        <f t="shared" si="362"/>
        <v>0.16</v>
      </c>
      <c r="AU158" s="484">
        <f>I158+AI158</f>
        <v>46029330</v>
      </c>
      <c r="AV158" s="475">
        <f>J158+X158</f>
        <v>32822438</v>
      </c>
      <c r="AW158" s="475">
        <f>K158+AB158</f>
        <v>160000</v>
      </c>
      <c r="AX158" s="475">
        <f t="shared" ref="AX158:AY161" si="394">L158+AD158</f>
        <v>11148064</v>
      </c>
      <c r="AY158" s="475">
        <f t="shared" si="394"/>
        <v>656448</v>
      </c>
      <c r="AZ158" s="475">
        <f>N158+AH158</f>
        <v>1242380</v>
      </c>
      <c r="BA158" s="476">
        <f>O158+AT158</f>
        <v>57.263500000000001</v>
      </c>
      <c r="BB158" s="476">
        <f t="shared" ref="BB158:BC161" si="395">P158+AR158</f>
        <v>45.147899999999993</v>
      </c>
      <c r="BC158" s="478">
        <f t="shared" si="395"/>
        <v>12.115600000000001</v>
      </c>
    </row>
    <row r="159" spans="1:55" ht="14.1" customHeight="1" x14ac:dyDescent="0.2">
      <c r="A159" s="68">
        <v>36</v>
      </c>
      <c r="B159" s="65">
        <v>2477</v>
      </c>
      <c r="C159" s="66">
        <v>600079872</v>
      </c>
      <c r="D159" s="65">
        <v>68975147</v>
      </c>
      <c r="E159" s="67" t="s">
        <v>638</v>
      </c>
      <c r="F159" s="68">
        <v>3113</v>
      </c>
      <c r="G159" s="80" t="s">
        <v>312</v>
      </c>
      <c r="H159" s="69" t="s">
        <v>278</v>
      </c>
      <c r="I159" s="477">
        <v>3318578</v>
      </c>
      <c r="J159" s="472">
        <v>2441699</v>
      </c>
      <c r="K159" s="472">
        <v>0</v>
      </c>
      <c r="L159" s="472">
        <v>825295</v>
      </c>
      <c r="M159" s="472">
        <v>48834</v>
      </c>
      <c r="N159" s="472">
        <v>2750</v>
      </c>
      <c r="O159" s="473">
        <v>6.93</v>
      </c>
      <c r="P159" s="474">
        <v>6.93</v>
      </c>
      <c r="Q159" s="483">
        <v>0</v>
      </c>
      <c r="R159" s="485">
        <f t="shared" si="386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87"/>
        <v>0</v>
      </c>
      <c r="Y159" s="475">
        <v>0</v>
      </c>
      <c r="Z159" s="475">
        <v>0</v>
      </c>
      <c r="AA159" s="475">
        <v>0</v>
      </c>
      <c r="AB159" s="475">
        <f t="shared" si="388"/>
        <v>0</v>
      </c>
      <c r="AC159" s="475">
        <f t="shared" si="389"/>
        <v>0</v>
      </c>
      <c r="AD159" s="70">
        <f t="shared" si="390"/>
        <v>0</v>
      </c>
      <c r="AE159" s="70">
        <f t="shared" si="391"/>
        <v>0</v>
      </c>
      <c r="AF159" s="475">
        <v>0</v>
      </c>
      <c r="AG159" s="475">
        <v>0</v>
      </c>
      <c r="AH159" s="475">
        <f t="shared" si="392"/>
        <v>0</v>
      </c>
      <c r="AI159" s="475">
        <f t="shared" si="393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476">
        <f t="shared" si="360"/>
        <v>0</v>
      </c>
      <c r="AS159" s="476">
        <f t="shared" si="361"/>
        <v>0</v>
      </c>
      <c r="AT159" s="478">
        <f t="shared" si="362"/>
        <v>0</v>
      </c>
      <c r="AU159" s="484">
        <f>I159+AI159</f>
        <v>3318578</v>
      </c>
      <c r="AV159" s="475">
        <f>J159+X159</f>
        <v>2441699</v>
      </c>
      <c r="AW159" s="475">
        <f>K159+AB159</f>
        <v>0</v>
      </c>
      <c r="AX159" s="475">
        <f t="shared" si="394"/>
        <v>825295</v>
      </c>
      <c r="AY159" s="475">
        <f t="shared" si="394"/>
        <v>48834</v>
      </c>
      <c r="AZ159" s="475">
        <f>N159+AH159</f>
        <v>2750</v>
      </c>
      <c r="BA159" s="476">
        <f>O159+AT159</f>
        <v>6.93</v>
      </c>
      <c r="BB159" s="476">
        <f t="shared" si="395"/>
        <v>6.93</v>
      </c>
      <c r="BC159" s="478">
        <f t="shared" si="395"/>
        <v>0</v>
      </c>
    </row>
    <row r="160" spans="1:55" ht="14.1" customHeight="1" x14ac:dyDescent="0.2">
      <c r="A160" s="68">
        <v>36</v>
      </c>
      <c r="B160" s="65">
        <v>2477</v>
      </c>
      <c r="C160" s="66">
        <v>600079872</v>
      </c>
      <c r="D160" s="65">
        <v>68975147</v>
      </c>
      <c r="E160" s="67" t="s">
        <v>638</v>
      </c>
      <c r="F160" s="68">
        <v>3143</v>
      </c>
      <c r="G160" s="80" t="s">
        <v>626</v>
      </c>
      <c r="H160" s="69" t="s">
        <v>277</v>
      </c>
      <c r="I160" s="477">
        <v>4326748</v>
      </c>
      <c r="J160" s="472">
        <v>3186118</v>
      </c>
      <c r="K160" s="472">
        <v>0</v>
      </c>
      <c r="L160" s="472">
        <v>1076908</v>
      </c>
      <c r="M160" s="472">
        <v>63722</v>
      </c>
      <c r="N160" s="472">
        <v>0</v>
      </c>
      <c r="O160" s="473">
        <v>6.1428000000000003</v>
      </c>
      <c r="P160" s="473">
        <v>6.1428000000000003</v>
      </c>
      <c r="Q160" s="483">
        <v>0</v>
      </c>
      <c r="R160" s="485">
        <f t="shared" si="386"/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 t="shared" si="387"/>
        <v>0</v>
      </c>
      <c r="Y160" s="475">
        <v>0</v>
      </c>
      <c r="Z160" s="475">
        <v>0</v>
      </c>
      <c r="AA160" s="475">
        <v>0</v>
      </c>
      <c r="AB160" s="475">
        <f t="shared" si="388"/>
        <v>0</v>
      </c>
      <c r="AC160" s="475">
        <f t="shared" si="389"/>
        <v>0</v>
      </c>
      <c r="AD160" s="70">
        <f t="shared" si="390"/>
        <v>0</v>
      </c>
      <c r="AE160" s="70">
        <f t="shared" si="391"/>
        <v>0</v>
      </c>
      <c r="AF160" s="475">
        <v>0</v>
      </c>
      <c r="AG160" s="475">
        <v>0</v>
      </c>
      <c r="AH160" s="475">
        <f t="shared" si="392"/>
        <v>0</v>
      </c>
      <c r="AI160" s="475">
        <f t="shared" si="393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476">
        <f t="shared" si="360"/>
        <v>0</v>
      </c>
      <c r="AS160" s="476">
        <f t="shared" si="361"/>
        <v>0</v>
      </c>
      <c r="AT160" s="478">
        <f t="shared" si="362"/>
        <v>0</v>
      </c>
      <c r="AU160" s="484">
        <f>I160+AI160</f>
        <v>4326748</v>
      </c>
      <c r="AV160" s="475">
        <f>J160+X160</f>
        <v>3186118</v>
      </c>
      <c r="AW160" s="475">
        <f>K160+AB160</f>
        <v>0</v>
      </c>
      <c r="AX160" s="475">
        <f t="shared" si="394"/>
        <v>1076908</v>
      </c>
      <c r="AY160" s="475">
        <f t="shared" si="394"/>
        <v>63722</v>
      </c>
      <c r="AZ160" s="475">
        <f>N160+AH160</f>
        <v>0</v>
      </c>
      <c r="BA160" s="476">
        <f>O160+AT160</f>
        <v>6.1428000000000003</v>
      </c>
      <c r="BB160" s="476">
        <f t="shared" si="395"/>
        <v>6.1428000000000003</v>
      </c>
      <c r="BC160" s="478">
        <f t="shared" si="395"/>
        <v>0</v>
      </c>
    </row>
    <row r="161" spans="1:55" ht="14.1" customHeight="1" x14ac:dyDescent="0.2">
      <c r="A161" s="68">
        <v>36</v>
      </c>
      <c r="B161" s="65">
        <v>2477</v>
      </c>
      <c r="C161" s="66">
        <v>600079872</v>
      </c>
      <c r="D161" s="65">
        <v>68975147</v>
      </c>
      <c r="E161" s="67" t="s">
        <v>638</v>
      </c>
      <c r="F161" s="68">
        <v>3143</v>
      </c>
      <c r="G161" s="80" t="s">
        <v>627</v>
      </c>
      <c r="H161" s="69" t="s">
        <v>278</v>
      </c>
      <c r="I161" s="477">
        <v>148177</v>
      </c>
      <c r="J161" s="472">
        <v>104784</v>
      </c>
      <c r="K161" s="472">
        <v>0</v>
      </c>
      <c r="L161" s="472">
        <v>35417</v>
      </c>
      <c r="M161" s="472">
        <v>2096</v>
      </c>
      <c r="N161" s="472">
        <v>5880</v>
      </c>
      <c r="O161" s="473">
        <v>0.41</v>
      </c>
      <c r="P161" s="474">
        <v>0</v>
      </c>
      <c r="Q161" s="483">
        <v>0.41</v>
      </c>
      <c r="R161" s="485">
        <f t="shared" si="386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si="387"/>
        <v>0</v>
      </c>
      <c r="Y161" s="475">
        <v>0</v>
      </c>
      <c r="Z161" s="475">
        <v>0</v>
      </c>
      <c r="AA161" s="475">
        <v>0</v>
      </c>
      <c r="AB161" s="475">
        <f t="shared" si="388"/>
        <v>0</v>
      </c>
      <c r="AC161" s="475">
        <f t="shared" si="389"/>
        <v>0</v>
      </c>
      <c r="AD161" s="70">
        <f t="shared" si="390"/>
        <v>0</v>
      </c>
      <c r="AE161" s="70">
        <f t="shared" si="391"/>
        <v>0</v>
      </c>
      <c r="AF161" s="475">
        <v>0</v>
      </c>
      <c r="AG161" s="475">
        <v>0</v>
      </c>
      <c r="AH161" s="475">
        <f t="shared" si="392"/>
        <v>0</v>
      </c>
      <c r="AI161" s="475">
        <f t="shared" si="393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 t="shared" si="360"/>
        <v>0</v>
      </c>
      <c r="AS161" s="476">
        <f t="shared" si="361"/>
        <v>0</v>
      </c>
      <c r="AT161" s="478">
        <f t="shared" si="362"/>
        <v>0</v>
      </c>
      <c r="AU161" s="484">
        <f>I161+AI161</f>
        <v>148177</v>
      </c>
      <c r="AV161" s="475">
        <f>J161+X161</f>
        <v>104784</v>
      </c>
      <c r="AW161" s="475">
        <f>K161+AB161</f>
        <v>0</v>
      </c>
      <c r="AX161" s="475">
        <f t="shared" si="394"/>
        <v>35417</v>
      </c>
      <c r="AY161" s="475">
        <f t="shared" si="394"/>
        <v>2096</v>
      </c>
      <c r="AZ161" s="475">
        <f>N161+AH161</f>
        <v>5880</v>
      </c>
      <c r="BA161" s="476">
        <f>O161+AT161</f>
        <v>0.41</v>
      </c>
      <c r="BB161" s="476">
        <f t="shared" si="395"/>
        <v>0</v>
      </c>
      <c r="BC161" s="478">
        <f t="shared" si="395"/>
        <v>0.41</v>
      </c>
    </row>
    <row r="162" spans="1:55" ht="14.1" customHeight="1" x14ac:dyDescent="0.2">
      <c r="A162" s="74">
        <v>36</v>
      </c>
      <c r="B162" s="71">
        <v>2477</v>
      </c>
      <c r="C162" s="72">
        <v>600079872</v>
      </c>
      <c r="D162" s="71">
        <v>68975147</v>
      </c>
      <c r="E162" s="73" t="s">
        <v>639</v>
      </c>
      <c r="F162" s="74"/>
      <c r="G162" s="73"/>
      <c r="H162" s="75"/>
      <c r="I162" s="76">
        <v>53687315</v>
      </c>
      <c r="J162" s="77">
        <v>38455247</v>
      </c>
      <c r="K162" s="77">
        <v>160000</v>
      </c>
      <c r="L162" s="77">
        <v>13051954</v>
      </c>
      <c r="M162" s="77">
        <v>769104</v>
      </c>
      <c r="N162" s="77">
        <v>1251010</v>
      </c>
      <c r="O162" s="78">
        <v>70.586299999999994</v>
      </c>
      <c r="P162" s="78">
        <v>58.060699999999997</v>
      </c>
      <c r="Q162" s="718">
        <v>12.525600000000001</v>
      </c>
      <c r="R162" s="76">
        <f t="shared" ref="R162:BC162" si="396">SUM(R158:R161)</f>
        <v>0</v>
      </c>
      <c r="S162" s="77">
        <f t="shared" si="396"/>
        <v>0</v>
      </c>
      <c r="T162" s="77">
        <f t="shared" si="396"/>
        <v>0</v>
      </c>
      <c r="U162" s="77">
        <f t="shared" si="396"/>
        <v>99792</v>
      </c>
      <c r="V162" s="77">
        <f t="shared" si="396"/>
        <v>0</v>
      </c>
      <c r="W162" s="77">
        <f t="shared" si="396"/>
        <v>0</v>
      </c>
      <c r="X162" s="77">
        <f t="shared" si="396"/>
        <v>99792</v>
      </c>
      <c r="Y162" s="77">
        <f t="shared" si="396"/>
        <v>0</v>
      </c>
      <c r="Z162" s="77">
        <f t="shared" si="396"/>
        <v>0</v>
      </c>
      <c r="AA162" s="77">
        <f t="shared" si="396"/>
        <v>0</v>
      </c>
      <c r="AB162" s="77">
        <f t="shared" si="396"/>
        <v>0</v>
      </c>
      <c r="AC162" s="77">
        <f t="shared" si="396"/>
        <v>99792</v>
      </c>
      <c r="AD162" s="77">
        <f t="shared" si="396"/>
        <v>33730</v>
      </c>
      <c r="AE162" s="77">
        <f t="shared" si="396"/>
        <v>1996</v>
      </c>
      <c r="AF162" s="77">
        <f t="shared" si="396"/>
        <v>0</v>
      </c>
      <c r="AG162" s="77">
        <f t="shared" si="396"/>
        <v>0</v>
      </c>
      <c r="AH162" s="77">
        <f t="shared" si="396"/>
        <v>0</v>
      </c>
      <c r="AI162" s="77">
        <f t="shared" si="396"/>
        <v>135518</v>
      </c>
      <c r="AJ162" s="78">
        <f t="shared" si="396"/>
        <v>0</v>
      </c>
      <c r="AK162" s="78">
        <f t="shared" si="396"/>
        <v>0</v>
      </c>
      <c r="AL162" s="78">
        <f t="shared" si="396"/>
        <v>0</v>
      </c>
      <c r="AM162" s="78">
        <f t="shared" si="396"/>
        <v>0</v>
      </c>
      <c r="AN162" s="78">
        <f t="shared" si="396"/>
        <v>0</v>
      </c>
      <c r="AO162" s="78">
        <f t="shared" si="396"/>
        <v>0.16</v>
      </c>
      <c r="AP162" s="78">
        <f t="shared" si="396"/>
        <v>0</v>
      </c>
      <c r="AQ162" s="78">
        <f t="shared" si="396"/>
        <v>0</v>
      </c>
      <c r="AR162" s="78">
        <f t="shared" si="396"/>
        <v>0.16</v>
      </c>
      <c r="AS162" s="78">
        <f t="shared" si="396"/>
        <v>0</v>
      </c>
      <c r="AT162" s="79">
        <f t="shared" si="396"/>
        <v>0.16</v>
      </c>
      <c r="AU162" s="433">
        <f t="shared" si="396"/>
        <v>53822833</v>
      </c>
      <c r="AV162" s="77">
        <f t="shared" si="396"/>
        <v>38555039</v>
      </c>
      <c r="AW162" s="77">
        <f t="shared" si="396"/>
        <v>160000</v>
      </c>
      <c r="AX162" s="77">
        <f t="shared" si="396"/>
        <v>13085684</v>
      </c>
      <c r="AY162" s="77">
        <f t="shared" si="396"/>
        <v>771100</v>
      </c>
      <c r="AZ162" s="77">
        <f t="shared" si="396"/>
        <v>1251010</v>
      </c>
      <c r="BA162" s="78">
        <f t="shared" si="396"/>
        <v>70.746299999999991</v>
      </c>
      <c r="BB162" s="78">
        <f t="shared" si="396"/>
        <v>58.220699999999994</v>
      </c>
      <c r="BC162" s="79">
        <f t="shared" si="396"/>
        <v>12.525600000000001</v>
      </c>
    </row>
    <row r="163" spans="1:55" ht="14.1" customHeight="1" x14ac:dyDescent="0.2">
      <c r="A163" s="68">
        <v>37</v>
      </c>
      <c r="B163" s="65">
        <v>2470</v>
      </c>
      <c r="C163" s="66">
        <v>600080013</v>
      </c>
      <c r="D163" s="65">
        <v>72741554</v>
      </c>
      <c r="E163" s="67" t="s">
        <v>640</v>
      </c>
      <c r="F163" s="68">
        <v>3113</v>
      </c>
      <c r="G163" s="67" t="s">
        <v>314</v>
      </c>
      <c r="H163" s="69" t="s">
        <v>277</v>
      </c>
      <c r="I163" s="477">
        <v>38806188</v>
      </c>
      <c r="J163" s="472">
        <v>27613828</v>
      </c>
      <c r="K163" s="472">
        <v>350000</v>
      </c>
      <c r="L163" s="472">
        <v>9451774</v>
      </c>
      <c r="M163" s="472">
        <v>552276</v>
      </c>
      <c r="N163" s="472">
        <v>838310</v>
      </c>
      <c r="O163" s="473">
        <v>44.276199999999996</v>
      </c>
      <c r="P163" s="473">
        <v>35.576799999999999</v>
      </c>
      <c r="Q163" s="483">
        <v>8.6994000000000007</v>
      </c>
      <c r="R163" s="485">
        <f t="shared" ref="R163:R167" si="397">Y163*-1</f>
        <v>0</v>
      </c>
      <c r="S163" s="475">
        <v>0</v>
      </c>
      <c r="T163" s="475">
        <v>157752</v>
      </c>
      <c r="U163" s="475">
        <v>0</v>
      </c>
      <c r="V163" s="475">
        <v>0</v>
      </c>
      <c r="W163" s="475">
        <v>0</v>
      </c>
      <c r="X163" s="475">
        <f t="shared" ref="X163:X167" si="398">SUM(R163:W163)</f>
        <v>157752</v>
      </c>
      <c r="Y163" s="475">
        <v>0</v>
      </c>
      <c r="Z163" s="475">
        <v>0</v>
      </c>
      <c r="AA163" s="475">
        <v>0</v>
      </c>
      <c r="AB163" s="475">
        <f t="shared" ref="AB163:AB167" si="399">SUM(Y163:AA163)</f>
        <v>0</v>
      </c>
      <c r="AC163" s="475">
        <f t="shared" ref="AC163:AC167" si="400">X163+AB163</f>
        <v>157752</v>
      </c>
      <c r="AD163" s="70">
        <f t="shared" ref="AD163:AD167" si="401">ROUND((X163+Y163+Z163)*33.8%,0)</f>
        <v>53320</v>
      </c>
      <c r="AE163" s="70">
        <f t="shared" ref="AE163:AE167" si="402">ROUND(X163*2%,0)</f>
        <v>3155</v>
      </c>
      <c r="AF163" s="475">
        <v>0</v>
      </c>
      <c r="AG163" s="475">
        <v>0</v>
      </c>
      <c r="AH163" s="475">
        <f t="shared" ref="AH163:AH167" si="403">SUM(AF163:AG163)</f>
        <v>0</v>
      </c>
      <c r="AI163" s="475">
        <f t="shared" ref="AI163:AI167" si="404">AC163+AD163+AE163+AH163</f>
        <v>214227</v>
      </c>
      <c r="AJ163" s="476">
        <v>0</v>
      </c>
      <c r="AK163" s="476">
        <v>0</v>
      </c>
      <c r="AL163" s="476">
        <v>0</v>
      </c>
      <c r="AM163" s="476">
        <v>0.23</v>
      </c>
      <c r="AN163" s="476">
        <v>0</v>
      </c>
      <c r="AO163" s="476">
        <v>0</v>
      </c>
      <c r="AP163" s="476">
        <v>0</v>
      </c>
      <c r="AQ163" s="476">
        <v>0</v>
      </c>
      <c r="AR163" s="476">
        <f t="shared" si="360"/>
        <v>0.23</v>
      </c>
      <c r="AS163" s="476">
        <f t="shared" si="361"/>
        <v>0</v>
      </c>
      <c r="AT163" s="478">
        <f t="shared" si="362"/>
        <v>0.23</v>
      </c>
      <c r="AU163" s="484">
        <f>I163+AI163</f>
        <v>39020415</v>
      </c>
      <c r="AV163" s="475">
        <f>J163+X163</f>
        <v>27771580</v>
      </c>
      <c r="AW163" s="475">
        <f>K163+AB163</f>
        <v>350000</v>
      </c>
      <c r="AX163" s="475">
        <f t="shared" ref="AX163:AY167" si="405">L163+AD163</f>
        <v>9505094</v>
      </c>
      <c r="AY163" s="475">
        <f t="shared" si="405"/>
        <v>555431</v>
      </c>
      <c r="AZ163" s="475">
        <f>N163+AH163</f>
        <v>838310</v>
      </c>
      <c r="BA163" s="476">
        <f>O163+AT163</f>
        <v>44.506199999999993</v>
      </c>
      <c r="BB163" s="476">
        <f t="shared" ref="BB163:BC167" si="406">P163+AR163</f>
        <v>35.806799999999996</v>
      </c>
      <c r="BC163" s="478">
        <f t="shared" si="406"/>
        <v>8.6994000000000007</v>
      </c>
    </row>
    <row r="164" spans="1:55" ht="14.1" customHeight="1" x14ac:dyDescent="0.2">
      <c r="A164" s="68">
        <v>37</v>
      </c>
      <c r="B164" s="65">
        <v>2470</v>
      </c>
      <c r="C164" s="66">
        <v>600080013</v>
      </c>
      <c r="D164" s="65">
        <v>72741554</v>
      </c>
      <c r="E164" s="67" t="s">
        <v>640</v>
      </c>
      <c r="F164" s="68">
        <v>3113</v>
      </c>
      <c r="G164" s="80" t="s">
        <v>312</v>
      </c>
      <c r="H164" s="69" t="s">
        <v>278</v>
      </c>
      <c r="I164" s="477">
        <v>1512882</v>
      </c>
      <c r="J164" s="472">
        <v>1114051</v>
      </c>
      <c r="K164" s="472">
        <v>0</v>
      </c>
      <c r="L164" s="472">
        <v>376550</v>
      </c>
      <c r="M164" s="472">
        <v>22281</v>
      </c>
      <c r="N164" s="472">
        <v>0</v>
      </c>
      <c r="O164" s="473">
        <v>2.93</v>
      </c>
      <c r="P164" s="474">
        <v>2.93</v>
      </c>
      <c r="Q164" s="483">
        <v>0</v>
      </c>
      <c r="R164" s="485">
        <f t="shared" si="397"/>
        <v>0</v>
      </c>
      <c r="S164" s="475">
        <v>0</v>
      </c>
      <c r="T164" s="475">
        <v>0</v>
      </c>
      <c r="U164" s="475">
        <v>0</v>
      </c>
      <c r="V164" s="475">
        <v>0</v>
      </c>
      <c r="W164" s="475">
        <v>0</v>
      </c>
      <c r="X164" s="475">
        <f t="shared" si="398"/>
        <v>0</v>
      </c>
      <c r="Y164" s="475">
        <v>0</v>
      </c>
      <c r="Z164" s="475">
        <v>0</v>
      </c>
      <c r="AA164" s="475">
        <v>0</v>
      </c>
      <c r="AB164" s="475">
        <f t="shared" si="399"/>
        <v>0</v>
      </c>
      <c r="AC164" s="475">
        <f t="shared" si="400"/>
        <v>0</v>
      </c>
      <c r="AD164" s="70">
        <f t="shared" si="401"/>
        <v>0</v>
      </c>
      <c r="AE164" s="70">
        <f t="shared" si="402"/>
        <v>0</v>
      </c>
      <c r="AF164" s="475">
        <v>0</v>
      </c>
      <c r="AG164" s="475">
        <v>0</v>
      </c>
      <c r="AH164" s="475">
        <f t="shared" si="403"/>
        <v>0</v>
      </c>
      <c r="AI164" s="475">
        <f t="shared" si="404"/>
        <v>0</v>
      </c>
      <c r="AJ164" s="476">
        <v>0</v>
      </c>
      <c r="AK164" s="476">
        <v>0</v>
      </c>
      <c r="AL164" s="476">
        <v>0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476">
        <f t="shared" si="360"/>
        <v>0</v>
      </c>
      <c r="AS164" s="476">
        <f t="shared" si="361"/>
        <v>0</v>
      </c>
      <c r="AT164" s="478">
        <f t="shared" si="362"/>
        <v>0</v>
      </c>
      <c r="AU164" s="484">
        <f>I164+AI164</f>
        <v>1512882</v>
      </c>
      <c r="AV164" s="475">
        <f>J164+X164</f>
        <v>1114051</v>
      </c>
      <c r="AW164" s="475">
        <f>K164+AB164</f>
        <v>0</v>
      </c>
      <c r="AX164" s="475">
        <f t="shared" si="405"/>
        <v>376550</v>
      </c>
      <c r="AY164" s="475">
        <f t="shared" si="405"/>
        <v>22281</v>
      </c>
      <c r="AZ164" s="475">
        <f>N164+AH164</f>
        <v>0</v>
      </c>
      <c r="BA164" s="476">
        <f>O164+AT164</f>
        <v>2.93</v>
      </c>
      <c r="BB164" s="476">
        <f t="shared" si="406"/>
        <v>2.93</v>
      </c>
      <c r="BC164" s="478">
        <f t="shared" si="406"/>
        <v>0</v>
      </c>
    </row>
    <row r="165" spans="1:55" ht="14.1" customHeight="1" x14ac:dyDescent="0.2">
      <c r="A165" s="68">
        <v>37</v>
      </c>
      <c r="B165" s="65">
        <v>2470</v>
      </c>
      <c r="C165" s="66">
        <v>600080013</v>
      </c>
      <c r="D165" s="65">
        <v>72741554</v>
      </c>
      <c r="E165" s="67" t="s">
        <v>640</v>
      </c>
      <c r="F165" s="68">
        <v>3141</v>
      </c>
      <c r="G165" s="80" t="s">
        <v>315</v>
      </c>
      <c r="H165" s="69" t="s">
        <v>278</v>
      </c>
      <c r="I165" s="477">
        <v>3448508</v>
      </c>
      <c r="J165" s="472">
        <v>2436663</v>
      </c>
      <c r="K165" s="472">
        <v>80000</v>
      </c>
      <c r="L165" s="472">
        <v>850632</v>
      </c>
      <c r="M165" s="472">
        <v>48733</v>
      </c>
      <c r="N165" s="472">
        <v>32480</v>
      </c>
      <c r="O165" s="473">
        <v>7.8199999999999994</v>
      </c>
      <c r="P165" s="474">
        <v>0</v>
      </c>
      <c r="Q165" s="483">
        <v>7.8199999999999994</v>
      </c>
      <c r="R165" s="485">
        <f t="shared" si="397"/>
        <v>0</v>
      </c>
      <c r="S165" s="475">
        <v>0</v>
      </c>
      <c r="T165" s="755">
        <v>-6014</v>
      </c>
      <c r="U165" s="475">
        <v>0</v>
      </c>
      <c r="V165" s="475">
        <v>0</v>
      </c>
      <c r="W165" s="475">
        <v>0</v>
      </c>
      <c r="X165" s="475">
        <f t="shared" si="398"/>
        <v>-6014</v>
      </c>
      <c r="Y165" s="475">
        <v>0</v>
      </c>
      <c r="Z165" s="475">
        <v>0</v>
      </c>
      <c r="AA165" s="475">
        <v>0</v>
      </c>
      <c r="AB165" s="475">
        <f t="shared" si="399"/>
        <v>0</v>
      </c>
      <c r="AC165" s="475">
        <f t="shared" si="400"/>
        <v>-6014</v>
      </c>
      <c r="AD165" s="70">
        <f t="shared" si="401"/>
        <v>-2033</v>
      </c>
      <c r="AE165" s="70">
        <f t="shared" si="402"/>
        <v>-120</v>
      </c>
      <c r="AF165" s="475">
        <v>0</v>
      </c>
      <c r="AG165" s="475">
        <v>0</v>
      </c>
      <c r="AH165" s="475">
        <f t="shared" si="403"/>
        <v>0</v>
      </c>
      <c r="AI165" s="475">
        <f t="shared" si="404"/>
        <v>-8167</v>
      </c>
      <c r="AJ165" s="476">
        <v>0</v>
      </c>
      <c r="AK165" s="476">
        <v>0</v>
      </c>
      <c r="AL165" s="476">
        <v>0</v>
      </c>
      <c r="AM165" s="476">
        <v>0</v>
      </c>
      <c r="AN165" s="756">
        <v>-2.0000000000000018E-2</v>
      </c>
      <c r="AO165" s="476">
        <v>0</v>
      </c>
      <c r="AP165" s="476">
        <v>0</v>
      </c>
      <c r="AQ165" s="476">
        <v>0</v>
      </c>
      <c r="AR165" s="476">
        <f t="shared" si="360"/>
        <v>0</v>
      </c>
      <c r="AS165" s="476">
        <f t="shared" si="361"/>
        <v>-2.0000000000000018E-2</v>
      </c>
      <c r="AT165" s="478">
        <f t="shared" si="362"/>
        <v>-2.0000000000000018E-2</v>
      </c>
      <c r="AU165" s="484">
        <f>I165+AI165</f>
        <v>3440341</v>
      </c>
      <c r="AV165" s="475">
        <f>J165+X165</f>
        <v>2430649</v>
      </c>
      <c r="AW165" s="475">
        <f>K165+AB165</f>
        <v>80000</v>
      </c>
      <c r="AX165" s="475">
        <f t="shared" si="405"/>
        <v>848599</v>
      </c>
      <c r="AY165" s="475">
        <f t="shared" si="405"/>
        <v>48613</v>
      </c>
      <c r="AZ165" s="475">
        <f>N165+AH165</f>
        <v>32480</v>
      </c>
      <c r="BA165" s="476">
        <f>O165+AT165</f>
        <v>7.7999999999999989</v>
      </c>
      <c r="BB165" s="476">
        <f t="shared" si="406"/>
        <v>0</v>
      </c>
      <c r="BC165" s="478">
        <f t="shared" si="406"/>
        <v>7.7999999999999989</v>
      </c>
    </row>
    <row r="166" spans="1:55" ht="14.1" customHeight="1" x14ac:dyDescent="0.2">
      <c r="A166" s="68">
        <v>37</v>
      </c>
      <c r="B166" s="65">
        <v>2470</v>
      </c>
      <c r="C166" s="66">
        <v>600080013</v>
      </c>
      <c r="D166" s="65">
        <v>72741554</v>
      </c>
      <c r="E166" s="67" t="s">
        <v>640</v>
      </c>
      <c r="F166" s="68">
        <v>3143</v>
      </c>
      <c r="G166" s="80" t="s">
        <v>626</v>
      </c>
      <c r="H166" s="69" t="s">
        <v>277</v>
      </c>
      <c r="I166" s="477">
        <v>4005894</v>
      </c>
      <c r="J166" s="472">
        <v>2930143</v>
      </c>
      <c r="K166" s="472">
        <v>20000</v>
      </c>
      <c r="L166" s="472">
        <v>997148</v>
      </c>
      <c r="M166" s="472">
        <v>58603</v>
      </c>
      <c r="N166" s="472">
        <v>0</v>
      </c>
      <c r="O166" s="473">
        <v>6.3391000000000002</v>
      </c>
      <c r="P166" s="473">
        <v>6.3391000000000002</v>
      </c>
      <c r="Q166" s="483">
        <v>0</v>
      </c>
      <c r="R166" s="485">
        <f t="shared" si="397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398"/>
        <v>0</v>
      </c>
      <c r="Y166" s="475">
        <v>0</v>
      </c>
      <c r="Z166" s="475">
        <v>0</v>
      </c>
      <c r="AA166" s="475">
        <v>0</v>
      </c>
      <c r="AB166" s="475">
        <f t="shared" si="399"/>
        <v>0</v>
      </c>
      <c r="AC166" s="475">
        <f t="shared" si="400"/>
        <v>0</v>
      </c>
      <c r="AD166" s="70">
        <f t="shared" si="401"/>
        <v>0</v>
      </c>
      <c r="AE166" s="70">
        <f t="shared" si="402"/>
        <v>0</v>
      </c>
      <c r="AF166" s="475">
        <v>0</v>
      </c>
      <c r="AG166" s="475">
        <v>0</v>
      </c>
      <c r="AH166" s="475">
        <f t="shared" si="403"/>
        <v>0</v>
      </c>
      <c r="AI166" s="475">
        <f t="shared" si="404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476">
        <f t="shared" si="360"/>
        <v>0</v>
      </c>
      <c r="AS166" s="476">
        <f t="shared" si="361"/>
        <v>0</v>
      </c>
      <c r="AT166" s="478">
        <f t="shared" si="362"/>
        <v>0</v>
      </c>
      <c r="AU166" s="484">
        <f>I166+AI166</f>
        <v>4005894</v>
      </c>
      <c r="AV166" s="475">
        <f>J166+X166</f>
        <v>2930143</v>
      </c>
      <c r="AW166" s="475">
        <f>K166+AB166</f>
        <v>20000</v>
      </c>
      <c r="AX166" s="475">
        <f t="shared" si="405"/>
        <v>997148</v>
      </c>
      <c r="AY166" s="475">
        <f t="shared" si="405"/>
        <v>58603</v>
      </c>
      <c r="AZ166" s="475">
        <f>N166+AH166</f>
        <v>0</v>
      </c>
      <c r="BA166" s="476">
        <f>O166+AT166</f>
        <v>6.3391000000000002</v>
      </c>
      <c r="BB166" s="476">
        <f t="shared" si="406"/>
        <v>6.3391000000000002</v>
      </c>
      <c r="BC166" s="478">
        <f t="shared" si="406"/>
        <v>0</v>
      </c>
    </row>
    <row r="167" spans="1:55" ht="14.1" customHeight="1" x14ac:dyDescent="0.2">
      <c r="A167" s="68">
        <v>37</v>
      </c>
      <c r="B167" s="65">
        <v>2470</v>
      </c>
      <c r="C167" s="66">
        <v>600080013</v>
      </c>
      <c r="D167" s="65">
        <v>72741554</v>
      </c>
      <c r="E167" s="67" t="s">
        <v>640</v>
      </c>
      <c r="F167" s="68">
        <v>3143</v>
      </c>
      <c r="G167" s="80" t="s">
        <v>627</v>
      </c>
      <c r="H167" s="69" t="s">
        <v>278</v>
      </c>
      <c r="I167" s="477">
        <v>124740</v>
      </c>
      <c r="J167" s="472">
        <v>88211</v>
      </c>
      <c r="K167" s="472">
        <v>0</v>
      </c>
      <c r="L167" s="472">
        <v>29815</v>
      </c>
      <c r="M167" s="472">
        <v>1764</v>
      </c>
      <c r="N167" s="472">
        <v>4950</v>
      </c>
      <c r="O167" s="473">
        <v>0.34</v>
      </c>
      <c r="P167" s="474">
        <v>0</v>
      </c>
      <c r="Q167" s="483">
        <v>0.34</v>
      </c>
      <c r="R167" s="485">
        <f t="shared" si="397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398"/>
        <v>0</v>
      </c>
      <c r="Y167" s="475">
        <v>0</v>
      </c>
      <c r="Z167" s="475">
        <v>0</v>
      </c>
      <c r="AA167" s="475">
        <v>0</v>
      </c>
      <c r="AB167" s="475">
        <f t="shared" si="399"/>
        <v>0</v>
      </c>
      <c r="AC167" s="475">
        <f t="shared" si="400"/>
        <v>0</v>
      </c>
      <c r="AD167" s="70">
        <f t="shared" si="401"/>
        <v>0</v>
      </c>
      <c r="AE167" s="70">
        <f t="shared" si="402"/>
        <v>0</v>
      </c>
      <c r="AF167" s="475">
        <v>0</v>
      </c>
      <c r="AG167" s="475">
        <v>0</v>
      </c>
      <c r="AH167" s="475">
        <f t="shared" si="403"/>
        <v>0</v>
      </c>
      <c r="AI167" s="475">
        <f t="shared" si="404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476">
        <f t="shared" si="360"/>
        <v>0</v>
      </c>
      <c r="AS167" s="476">
        <f t="shared" si="361"/>
        <v>0</v>
      </c>
      <c r="AT167" s="478">
        <f t="shared" si="362"/>
        <v>0</v>
      </c>
      <c r="AU167" s="484">
        <f>I167+AI167</f>
        <v>124740</v>
      </c>
      <c r="AV167" s="475">
        <f>J167+X167</f>
        <v>88211</v>
      </c>
      <c r="AW167" s="475">
        <f>K167+AB167</f>
        <v>0</v>
      </c>
      <c r="AX167" s="475">
        <f t="shared" si="405"/>
        <v>29815</v>
      </c>
      <c r="AY167" s="475">
        <f t="shared" si="405"/>
        <v>1764</v>
      </c>
      <c r="AZ167" s="475">
        <f>N167+AH167</f>
        <v>4950</v>
      </c>
      <c r="BA167" s="476">
        <f>O167+AT167</f>
        <v>0.34</v>
      </c>
      <c r="BB167" s="476">
        <f t="shared" si="406"/>
        <v>0</v>
      </c>
      <c r="BC167" s="478">
        <f t="shared" si="406"/>
        <v>0.34</v>
      </c>
    </row>
    <row r="168" spans="1:55" ht="14.1" customHeight="1" x14ac:dyDescent="0.2">
      <c r="A168" s="74">
        <v>37</v>
      </c>
      <c r="B168" s="71">
        <v>2470</v>
      </c>
      <c r="C168" s="72">
        <v>600080013</v>
      </c>
      <c r="D168" s="71">
        <v>72741554</v>
      </c>
      <c r="E168" s="73" t="s">
        <v>641</v>
      </c>
      <c r="F168" s="74"/>
      <c r="G168" s="73"/>
      <c r="H168" s="75"/>
      <c r="I168" s="76">
        <v>47898212</v>
      </c>
      <c r="J168" s="77">
        <v>34182896</v>
      </c>
      <c r="K168" s="77">
        <v>450000</v>
      </c>
      <c r="L168" s="77">
        <v>11705919</v>
      </c>
      <c r="M168" s="77">
        <v>683657</v>
      </c>
      <c r="N168" s="77">
        <v>875740</v>
      </c>
      <c r="O168" s="78">
        <v>61.705300000000001</v>
      </c>
      <c r="P168" s="78">
        <v>44.8459</v>
      </c>
      <c r="Q168" s="718">
        <v>16.859400000000001</v>
      </c>
      <c r="R168" s="76">
        <f t="shared" ref="R168:BC168" si="407">SUM(R163:R167)</f>
        <v>0</v>
      </c>
      <c r="S168" s="77">
        <f t="shared" si="407"/>
        <v>0</v>
      </c>
      <c r="T168" s="77">
        <f t="shared" si="407"/>
        <v>151738</v>
      </c>
      <c r="U168" s="77">
        <f t="shared" si="407"/>
        <v>0</v>
      </c>
      <c r="V168" s="77">
        <f t="shared" si="407"/>
        <v>0</v>
      </c>
      <c r="W168" s="77">
        <f t="shared" si="407"/>
        <v>0</v>
      </c>
      <c r="X168" s="77">
        <f t="shared" si="407"/>
        <v>151738</v>
      </c>
      <c r="Y168" s="77">
        <f t="shared" si="407"/>
        <v>0</v>
      </c>
      <c r="Z168" s="77">
        <f t="shared" si="407"/>
        <v>0</v>
      </c>
      <c r="AA168" s="77">
        <f t="shared" si="407"/>
        <v>0</v>
      </c>
      <c r="AB168" s="77">
        <f t="shared" si="407"/>
        <v>0</v>
      </c>
      <c r="AC168" s="77">
        <f t="shared" si="407"/>
        <v>151738</v>
      </c>
      <c r="AD168" s="77">
        <f t="shared" si="407"/>
        <v>51287</v>
      </c>
      <c r="AE168" s="77">
        <f t="shared" si="407"/>
        <v>3035</v>
      </c>
      <c r="AF168" s="77">
        <f t="shared" si="407"/>
        <v>0</v>
      </c>
      <c r="AG168" s="77">
        <f t="shared" si="407"/>
        <v>0</v>
      </c>
      <c r="AH168" s="77">
        <f t="shared" si="407"/>
        <v>0</v>
      </c>
      <c r="AI168" s="77">
        <f t="shared" si="407"/>
        <v>206060</v>
      </c>
      <c r="AJ168" s="78">
        <f t="shared" si="407"/>
        <v>0</v>
      </c>
      <c r="AK168" s="78">
        <f t="shared" si="407"/>
        <v>0</v>
      </c>
      <c r="AL168" s="78">
        <f t="shared" si="407"/>
        <v>0</v>
      </c>
      <c r="AM168" s="78">
        <f t="shared" si="407"/>
        <v>0.23</v>
      </c>
      <c r="AN168" s="78">
        <f t="shared" si="407"/>
        <v>-2.0000000000000018E-2</v>
      </c>
      <c r="AO168" s="78">
        <f t="shared" si="407"/>
        <v>0</v>
      </c>
      <c r="AP168" s="78">
        <f t="shared" si="407"/>
        <v>0</v>
      </c>
      <c r="AQ168" s="78">
        <f t="shared" si="407"/>
        <v>0</v>
      </c>
      <c r="AR168" s="78">
        <f t="shared" si="407"/>
        <v>0.23</v>
      </c>
      <c r="AS168" s="78">
        <f t="shared" si="407"/>
        <v>-2.0000000000000018E-2</v>
      </c>
      <c r="AT168" s="79">
        <f t="shared" si="407"/>
        <v>0.21</v>
      </c>
      <c r="AU168" s="433">
        <f t="shared" si="407"/>
        <v>48104272</v>
      </c>
      <c r="AV168" s="77">
        <f t="shared" si="407"/>
        <v>34334634</v>
      </c>
      <c r="AW168" s="77">
        <f t="shared" si="407"/>
        <v>450000</v>
      </c>
      <c r="AX168" s="77">
        <f t="shared" si="407"/>
        <v>11757206</v>
      </c>
      <c r="AY168" s="77">
        <f t="shared" si="407"/>
        <v>686692</v>
      </c>
      <c r="AZ168" s="77">
        <f t="shared" si="407"/>
        <v>875740</v>
      </c>
      <c r="BA168" s="78">
        <f t="shared" si="407"/>
        <v>61.915299999999995</v>
      </c>
      <c r="BB168" s="78">
        <f t="shared" si="407"/>
        <v>45.075899999999997</v>
      </c>
      <c r="BC168" s="79">
        <f t="shared" si="407"/>
        <v>16.839400000000001</v>
      </c>
    </row>
    <row r="169" spans="1:55" ht="14.1" customHeight="1" x14ac:dyDescent="0.2">
      <c r="A169" s="68">
        <v>38</v>
      </c>
      <c r="B169" s="65">
        <v>2307</v>
      </c>
      <c r="C169" s="66">
        <v>600079911</v>
      </c>
      <c r="D169" s="65">
        <v>72743212</v>
      </c>
      <c r="E169" s="67" t="s">
        <v>642</v>
      </c>
      <c r="F169" s="68">
        <v>3113</v>
      </c>
      <c r="G169" s="67" t="s">
        <v>314</v>
      </c>
      <c r="H169" s="69" t="s">
        <v>277</v>
      </c>
      <c r="I169" s="477">
        <v>41260284</v>
      </c>
      <c r="J169" s="472">
        <v>29423818</v>
      </c>
      <c r="K169" s="472">
        <v>240000</v>
      </c>
      <c r="L169" s="472">
        <v>10026370</v>
      </c>
      <c r="M169" s="472">
        <v>588476</v>
      </c>
      <c r="N169" s="472">
        <v>981620</v>
      </c>
      <c r="O169" s="473">
        <v>51.291399999999996</v>
      </c>
      <c r="P169" s="473">
        <v>40.052599999999998</v>
      </c>
      <c r="Q169" s="483">
        <v>11.238799999999999</v>
      </c>
      <c r="R169" s="485">
        <v>-28512</v>
      </c>
      <c r="S169" s="475">
        <v>0</v>
      </c>
      <c r="T169" s="475">
        <v>0</v>
      </c>
      <c r="U169" s="475">
        <v>28512</v>
      </c>
      <c r="V169" s="475">
        <v>0</v>
      </c>
      <c r="W169" s="475">
        <v>0</v>
      </c>
      <c r="X169" s="475">
        <f t="shared" ref="X169:X173" si="408">SUM(R169:W169)</f>
        <v>0</v>
      </c>
      <c r="Y169" s="475">
        <v>28512</v>
      </c>
      <c r="Z169" s="475">
        <v>0</v>
      </c>
      <c r="AA169" s="475">
        <v>0</v>
      </c>
      <c r="AB169" s="475">
        <f t="shared" ref="AB169:AB173" si="409">SUM(Y169:AA169)</f>
        <v>28512</v>
      </c>
      <c r="AC169" s="475">
        <f t="shared" ref="AC169:AC173" si="410">X169+AB169</f>
        <v>28512</v>
      </c>
      <c r="AD169" s="70">
        <f t="shared" ref="AD169:AD173" si="411">ROUND((X169+Y169+Z169)*33.8%,0)</f>
        <v>9637</v>
      </c>
      <c r="AE169" s="70">
        <f t="shared" ref="AE169:AE173" si="412">ROUND(X169*2%,0)</f>
        <v>0</v>
      </c>
      <c r="AF169" s="475">
        <v>0</v>
      </c>
      <c r="AG169" s="475">
        <v>0</v>
      </c>
      <c r="AH169" s="475">
        <f t="shared" ref="AH169:AH173" si="413">SUM(AF169:AG169)</f>
        <v>0</v>
      </c>
      <c r="AI169" s="475">
        <f t="shared" ref="AI169:AI173" si="414">AC169+AD169+AE169+AH169</f>
        <v>38149</v>
      </c>
      <c r="AJ169" s="476">
        <v>-0.05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0.05</v>
      </c>
      <c r="AP169" s="476">
        <v>0</v>
      </c>
      <c r="AQ169" s="476">
        <v>0</v>
      </c>
      <c r="AR169" s="476">
        <f t="shared" si="360"/>
        <v>0</v>
      </c>
      <c r="AS169" s="476">
        <f t="shared" si="361"/>
        <v>0</v>
      </c>
      <c r="AT169" s="478">
        <f t="shared" si="362"/>
        <v>0</v>
      </c>
      <c r="AU169" s="484">
        <f>I169+AI169</f>
        <v>41298433</v>
      </c>
      <c r="AV169" s="475">
        <f>J169+X169</f>
        <v>29423818</v>
      </c>
      <c r="AW169" s="475">
        <f>K169+AB169</f>
        <v>268512</v>
      </c>
      <c r="AX169" s="475">
        <f t="shared" ref="AX169:AY173" si="415">L169+AD169</f>
        <v>10036007</v>
      </c>
      <c r="AY169" s="475">
        <f t="shared" si="415"/>
        <v>588476</v>
      </c>
      <c r="AZ169" s="475">
        <f>N169+AH169</f>
        <v>981620</v>
      </c>
      <c r="BA169" s="476">
        <f>O169+AT169</f>
        <v>51.291399999999996</v>
      </c>
      <c r="BB169" s="476">
        <f t="shared" ref="BB169:BC173" si="416">P169+AR169</f>
        <v>40.052599999999998</v>
      </c>
      <c r="BC169" s="478">
        <f t="shared" si="416"/>
        <v>11.238799999999999</v>
      </c>
    </row>
    <row r="170" spans="1:55" ht="14.1" customHeight="1" x14ac:dyDescent="0.2">
      <c r="A170" s="68">
        <v>38</v>
      </c>
      <c r="B170" s="65">
        <v>2307</v>
      </c>
      <c r="C170" s="66">
        <v>600079911</v>
      </c>
      <c r="D170" s="65">
        <v>72743212</v>
      </c>
      <c r="E170" s="67" t="s">
        <v>642</v>
      </c>
      <c r="F170" s="68">
        <v>3113</v>
      </c>
      <c r="G170" s="80" t="s">
        <v>312</v>
      </c>
      <c r="H170" s="69" t="s">
        <v>278</v>
      </c>
      <c r="I170" s="477">
        <v>3104000</v>
      </c>
      <c r="J170" s="472">
        <v>2283137</v>
      </c>
      <c r="K170" s="472">
        <v>0</v>
      </c>
      <c r="L170" s="472">
        <v>771700</v>
      </c>
      <c r="M170" s="472">
        <v>45663</v>
      </c>
      <c r="N170" s="472">
        <v>3500</v>
      </c>
      <c r="O170" s="473">
        <v>6.59</v>
      </c>
      <c r="P170" s="474">
        <v>6.59</v>
      </c>
      <c r="Q170" s="483">
        <v>0</v>
      </c>
      <c r="R170" s="485">
        <f t="shared" ref="R170:R173" si="417">Y170*-1</f>
        <v>0</v>
      </c>
      <c r="S170" s="475">
        <v>-123369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408"/>
        <v>-123369</v>
      </c>
      <c r="Y170" s="475">
        <v>0</v>
      </c>
      <c r="Z170" s="475">
        <v>0</v>
      </c>
      <c r="AA170" s="475">
        <v>0</v>
      </c>
      <c r="AB170" s="475">
        <f t="shared" si="409"/>
        <v>0</v>
      </c>
      <c r="AC170" s="475">
        <f t="shared" si="410"/>
        <v>-123369</v>
      </c>
      <c r="AD170" s="70">
        <f t="shared" si="411"/>
        <v>-41699</v>
      </c>
      <c r="AE170" s="70">
        <f t="shared" si="412"/>
        <v>-2467</v>
      </c>
      <c r="AF170" s="475">
        <v>0</v>
      </c>
      <c r="AG170" s="475">
        <v>0</v>
      </c>
      <c r="AH170" s="475">
        <f t="shared" si="413"/>
        <v>0</v>
      </c>
      <c r="AI170" s="475">
        <f t="shared" si="414"/>
        <v>-167535</v>
      </c>
      <c r="AJ170" s="476">
        <v>0</v>
      </c>
      <c r="AK170" s="476">
        <v>0</v>
      </c>
      <c r="AL170" s="476">
        <v>-0.24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 t="shared" si="360"/>
        <v>-0.24</v>
      </c>
      <c r="AS170" s="476">
        <f t="shared" si="361"/>
        <v>0</v>
      </c>
      <c r="AT170" s="478">
        <f t="shared" si="362"/>
        <v>-0.24</v>
      </c>
      <c r="AU170" s="484">
        <f>I170+AI170</f>
        <v>2936465</v>
      </c>
      <c r="AV170" s="475">
        <f>J170+X170</f>
        <v>2159768</v>
      </c>
      <c r="AW170" s="475">
        <f>K170+AB170</f>
        <v>0</v>
      </c>
      <c r="AX170" s="475">
        <f t="shared" si="415"/>
        <v>730001</v>
      </c>
      <c r="AY170" s="475">
        <f t="shared" si="415"/>
        <v>43196</v>
      </c>
      <c r="AZ170" s="475">
        <f>N170+AH170</f>
        <v>3500</v>
      </c>
      <c r="BA170" s="476">
        <f>O170+AT170</f>
        <v>6.35</v>
      </c>
      <c r="BB170" s="476">
        <f t="shared" si="416"/>
        <v>6.35</v>
      </c>
      <c r="BC170" s="478">
        <f t="shared" si="416"/>
        <v>0</v>
      </c>
    </row>
    <row r="171" spans="1:55" ht="14.1" customHeight="1" x14ac:dyDescent="0.2">
      <c r="A171" s="68">
        <v>38</v>
      </c>
      <c r="B171" s="65">
        <v>2307</v>
      </c>
      <c r="C171" s="66">
        <v>600079911</v>
      </c>
      <c r="D171" s="65">
        <v>72743212</v>
      </c>
      <c r="E171" s="67" t="s">
        <v>642</v>
      </c>
      <c r="F171" s="68">
        <v>3143</v>
      </c>
      <c r="G171" s="80" t="s">
        <v>626</v>
      </c>
      <c r="H171" s="69" t="s">
        <v>277</v>
      </c>
      <c r="I171" s="477">
        <v>3790832</v>
      </c>
      <c r="J171" s="472">
        <v>2791481</v>
      </c>
      <c r="K171" s="472">
        <v>0</v>
      </c>
      <c r="L171" s="472">
        <v>943521</v>
      </c>
      <c r="M171" s="472">
        <v>55830</v>
      </c>
      <c r="N171" s="472">
        <v>0</v>
      </c>
      <c r="O171" s="473">
        <v>5.4107000000000003</v>
      </c>
      <c r="P171" s="473">
        <v>5.4107000000000003</v>
      </c>
      <c r="Q171" s="483">
        <v>0</v>
      </c>
      <c r="R171" s="485">
        <f t="shared" si="417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 t="shared" si="408"/>
        <v>0</v>
      </c>
      <c r="Y171" s="475">
        <v>0</v>
      </c>
      <c r="Z171" s="475">
        <v>0</v>
      </c>
      <c r="AA171" s="475">
        <v>0</v>
      </c>
      <c r="AB171" s="475">
        <f t="shared" si="409"/>
        <v>0</v>
      </c>
      <c r="AC171" s="475">
        <f t="shared" si="410"/>
        <v>0</v>
      </c>
      <c r="AD171" s="70">
        <f t="shared" si="411"/>
        <v>0</v>
      </c>
      <c r="AE171" s="70">
        <f t="shared" si="412"/>
        <v>0</v>
      </c>
      <c r="AF171" s="475">
        <v>0</v>
      </c>
      <c r="AG171" s="475">
        <v>0</v>
      </c>
      <c r="AH171" s="475">
        <f t="shared" si="413"/>
        <v>0</v>
      </c>
      <c r="AI171" s="475">
        <f t="shared" si="414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476">
        <f t="shared" si="360"/>
        <v>0</v>
      </c>
      <c r="AS171" s="476">
        <f t="shared" si="361"/>
        <v>0</v>
      </c>
      <c r="AT171" s="478">
        <f t="shared" si="362"/>
        <v>0</v>
      </c>
      <c r="AU171" s="484">
        <f>I171+AI171</f>
        <v>3790832</v>
      </c>
      <c r="AV171" s="475">
        <f>J171+X171</f>
        <v>2791481</v>
      </c>
      <c r="AW171" s="475">
        <f>K171+AB171</f>
        <v>0</v>
      </c>
      <c r="AX171" s="475">
        <f t="shared" si="415"/>
        <v>943521</v>
      </c>
      <c r="AY171" s="475">
        <f t="shared" si="415"/>
        <v>55830</v>
      </c>
      <c r="AZ171" s="475">
        <f>N171+AH171</f>
        <v>0</v>
      </c>
      <c r="BA171" s="476">
        <f>O171+AT171</f>
        <v>5.4107000000000003</v>
      </c>
      <c r="BB171" s="476">
        <f t="shared" si="416"/>
        <v>5.4107000000000003</v>
      </c>
      <c r="BC171" s="478">
        <f t="shared" si="416"/>
        <v>0</v>
      </c>
    </row>
    <row r="172" spans="1:55" ht="14.1" customHeight="1" x14ac:dyDescent="0.2">
      <c r="A172" s="68">
        <v>38</v>
      </c>
      <c r="B172" s="65">
        <v>2307</v>
      </c>
      <c r="C172" s="66">
        <v>600079911</v>
      </c>
      <c r="D172" s="65">
        <v>72743212</v>
      </c>
      <c r="E172" s="67" t="s">
        <v>642</v>
      </c>
      <c r="F172" s="68">
        <v>3143</v>
      </c>
      <c r="G172" s="80" t="s">
        <v>627</v>
      </c>
      <c r="H172" s="69" t="s">
        <v>278</v>
      </c>
      <c r="I172" s="477">
        <v>136081</v>
      </c>
      <c r="J172" s="472">
        <v>96230</v>
      </c>
      <c r="K172" s="472">
        <v>0</v>
      </c>
      <c r="L172" s="472">
        <v>32526</v>
      </c>
      <c r="M172" s="472">
        <v>1925</v>
      </c>
      <c r="N172" s="472">
        <v>5400</v>
      </c>
      <c r="O172" s="473">
        <v>0.38</v>
      </c>
      <c r="P172" s="474">
        <v>0</v>
      </c>
      <c r="Q172" s="483">
        <v>0.38</v>
      </c>
      <c r="R172" s="485">
        <f t="shared" si="417"/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 t="shared" si="408"/>
        <v>0</v>
      </c>
      <c r="Y172" s="475">
        <v>0</v>
      </c>
      <c r="Z172" s="475">
        <v>0</v>
      </c>
      <c r="AA172" s="475">
        <v>0</v>
      </c>
      <c r="AB172" s="475">
        <f t="shared" si="409"/>
        <v>0</v>
      </c>
      <c r="AC172" s="475">
        <f t="shared" si="410"/>
        <v>0</v>
      </c>
      <c r="AD172" s="70">
        <f t="shared" si="411"/>
        <v>0</v>
      </c>
      <c r="AE172" s="70">
        <f t="shared" si="412"/>
        <v>0</v>
      </c>
      <c r="AF172" s="475">
        <v>0</v>
      </c>
      <c r="AG172" s="475">
        <v>0</v>
      </c>
      <c r="AH172" s="475">
        <f t="shared" si="413"/>
        <v>0</v>
      </c>
      <c r="AI172" s="475">
        <f t="shared" si="414"/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476">
        <f t="shared" si="360"/>
        <v>0</v>
      </c>
      <c r="AS172" s="476">
        <f t="shared" si="361"/>
        <v>0</v>
      </c>
      <c r="AT172" s="478">
        <f t="shared" si="362"/>
        <v>0</v>
      </c>
      <c r="AU172" s="484">
        <f>I172+AI172</f>
        <v>136081</v>
      </c>
      <c r="AV172" s="475">
        <f>J172+X172</f>
        <v>96230</v>
      </c>
      <c r="AW172" s="475">
        <f>K172+AB172</f>
        <v>0</v>
      </c>
      <c r="AX172" s="475">
        <f t="shared" si="415"/>
        <v>32526</v>
      </c>
      <c r="AY172" s="475">
        <f t="shared" si="415"/>
        <v>1925</v>
      </c>
      <c r="AZ172" s="475">
        <f>N172+AH172</f>
        <v>5400</v>
      </c>
      <c r="BA172" s="476">
        <f>O172+AT172</f>
        <v>0.38</v>
      </c>
      <c r="BB172" s="476">
        <f t="shared" si="416"/>
        <v>0</v>
      </c>
      <c r="BC172" s="478">
        <f t="shared" si="416"/>
        <v>0.38</v>
      </c>
    </row>
    <row r="173" spans="1:55" ht="14.1" customHeight="1" x14ac:dyDescent="0.2">
      <c r="A173" s="68">
        <v>38</v>
      </c>
      <c r="B173" s="65">
        <v>2307</v>
      </c>
      <c r="C173" s="66">
        <v>600079911</v>
      </c>
      <c r="D173" s="65">
        <v>72743212</v>
      </c>
      <c r="E173" s="67" t="s">
        <v>642</v>
      </c>
      <c r="F173" s="68">
        <v>3143</v>
      </c>
      <c r="G173" s="80" t="s">
        <v>317</v>
      </c>
      <c r="H173" s="69" t="s">
        <v>278</v>
      </c>
      <c r="I173" s="477">
        <v>417440</v>
      </c>
      <c r="J173" s="472">
        <v>306922</v>
      </c>
      <c r="K173" s="472">
        <v>0</v>
      </c>
      <c r="L173" s="472">
        <v>103740</v>
      </c>
      <c r="M173" s="472">
        <v>6138</v>
      </c>
      <c r="N173" s="472">
        <v>640</v>
      </c>
      <c r="O173" s="473">
        <v>0.65999999999999992</v>
      </c>
      <c r="P173" s="473">
        <v>0.59</v>
      </c>
      <c r="Q173" s="483">
        <v>7.0000000000000007E-2</v>
      </c>
      <c r="R173" s="485">
        <f t="shared" si="417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si="408"/>
        <v>0</v>
      </c>
      <c r="Y173" s="475">
        <v>0</v>
      </c>
      <c r="Z173" s="475">
        <v>0</v>
      </c>
      <c r="AA173" s="475">
        <v>0</v>
      </c>
      <c r="AB173" s="475">
        <f t="shared" si="409"/>
        <v>0</v>
      </c>
      <c r="AC173" s="475">
        <f t="shared" si="410"/>
        <v>0</v>
      </c>
      <c r="AD173" s="70">
        <f t="shared" si="411"/>
        <v>0</v>
      </c>
      <c r="AE173" s="70">
        <f t="shared" si="412"/>
        <v>0</v>
      </c>
      <c r="AF173" s="475">
        <v>0</v>
      </c>
      <c r="AG173" s="475">
        <v>0</v>
      </c>
      <c r="AH173" s="475">
        <f t="shared" si="413"/>
        <v>0</v>
      </c>
      <c r="AI173" s="475">
        <f t="shared" si="414"/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 t="shared" si="360"/>
        <v>0</v>
      </c>
      <c r="AS173" s="476">
        <f t="shared" si="361"/>
        <v>0</v>
      </c>
      <c r="AT173" s="478">
        <f t="shared" si="362"/>
        <v>0</v>
      </c>
      <c r="AU173" s="484">
        <f>I173+AI173</f>
        <v>417440</v>
      </c>
      <c r="AV173" s="475">
        <f>J173+X173</f>
        <v>306922</v>
      </c>
      <c r="AW173" s="475">
        <f>K173+AB173</f>
        <v>0</v>
      </c>
      <c r="AX173" s="475">
        <f t="shared" si="415"/>
        <v>103740</v>
      </c>
      <c r="AY173" s="475">
        <f t="shared" si="415"/>
        <v>6138</v>
      </c>
      <c r="AZ173" s="475">
        <f>N173+AH173</f>
        <v>640</v>
      </c>
      <c r="BA173" s="476">
        <f>O173+AT173</f>
        <v>0.65999999999999992</v>
      </c>
      <c r="BB173" s="476">
        <f t="shared" si="416"/>
        <v>0.59</v>
      </c>
      <c r="BC173" s="478">
        <f t="shared" si="416"/>
        <v>7.0000000000000007E-2</v>
      </c>
    </row>
    <row r="174" spans="1:55" ht="14.1" customHeight="1" x14ac:dyDescent="0.2">
      <c r="A174" s="74">
        <v>38</v>
      </c>
      <c r="B174" s="71">
        <v>2307</v>
      </c>
      <c r="C174" s="72">
        <v>600079911</v>
      </c>
      <c r="D174" s="71">
        <v>72743212</v>
      </c>
      <c r="E174" s="73" t="s">
        <v>643</v>
      </c>
      <c r="F174" s="74"/>
      <c r="G174" s="73"/>
      <c r="H174" s="75"/>
      <c r="I174" s="76">
        <v>48708637</v>
      </c>
      <c r="J174" s="77">
        <v>34901588</v>
      </c>
      <c r="K174" s="77">
        <v>240000</v>
      </c>
      <c r="L174" s="77">
        <v>11877857</v>
      </c>
      <c r="M174" s="77">
        <v>698032</v>
      </c>
      <c r="N174" s="77">
        <v>991160</v>
      </c>
      <c r="O174" s="78">
        <v>64.332099999999997</v>
      </c>
      <c r="P174" s="78">
        <v>52.643300000000004</v>
      </c>
      <c r="Q174" s="718">
        <v>11.688800000000001</v>
      </c>
      <c r="R174" s="76">
        <f t="shared" ref="R174:BC174" si="418">SUM(R169:R173)</f>
        <v>-28512</v>
      </c>
      <c r="S174" s="77">
        <f t="shared" si="418"/>
        <v>-123369</v>
      </c>
      <c r="T174" s="77">
        <f t="shared" si="418"/>
        <v>0</v>
      </c>
      <c r="U174" s="77">
        <f t="shared" si="418"/>
        <v>28512</v>
      </c>
      <c r="V174" s="77">
        <f t="shared" si="418"/>
        <v>0</v>
      </c>
      <c r="W174" s="77">
        <f t="shared" si="418"/>
        <v>0</v>
      </c>
      <c r="X174" s="77">
        <f t="shared" si="418"/>
        <v>-123369</v>
      </c>
      <c r="Y174" s="77">
        <f t="shared" si="418"/>
        <v>28512</v>
      </c>
      <c r="Z174" s="77">
        <f t="shared" si="418"/>
        <v>0</v>
      </c>
      <c r="AA174" s="77">
        <f t="shared" si="418"/>
        <v>0</v>
      </c>
      <c r="AB174" s="77">
        <f t="shared" si="418"/>
        <v>28512</v>
      </c>
      <c r="AC174" s="77">
        <f t="shared" si="418"/>
        <v>-94857</v>
      </c>
      <c r="AD174" s="77">
        <f t="shared" si="418"/>
        <v>-32062</v>
      </c>
      <c r="AE174" s="77">
        <f t="shared" si="418"/>
        <v>-2467</v>
      </c>
      <c r="AF174" s="77">
        <f t="shared" si="418"/>
        <v>0</v>
      </c>
      <c r="AG174" s="77">
        <f t="shared" si="418"/>
        <v>0</v>
      </c>
      <c r="AH174" s="77">
        <f t="shared" si="418"/>
        <v>0</v>
      </c>
      <c r="AI174" s="77">
        <f t="shared" si="418"/>
        <v>-129386</v>
      </c>
      <c r="AJ174" s="78">
        <f t="shared" si="418"/>
        <v>-0.05</v>
      </c>
      <c r="AK174" s="78">
        <f t="shared" si="418"/>
        <v>0</v>
      </c>
      <c r="AL174" s="78">
        <f t="shared" si="418"/>
        <v>-0.24</v>
      </c>
      <c r="AM174" s="78">
        <f t="shared" si="418"/>
        <v>0</v>
      </c>
      <c r="AN174" s="78">
        <f t="shared" si="418"/>
        <v>0</v>
      </c>
      <c r="AO174" s="78">
        <f t="shared" si="418"/>
        <v>0.05</v>
      </c>
      <c r="AP174" s="78">
        <f t="shared" si="418"/>
        <v>0</v>
      </c>
      <c r="AQ174" s="78">
        <f t="shared" si="418"/>
        <v>0</v>
      </c>
      <c r="AR174" s="78">
        <f t="shared" si="418"/>
        <v>-0.24</v>
      </c>
      <c r="AS174" s="78">
        <f t="shared" si="418"/>
        <v>0</v>
      </c>
      <c r="AT174" s="79">
        <f t="shared" si="418"/>
        <v>-0.24</v>
      </c>
      <c r="AU174" s="433">
        <f t="shared" si="418"/>
        <v>48579251</v>
      </c>
      <c r="AV174" s="77">
        <f t="shared" si="418"/>
        <v>34778219</v>
      </c>
      <c r="AW174" s="77">
        <f t="shared" si="418"/>
        <v>268512</v>
      </c>
      <c r="AX174" s="77">
        <f t="shared" si="418"/>
        <v>11845795</v>
      </c>
      <c r="AY174" s="77">
        <f t="shared" si="418"/>
        <v>695565</v>
      </c>
      <c r="AZ174" s="77">
        <f t="shared" si="418"/>
        <v>991160</v>
      </c>
      <c r="BA174" s="78">
        <f t="shared" si="418"/>
        <v>64.092100000000002</v>
      </c>
      <c r="BB174" s="78">
        <f t="shared" si="418"/>
        <v>52.403300000000002</v>
      </c>
      <c r="BC174" s="79">
        <f t="shared" si="418"/>
        <v>11.688800000000001</v>
      </c>
    </row>
    <row r="175" spans="1:55" ht="14.1" customHeight="1" x14ac:dyDescent="0.2">
      <c r="A175" s="68">
        <v>39</v>
      </c>
      <c r="B175" s="65">
        <v>2478</v>
      </c>
      <c r="C175" s="66">
        <v>600079929</v>
      </c>
      <c r="D175" s="65">
        <v>72743379</v>
      </c>
      <c r="E175" s="67" t="s">
        <v>644</v>
      </c>
      <c r="F175" s="68">
        <v>3113</v>
      </c>
      <c r="G175" s="67" t="s">
        <v>314</v>
      </c>
      <c r="H175" s="69" t="s">
        <v>277</v>
      </c>
      <c r="I175" s="477">
        <v>35314006</v>
      </c>
      <c r="J175" s="472">
        <v>25129600</v>
      </c>
      <c r="K175" s="472">
        <v>330000</v>
      </c>
      <c r="L175" s="472">
        <v>8605345</v>
      </c>
      <c r="M175" s="472">
        <v>502591</v>
      </c>
      <c r="N175" s="472">
        <v>746470</v>
      </c>
      <c r="O175" s="473">
        <v>44.949499999999993</v>
      </c>
      <c r="P175" s="473">
        <v>35.535599999999995</v>
      </c>
      <c r="Q175" s="483">
        <v>9.4138999999999999</v>
      </c>
      <c r="R175" s="485">
        <f t="shared" ref="R175:R179" si="419">Y175*-1</f>
        <v>0</v>
      </c>
      <c r="S175" s="475">
        <v>0</v>
      </c>
      <c r="T175" s="475">
        <v>442244</v>
      </c>
      <c r="U175" s="475">
        <v>0</v>
      </c>
      <c r="V175" s="475">
        <v>0</v>
      </c>
      <c r="W175" s="475">
        <v>0</v>
      </c>
      <c r="X175" s="475">
        <f t="shared" ref="X175:X179" si="420">SUM(R175:W175)</f>
        <v>442244</v>
      </c>
      <c r="Y175" s="475">
        <v>0</v>
      </c>
      <c r="Z175" s="475">
        <v>0</v>
      </c>
      <c r="AA175" s="475">
        <v>0</v>
      </c>
      <c r="AB175" s="475">
        <f t="shared" ref="AB175:AB179" si="421">SUM(Y175:AA175)</f>
        <v>0</v>
      </c>
      <c r="AC175" s="475">
        <f t="shared" ref="AC175:AC179" si="422">X175+AB175</f>
        <v>442244</v>
      </c>
      <c r="AD175" s="70">
        <f t="shared" ref="AD175:AD179" si="423">ROUND((X175+Y175+Z175)*33.8%,0)</f>
        <v>149478</v>
      </c>
      <c r="AE175" s="70">
        <f t="shared" ref="AE175:AE179" si="424">ROUND(X175*2%,0)</f>
        <v>8845</v>
      </c>
      <c r="AF175" s="475">
        <v>0</v>
      </c>
      <c r="AG175" s="475">
        <v>0</v>
      </c>
      <c r="AH175" s="475">
        <f t="shared" ref="AH175:AH179" si="425">SUM(AF175:AG175)</f>
        <v>0</v>
      </c>
      <c r="AI175" s="475">
        <f t="shared" ref="AI175:AI179" si="426">AC175+AD175+AE175+AH175</f>
        <v>600567</v>
      </c>
      <c r="AJ175" s="476">
        <v>0</v>
      </c>
      <c r="AK175" s="476">
        <v>0</v>
      </c>
      <c r="AL175" s="476">
        <v>0</v>
      </c>
      <c r="AM175" s="476">
        <v>0.71</v>
      </c>
      <c r="AN175" s="476">
        <v>0</v>
      </c>
      <c r="AO175" s="476">
        <v>0</v>
      </c>
      <c r="AP175" s="476">
        <v>0</v>
      </c>
      <c r="AQ175" s="476">
        <v>0</v>
      </c>
      <c r="AR175" s="476">
        <f t="shared" si="360"/>
        <v>0.71</v>
      </c>
      <c r="AS175" s="476">
        <f t="shared" si="361"/>
        <v>0</v>
      </c>
      <c r="AT175" s="478">
        <f t="shared" si="362"/>
        <v>0.71</v>
      </c>
      <c r="AU175" s="484">
        <f>I175+AI175</f>
        <v>35914573</v>
      </c>
      <c r="AV175" s="475">
        <f>J175+X175</f>
        <v>25571844</v>
      </c>
      <c r="AW175" s="475">
        <f>K175+AB175</f>
        <v>330000</v>
      </c>
      <c r="AX175" s="475">
        <f t="shared" ref="AX175:AY179" si="427">L175+AD175</f>
        <v>8754823</v>
      </c>
      <c r="AY175" s="475">
        <f t="shared" si="427"/>
        <v>511436</v>
      </c>
      <c r="AZ175" s="475">
        <f>N175+AH175</f>
        <v>746470</v>
      </c>
      <c r="BA175" s="476">
        <f>O175+AT175</f>
        <v>45.659499999999994</v>
      </c>
      <c r="BB175" s="476">
        <f t="shared" ref="BB175:BC179" si="428">P175+AR175</f>
        <v>36.245599999999996</v>
      </c>
      <c r="BC175" s="478">
        <f t="shared" si="428"/>
        <v>9.4138999999999999</v>
      </c>
    </row>
    <row r="176" spans="1:55" ht="14.1" customHeight="1" x14ac:dyDescent="0.2">
      <c r="A176" s="68">
        <v>39</v>
      </c>
      <c r="B176" s="65">
        <v>2478</v>
      </c>
      <c r="C176" s="66">
        <v>600079929</v>
      </c>
      <c r="D176" s="65">
        <v>72743379</v>
      </c>
      <c r="E176" s="67" t="s">
        <v>644</v>
      </c>
      <c r="F176" s="68">
        <v>3113</v>
      </c>
      <c r="G176" s="80" t="s">
        <v>312</v>
      </c>
      <c r="H176" s="69" t="s">
        <v>278</v>
      </c>
      <c r="I176" s="477">
        <v>5192568</v>
      </c>
      <c r="J176" s="472">
        <v>3818349</v>
      </c>
      <c r="K176" s="472">
        <v>0</v>
      </c>
      <c r="L176" s="472">
        <v>1290602</v>
      </c>
      <c r="M176" s="472">
        <v>76367</v>
      </c>
      <c r="N176" s="472">
        <v>7250</v>
      </c>
      <c r="O176" s="473">
        <v>11.05</v>
      </c>
      <c r="P176" s="474">
        <v>11.05</v>
      </c>
      <c r="Q176" s="483">
        <v>0</v>
      </c>
      <c r="R176" s="485">
        <f t="shared" si="419"/>
        <v>0</v>
      </c>
      <c r="S176" s="475">
        <v>43768</v>
      </c>
      <c r="T176" s="475">
        <v>0</v>
      </c>
      <c r="U176" s="475">
        <v>0</v>
      </c>
      <c r="V176" s="475">
        <v>0</v>
      </c>
      <c r="W176" s="475">
        <v>0</v>
      </c>
      <c r="X176" s="475">
        <f t="shared" si="420"/>
        <v>43768</v>
      </c>
      <c r="Y176" s="475">
        <v>0</v>
      </c>
      <c r="Z176" s="475">
        <v>0</v>
      </c>
      <c r="AA176" s="475">
        <v>0</v>
      </c>
      <c r="AB176" s="475">
        <f t="shared" si="421"/>
        <v>0</v>
      </c>
      <c r="AC176" s="475">
        <f t="shared" si="422"/>
        <v>43768</v>
      </c>
      <c r="AD176" s="70">
        <f t="shared" si="423"/>
        <v>14794</v>
      </c>
      <c r="AE176" s="70">
        <f t="shared" si="424"/>
        <v>875</v>
      </c>
      <c r="AF176" s="475">
        <v>0</v>
      </c>
      <c r="AG176" s="475">
        <v>0</v>
      </c>
      <c r="AH176" s="475">
        <f t="shared" si="425"/>
        <v>0</v>
      </c>
      <c r="AI176" s="475">
        <f t="shared" si="426"/>
        <v>59437</v>
      </c>
      <c r="AJ176" s="476">
        <v>0</v>
      </c>
      <c r="AK176" s="476">
        <v>0</v>
      </c>
      <c r="AL176" s="476">
        <v>0.13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476">
        <f t="shared" si="360"/>
        <v>0.13</v>
      </c>
      <c r="AS176" s="476">
        <f t="shared" si="361"/>
        <v>0</v>
      </c>
      <c r="AT176" s="478">
        <f t="shared" si="362"/>
        <v>0.13</v>
      </c>
      <c r="AU176" s="484">
        <f>I176+AI176</f>
        <v>5252005</v>
      </c>
      <c r="AV176" s="475">
        <f>J176+X176</f>
        <v>3862117</v>
      </c>
      <c r="AW176" s="475">
        <f>K176+AB176</f>
        <v>0</v>
      </c>
      <c r="AX176" s="475">
        <f t="shared" si="427"/>
        <v>1305396</v>
      </c>
      <c r="AY176" s="475">
        <f t="shared" si="427"/>
        <v>77242</v>
      </c>
      <c r="AZ176" s="475">
        <f>N176+AH176</f>
        <v>7250</v>
      </c>
      <c r="BA176" s="476">
        <f>O176+AT176</f>
        <v>11.180000000000001</v>
      </c>
      <c r="BB176" s="476">
        <f t="shared" si="428"/>
        <v>11.180000000000001</v>
      </c>
      <c r="BC176" s="478">
        <f t="shared" si="428"/>
        <v>0</v>
      </c>
    </row>
    <row r="177" spans="1:55" ht="14.1" customHeight="1" x14ac:dyDescent="0.2">
      <c r="A177" s="68">
        <v>39</v>
      </c>
      <c r="B177" s="65">
        <v>2478</v>
      </c>
      <c r="C177" s="66">
        <v>600079929</v>
      </c>
      <c r="D177" s="65">
        <v>72743379</v>
      </c>
      <c r="E177" s="67" t="s">
        <v>644</v>
      </c>
      <c r="F177" s="68">
        <v>3141</v>
      </c>
      <c r="G177" s="67" t="s">
        <v>315</v>
      </c>
      <c r="H177" s="69" t="s">
        <v>278</v>
      </c>
      <c r="I177" s="477">
        <v>3433949</v>
      </c>
      <c r="J177" s="472">
        <v>2482899</v>
      </c>
      <c r="K177" s="472">
        <v>20000</v>
      </c>
      <c r="L177" s="472">
        <v>845980</v>
      </c>
      <c r="M177" s="472">
        <v>49658</v>
      </c>
      <c r="N177" s="472">
        <v>35412</v>
      </c>
      <c r="O177" s="473">
        <v>7.8900000000000006</v>
      </c>
      <c r="P177" s="474">
        <v>0</v>
      </c>
      <c r="Q177" s="483">
        <v>7.8900000000000006</v>
      </c>
      <c r="R177" s="485">
        <f t="shared" si="419"/>
        <v>0</v>
      </c>
      <c r="S177" s="475">
        <v>0</v>
      </c>
      <c r="T177" s="755">
        <v>10847</v>
      </c>
      <c r="U177" s="475">
        <v>0</v>
      </c>
      <c r="V177" s="475">
        <v>0</v>
      </c>
      <c r="W177" s="475">
        <v>0</v>
      </c>
      <c r="X177" s="475">
        <f t="shared" si="420"/>
        <v>10847</v>
      </c>
      <c r="Y177" s="475">
        <v>0</v>
      </c>
      <c r="Z177" s="475">
        <v>0</v>
      </c>
      <c r="AA177" s="475">
        <v>0</v>
      </c>
      <c r="AB177" s="475">
        <f t="shared" si="421"/>
        <v>0</v>
      </c>
      <c r="AC177" s="475">
        <f t="shared" si="422"/>
        <v>10847</v>
      </c>
      <c r="AD177" s="70">
        <f t="shared" si="423"/>
        <v>3666</v>
      </c>
      <c r="AE177" s="70">
        <f t="shared" si="424"/>
        <v>217</v>
      </c>
      <c r="AF177" s="475">
        <v>0</v>
      </c>
      <c r="AG177" s="475">
        <v>0</v>
      </c>
      <c r="AH177" s="475">
        <f t="shared" si="425"/>
        <v>0</v>
      </c>
      <c r="AI177" s="475">
        <f t="shared" si="426"/>
        <v>14730</v>
      </c>
      <c r="AJ177" s="476">
        <v>0</v>
      </c>
      <c r="AK177" s="476">
        <v>0</v>
      </c>
      <c r="AL177" s="476">
        <v>0</v>
      </c>
      <c r="AM177" s="476">
        <v>0</v>
      </c>
      <c r="AN177" s="757">
        <v>3.0000000000000027E-2</v>
      </c>
      <c r="AO177" s="476">
        <v>0</v>
      </c>
      <c r="AP177" s="476">
        <v>0</v>
      </c>
      <c r="AQ177" s="476">
        <v>0</v>
      </c>
      <c r="AR177" s="476">
        <f t="shared" si="360"/>
        <v>0</v>
      </c>
      <c r="AS177" s="476">
        <f t="shared" si="361"/>
        <v>3.0000000000000027E-2</v>
      </c>
      <c r="AT177" s="478">
        <f t="shared" si="362"/>
        <v>3.0000000000000027E-2</v>
      </c>
      <c r="AU177" s="484">
        <f>I177+AI177</f>
        <v>3448679</v>
      </c>
      <c r="AV177" s="475">
        <f>J177+X177</f>
        <v>2493746</v>
      </c>
      <c r="AW177" s="475">
        <f>K177+AB177</f>
        <v>20000</v>
      </c>
      <c r="AX177" s="475">
        <f t="shared" si="427"/>
        <v>849646</v>
      </c>
      <c r="AY177" s="475">
        <f t="shared" si="427"/>
        <v>49875</v>
      </c>
      <c r="AZ177" s="475">
        <f>N177+AH177</f>
        <v>35412</v>
      </c>
      <c r="BA177" s="476">
        <f>O177+AT177</f>
        <v>7.9200000000000008</v>
      </c>
      <c r="BB177" s="476">
        <f t="shared" si="428"/>
        <v>0</v>
      </c>
      <c r="BC177" s="478">
        <f t="shared" si="428"/>
        <v>7.9200000000000008</v>
      </c>
    </row>
    <row r="178" spans="1:55" ht="14.1" customHeight="1" x14ac:dyDescent="0.2">
      <c r="A178" s="68">
        <v>39</v>
      </c>
      <c r="B178" s="65">
        <v>2478</v>
      </c>
      <c r="C178" s="66">
        <v>600079929</v>
      </c>
      <c r="D178" s="65">
        <v>72743379</v>
      </c>
      <c r="E178" s="67" t="s">
        <v>644</v>
      </c>
      <c r="F178" s="68">
        <v>3143</v>
      </c>
      <c r="G178" s="80" t="s">
        <v>626</v>
      </c>
      <c r="H178" s="69" t="s">
        <v>277</v>
      </c>
      <c r="I178" s="477">
        <v>3479333</v>
      </c>
      <c r="J178" s="472">
        <v>2512837</v>
      </c>
      <c r="K178" s="472">
        <v>50000</v>
      </c>
      <c r="L178" s="472">
        <v>866239</v>
      </c>
      <c r="M178" s="472">
        <v>50257</v>
      </c>
      <c r="N178" s="472">
        <v>0</v>
      </c>
      <c r="O178" s="473">
        <v>5.5715000000000003</v>
      </c>
      <c r="P178" s="473">
        <v>5.5715000000000003</v>
      </c>
      <c r="Q178" s="483">
        <v>0</v>
      </c>
      <c r="R178" s="485">
        <f t="shared" si="419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420"/>
        <v>0</v>
      </c>
      <c r="Y178" s="475">
        <v>0</v>
      </c>
      <c r="Z178" s="475">
        <v>0</v>
      </c>
      <c r="AA178" s="475">
        <v>0</v>
      </c>
      <c r="AB178" s="475">
        <f t="shared" si="421"/>
        <v>0</v>
      </c>
      <c r="AC178" s="475">
        <f t="shared" si="422"/>
        <v>0</v>
      </c>
      <c r="AD178" s="70">
        <f t="shared" si="423"/>
        <v>0</v>
      </c>
      <c r="AE178" s="70">
        <f t="shared" si="424"/>
        <v>0</v>
      </c>
      <c r="AF178" s="475">
        <v>0</v>
      </c>
      <c r="AG178" s="475">
        <v>0</v>
      </c>
      <c r="AH178" s="475">
        <f t="shared" si="425"/>
        <v>0</v>
      </c>
      <c r="AI178" s="475">
        <f t="shared" si="426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 t="shared" si="360"/>
        <v>0</v>
      </c>
      <c r="AS178" s="476">
        <f t="shared" si="361"/>
        <v>0</v>
      </c>
      <c r="AT178" s="478">
        <f t="shared" si="362"/>
        <v>0</v>
      </c>
      <c r="AU178" s="484">
        <f>I178+AI178</f>
        <v>3479333</v>
      </c>
      <c r="AV178" s="475">
        <f>J178+X178</f>
        <v>2512837</v>
      </c>
      <c r="AW178" s="475">
        <f>K178+AB178</f>
        <v>50000</v>
      </c>
      <c r="AX178" s="475">
        <f t="shared" si="427"/>
        <v>866239</v>
      </c>
      <c r="AY178" s="475">
        <f t="shared" si="427"/>
        <v>50257</v>
      </c>
      <c r="AZ178" s="475">
        <f>N178+AH178</f>
        <v>0</v>
      </c>
      <c r="BA178" s="476">
        <f>O178+AT178</f>
        <v>5.5715000000000003</v>
      </c>
      <c r="BB178" s="476">
        <f t="shared" si="428"/>
        <v>5.5715000000000003</v>
      </c>
      <c r="BC178" s="478">
        <f t="shared" si="428"/>
        <v>0</v>
      </c>
    </row>
    <row r="179" spans="1:55" ht="14.1" customHeight="1" x14ac:dyDescent="0.2">
      <c r="A179" s="68">
        <v>39</v>
      </c>
      <c r="B179" s="65">
        <v>2478</v>
      </c>
      <c r="C179" s="66">
        <v>600079929</v>
      </c>
      <c r="D179" s="65">
        <v>72743379</v>
      </c>
      <c r="E179" s="67" t="s">
        <v>644</v>
      </c>
      <c r="F179" s="68">
        <v>3143</v>
      </c>
      <c r="G179" s="80" t="s">
        <v>627</v>
      </c>
      <c r="H179" s="69" t="s">
        <v>278</v>
      </c>
      <c r="I179" s="477">
        <v>105083</v>
      </c>
      <c r="J179" s="472">
        <v>74310</v>
      </c>
      <c r="K179" s="472">
        <v>0</v>
      </c>
      <c r="L179" s="472">
        <v>25117</v>
      </c>
      <c r="M179" s="472">
        <v>1486</v>
      </c>
      <c r="N179" s="472">
        <v>4170</v>
      </c>
      <c r="O179" s="473">
        <v>0.29000000000000004</v>
      </c>
      <c r="P179" s="474">
        <v>0</v>
      </c>
      <c r="Q179" s="483">
        <v>0.29000000000000004</v>
      </c>
      <c r="R179" s="485">
        <f t="shared" si="419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 t="shared" si="420"/>
        <v>0</v>
      </c>
      <c r="Y179" s="475">
        <v>0</v>
      </c>
      <c r="Z179" s="475">
        <v>0</v>
      </c>
      <c r="AA179" s="475">
        <v>0</v>
      </c>
      <c r="AB179" s="475">
        <f t="shared" si="421"/>
        <v>0</v>
      </c>
      <c r="AC179" s="475">
        <f t="shared" si="422"/>
        <v>0</v>
      </c>
      <c r="AD179" s="70">
        <f t="shared" si="423"/>
        <v>0</v>
      </c>
      <c r="AE179" s="70">
        <f t="shared" si="424"/>
        <v>0</v>
      </c>
      <c r="AF179" s="475">
        <v>0</v>
      </c>
      <c r="AG179" s="475">
        <v>0</v>
      </c>
      <c r="AH179" s="475">
        <f t="shared" si="425"/>
        <v>0</v>
      </c>
      <c r="AI179" s="475">
        <f t="shared" si="426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476">
        <f t="shared" si="360"/>
        <v>0</v>
      </c>
      <c r="AS179" s="476">
        <f t="shared" si="361"/>
        <v>0</v>
      </c>
      <c r="AT179" s="478">
        <f t="shared" si="362"/>
        <v>0</v>
      </c>
      <c r="AU179" s="484">
        <f>I179+AI179</f>
        <v>105083</v>
      </c>
      <c r="AV179" s="475">
        <f>J179+X179</f>
        <v>74310</v>
      </c>
      <c r="AW179" s="475">
        <f>K179+AB179</f>
        <v>0</v>
      </c>
      <c r="AX179" s="475">
        <f t="shared" si="427"/>
        <v>25117</v>
      </c>
      <c r="AY179" s="475">
        <f t="shared" si="427"/>
        <v>1486</v>
      </c>
      <c r="AZ179" s="475">
        <f>N179+AH179</f>
        <v>4170</v>
      </c>
      <c r="BA179" s="476">
        <f>O179+AT179</f>
        <v>0.29000000000000004</v>
      </c>
      <c r="BB179" s="476">
        <f t="shared" si="428"/>
        <v>0</v>
      </c>
      <c r="BC179" s="478">
        <f t="shared" si="428"/>
        <v>0.29000000000000004</v>
      </c>
    </row>
    <row r="180" spans="1:55" ht="14.1" customHeight="1" x14ac:dyDescent="0.2">
      <c r="A180" s="74">
        <v>39</v>
      </c>
      <c r="B180" s="71">
        <v>2478</v>
      </c>
      <c r="C180" s="72">
        <v>600079929</v>
      </c>
      <c r="D180" s="71">
        <v>72743379</v>
      </c>
      <c r="E180" s="73" t="s">
        <v>645</v>
      </c>
      <c r="F180" s="74"/>
      <c r="G180" s="73"/>
      <c r="H180" s="75"/>
      <c r="I180" s="76">
        <v>47524939</v>
      </c>
      <c r="J180" s="77">
        <v>34017995</v>
      </c>
      <c r="K180" s="77">
        <v>400000</v>
      </c>
      <c r="L180" s="77">
        <v>11633283</v>
      </c>
      <c r="M180" s="77">
        <v>680359</v>
      </c>
      <c r="N180" s="77">
        <v>793302</v>
      </c>
      <c r="O180" s="78">
        <v>69.751000000000005</v>
      </c>
      <c r="P180" s="78">
        <v>52.1571</v>
      </c>
      <c r="Q180" s="718">
        <v>17.593899999999998</v>
      </c>
      <c r="R180" s="76">
        <f t="shared" ref="R180:BC180" si="429">SUM(R175:R179)</f>
        <v>0</v>
      </c>
      <c r="S180" s="77">
        <f t="shared" si="429"/>
        <v>43768</v>
      </c>
      <c r="T180" s="77">
        <f t="shared" si="429"/>
        <v>453091</v>
      </c>
      <c r="U180" s="77">
        <f t="shared" si="429"/>
        <v>0</v>
      </c>
      <c r="V180" s="77">
        <f t="shared" si="429"/>
        <v>0</v>
      </c>
      <c r="W180" s="77">
        <f t="shared" si="429"/>
        <v>0</v>
      </c>
      <c r="X180" s="77">
        <f t="shared" si="429"/>
        <v>496859</v>
      </c>
      <c r="Y180" s="77">
        <f t="shared" si="429"/>
        <v>0</v>
      </c>
      <c r="Z180" s="77">
        <f t="shared" si="429"/>
        <v>0</v>
      </c>
      <c r="AA180" s="77">
        <f t="shared" si="429"/>
        <v>0</v>
      </c>
      <c r="AB180" s="77">
        <f t="shared" si="429"/>
        <v>0</v>
      </c>
      <c r="AC180" s="77">
        <f t="shared" si="429"/>
        <v>496859</v>
      </c>
      <c r="AD180" s="77">
        <f t="shared" si="429"/>
        <v>167938</v>
      </c>
      <c r="AE180" s="77">
        <f t="shared" si="429"/>
        <v>9937</v>
      </c>
      <c r="AF180" s="77">
        <f t="shared" si="429"/>
        <v>0</v>
      </c>
      <c r="AG180" s="77">
        <f t="shared" si="429"/>
        <v>0</v>
      </c>
      <c r="AH180" s="77">
        <f t="shared" si="429"/>
        <v>0</v>
      </c>
      <c r="AI180" s="77">
        <f t="shared" si="429"/>
        <v>674734</v>
      </c>
      <c r="AJ180" s="78">
        <f t="shared" si="429"/>
        <v>0</v>
      </c>
      <c r="AK180" s="78">
        <f t="shared" si="429"/>
        <v>0</v>
      </c>
      <c r="AL180" s="78">
        <f t="shared" si="429"/>
        <v>0.13</v>
      </c>
      <c r="AM180" s="78">
        <f t="shared" si="429"/>
        <v>0.71</v>
      </c>
      <c r="AN180" s="78">
        <f t="shared" si="429"/>
        <v>3.0000000000000027E-2</v>
      </c>
      <c r="AO180" s="78">
        <f t="shared" si="429"/>
        <v>0</v>
      </c>
      <c r="AP180" s="78">
        <f t="shared" si="429"/>
        <v>0</v>
      </c>
      <c r="AQ180" s="78">
        <f t="shared" si="429"/>
        <v>0</v>
      </c>
      <c r="AR180" s="78">
        <f t="shared" si="429"/>
        <v>0.84</v>
      </c>
      <c r="AS180" s="78">
        <f t="shared" si="429"/>
        <v>3.0000000000000027E-2</v>
      </c>
      <c r="AT180" s="79">
        <f t="shared" si="429"/>
        <v>0.87</v>
      </c>
      <c r="AU180" s="433">
        <f t="shared" si="429"/>
        <v>48199673</v>
      </c>
      <c r="AV180" s="77">
        <f t="shared" si="429"/>
        <v>34514854</v>
      </c>
      <c r="AW180" s="77">
        <f t="shared" si="429"/>
        <v>400000</v>
      </c>
      <c r="AX180" s="77">
        <f t="shared" si="429"/>
        <v>11801221</v>
      </c>
      <c r="AY180" s="77">
        <f t="shared" si="429"/>
        <v>690296</v>
      </c>
      <c r="AZ180" s="77">
        <f t="shared" si="429"/>
        <v>793302</v>
      </c>
      <c r="BA180" s="78">
        <f t="shared" si="429"/>
        <v>70.620999999999995</v>
      </c>
      <c r="BB180" s="78">
        <f t="shared" si="429"/>
        <v>52.997099999999996</v>
      </c>
      <c r="BC180" s="79">
        <f t="shared" si="429"/>
        <v>17.623899999999999</v>
      </c>
    </row>
    <row r="181" spans="1:55" ht="14.1" customHeight="1" x14ac:dyDescent="0.2">
      <c r="A181" s="68">
        <v>40</v>
      </c>
      <c r="B181" s="65">
        <v>2465</v>
      </c>
      <c r="C181" s="66">
        <v>650018273</v>
      </c>
      <c r="D181" s="65">
        <v>72741791</v>
      </c>
      <c r="E181" s="67" t="s">
        <v>646</v>
      </c>
      <c r="F181" s="68">
        <v>3111</v>
      </c>
      <c r="G181" s="67" t="s">
        <v>311</v>
      </c>
      <c r="H181" s="69" t="s">
        <v>277</v>
      </c>
      <c r="I181" s="477">
        <v>6072246</v>
      </c>
      <c r="J181" s="472">
        <v>4332265</v>
      </c>
      <c r="K181" s="472">
        <v>110000</v>
      </c>
      <c r="L181" s="472">
        <v>1501486</v>
      </c>
      <c r="M181" s="472">
        <v>86645</v>
      </c>
      <c r="N181" s="472">
        <v>41850</v>
      </c>
      <c r="O181" s="473">
        <v>9.8292000000000002</v>
      </c>
      <c r="P181" s="473">
        <v>7.9355000000000002</v>
      </c>
      <c r="Q181" s="483">
        <v>1.8936999999999997</v>
      </c>
      <c r="R181" s="485">
        <f t="shared" ref="R181:R186" si="430">Y181*-1</f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ref="X181:X186" si="431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432">SUM(Y181:AA181)</f>
        <v>0</v>
      </c>
      <c r="AC181" s="475">
        <f t="shared" ref="AC181:AC186" si="433">X181+AB181</f>
        <v>0</v>
      </c>
      <c r="AD181" s="70">
        <f t="shared" ref="AD181:AD186" si="434">ROUND((X181+Y181+Z181)*33.8%,0)</f>
        <v>0</v>
      </c>
      <c r="AE181" s="70">
        <f t="shared" ref="AE181:AE186" si="435">ROUND(X181*2%,0)</f>
        <v>0</v>
      </c>
      <c r="AF181" s="475">
        <v>0</v>
      </c>
      <c r="AG181" s="475">
        <v>0</v>
      </c>
      <c r="AH181" s="475">
        <f t="shared" ref="AH181:AH186" si="436">SUM(AF181:AG181)</f>
        <v>0</v>
      </c>
      <c r="AI181" s="475">
        <f t="shared" ref="AI181:AI186" si="437">AC181+AD181+AE181+AH181</f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 t="shared" si="360"/>
        <v>0</v>
      </c>
      <c r="AS181" s="476">
        <f t="shared" si="361"/>
        <v>0</v>
      </c>
      <c r="AT181" s="478">
        <f t="shared" si="362"/>
        <v>0</v>
      </c>
      <c r="AU181" s="484">
        <f t="shared" ref="AU181:AU186" si="438">I181+AI181</f>
        <v>6072246</v>
      </c>
      <c r="AV181" s="475">
        <f t="shared" ref="AV181:AV186" si="439">J181+X181</f>
        <v>4332265</v>
      </c>
      <c r="AW181" s="475">
        <f t="shared" ref="AW181:AW186" si="440">K181+AB181</f>
        <v>110000</v>
      </c>
      <c r="AX181" s="475">
        <f t="shared" ref="AX181:AY186" si="441">L181+AD181</f>
        <v>1501486</v>
      </c>
      <c r="AY181" s="475">
        <f t="shared" si="441"/>
        <v>86645</v>
      </c>
      <c r="AZ181" s="475">
        <f t="shared" ref="AZ181:AZ186" si="442">N181+AH181</f>
        <v>41850</v>
      </c>
      <c r="BA181" s="476">
        <f t="shared" ref="BA181:BA186" si="443">O181+AT181</f>
        <v>9.8292000000000002</v>
      </c>
      <c r="BB181" s="476">
        <f t="shared" ref="BB181:BC186" si="444">P181+AR181</f>
        <v>7.9355000000000002</v>
      </c>
      <c r="BC181" s="478">
        <f t="shared" si="444"/>
        <v>1.8936999999999997</v>
      </c>
    </row>
    <row r="182" spans="1:55" ht="14.1" customHeight="1" x14ac:dyDescent="0.2">
      <c r="A182" s="68">
        <v>40</v>
      </c>
      <c r="B182" s="65">
        <v>2465</v>
      </c>
      <c r="C182" s="66">
        <v>650018273</v>
      </c>
      <c r="D182" s="65">
        <v>72741791</v>
      </c>
      <c r="E182" s="67" t="s">
        <v>646</v>
      </c>
      <c r="F182" s="68">
        <v>3113</v>
      </c>
      <c r="G182" s="67" t="s">
        <v>314</v>
      </c>
      <c r="H182" s="69" t="s">
        <v>277</v>
      </c>
      <c r="I182" s="477">
        <v>20439009</v>
      </c>
      <c r="J182" s="472">
        <v>14644263</v>
      </c>
      <c r="K182" s="472">
        <v>100000</v>
      </c>
      <c r="L182" s="472">
        <v>4983560</v>
      </c>
      <c r="M182" s="472">
        <v>292886</v>
      </c>
      <c r="N182" s="472">
        <v>418300</v>
      </c>
      <c r="O182" s="473">
        <v>27.114799999999999</v>
      </c>
      <c r="P182" s="473">
        <v>19.454499999999999</v>
      </c>
      <c r="Q182" s="483">
        <v>7.6602999999999994</v>
      </c>
      <c r="R182" s="485">
        <f t="shared" si="430"/>
        <v>0</v>
      </c>
      <c r="S182" s="475">
        <v>0</v>
      </c>
      <c r="T182" s="475">
        <v>259289</v>
      </c>
      <c r="U182" s="475">
        <v>0</v>
      </c>
      <c r="V182" s="475">
        <v>0</v>
      </c>
      <c r="W182" s="475">
        <v>0</v>
      </c>
      <c r="X182" s="475">
        <f t="shared" si="431"/>
        <v>259289</v>
      </c>
      <c r="Y182" s="475">
        <v>0</v>
      </c>
      <c r="Z182" s="475">
        <v>0</v>
      </c>
      <c r="AA182" s="475">
        <v>0</v>
      </c>
      <c r="AB182" s="475">
        <f t="shared" si="432"/>
        <v>0</v>
      </c>
      <c r="AC182" s="475">
        <f t="shared" si="433"/>
        <v>259289</v>
      </c>
      <c r="AD182" s="70">
        <f t="shared" si="434"/>
        <v>87640</v>
      </c>
      <c r="AE182" s="70">
        <f t="shared" si="435"/>
        <v>5186</v>
      </c>
      <c r="AF182" s="475">
        <v>0</v>
      </c>
      <c r="AG182" s="475">
        <v>0</v>
      </c>
      <c r="AH182" s="475">
        <f t="shared" si="436"/>
        <v>0</v>
      </c>
      <c r="AI182" s="475">
        <f t="shared" si="437"/>
        <v>352115</v>
      </c>
      <c r="AJ182" s="476">
        <v>0</v>
      </c>
      <c r="AK182" s="476">
        <v>0</v>
      </c>
      <c r="AL182" s="476">
        <v>0</v>
      </c>
      <c r="AM182" s="476">
        <v>0.41</v>
      </c>
      <c r="AN182" s="476">
        <v>0</v>
      </c>
      <c r="AO182" s="476">
        <v>0</v>
      </c>
      <c r="AP182" s="476">
        <v>0</v>
      </c>
      <c r="AQ182" s="476">
        <v>0</v>
      </c>
      <c r="AR182" s="476">
        <f t="shared" si="360"/>
        <v>0.41</v>
      </c>
      <c r="AS182" s="476">
        <f t="shared" si="361"/>
        <v>0</v>
      </c>
      <c r="AT182" s="478">
        <f t="shared" si="362"/>
        <v>0.41</v>
      </c>
      <c r="AU182" s="484">
        <f t="shared" si="438"/>
        <v>20791124</v>
      </c>
      <c r="AV182" s="475">
        <f t="shared" si="439"/>
        <v>14903552</v>
      </c>
      <c r="AW182" s="475">
        <f t="shared" si="440"/>
        <v>100000</v>
      </c>
      <c r="AX182" s="475">
        <f t="shared" si="441"/>
        <v>5071200</v>
      </c>
      <c r="AY182" s="475">
        <f t="shared" si="441"/>
        <v>298072</v>
      </c>
      <c r="AZ182" s="475">
        <f t="shared" si="442"/>
        <v>418300</v>
      </c>
      <c r="BA182" s="476">
        <f t="shared" si="443"/>
        <v>27.524799999999999</v>
      </c>
      <c r="BB182" s="476">
        <f t="shared" si="444"/>
        <v>19.8645</v>
      </c>
      <c r="BC182" s="478">
        <f t="shared" si="444"/>
        <v>7.6602999999999994</v>
      </c>
    </row>
    <row r="183" spans="1:55" ht="14.1" customHeight="1" x14ac:dyDescent="0.2">
      <c r="A183" s="68">
        <v>40</v>
      </c>
      <c r="B183" s="65">
        <v>2465</v>
      </c>
      <c r="C183" s="66">
        <v>650018273</v>
      </c>
      <c r="D183" s="65">
        <v>72741791</v>
      </c>
      <c r="E183" s="67" t="s">
        <v>646</v>
      </c>
      <c r="F183" s="68">
        <v>3113</v>
      </c>
      <c r="G183" s="80" t="s">
        <v>312</v>
      </c>
      <c r="H183" s="69" t="s">
        <v>278</v>
      </c>
      <c r="I183" s="477">
        <v>4034173</v>
      </c>
      <c r="J183" s="472">
        <v>2968463</v>
      </c>
      <c r="K183" s="472">
        <v>0</v>
      </c>
      <c r="L183" s="472">
        <v>1003341</v>
      </c>
      <c r="M183" s="472">
        <v>59369</v>
      </c>
      <c r="N183" s="472">
        <v>3000</v>
      </c>
      <c r="O183" s="473">
        <v>8.67</v>
      </c>
      <c r="P183" s="474">
        <v>8.67</v>
      </c>
      <c r="Q183" s="483">
        <v>0</v>
      </c>
      <c r="R183" s="485">
        <f t="shared" si="430"/>
        <v>0</v>
      </c>
      <c r="S183" s="475">
        <v>5784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431"/>
        <v>5784</v>
      </c>
      <c r="Y183" s="475">
        <v>0</v>
      </c>
      <c r="Z183" s="475">
        <v>0</v>
      </c>
      <c r="AA183" s="475">
        <v>0</v>
      </c>
      <c r="AB183" s="475">
        <f t="shared" si="432"/>
        <v>0</v>
      </c>
      <c r="AC183" s="475">
        <f t="shared" si="433"/>
        <v>5784</v>
      </c>
      <c r="AD183" s="70">
        <f t="shared" si="434"/>
        <v>1955</v>
      </c>
      <c r="AE183" s="70">
        <f t="shared" si="435"/>
        <v>116</v>
      </c>
      <c r="AF183" s="475">
        <v>8450</v>
      </c>
      <c r="AG183" s="475">
        <v>0</v>
      </c>
      <c r="AH183" s="475">
        <f t="shared" si="436"/>
        <v>8450</v>
      </c>
      <c r="AI183" s="475">
        <f t="shared" si="437"/>
        <v>16305</v>
      </c>
      <c r="AJ183" s="476">
        <v>0</v>
      </c>
      <c r="AK183" s="476">
        <v>0</v>
      </c>
      <c r="AL183" s="476">
        <v>0.01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 t="shared" si="360"/>
        <v>0.01</v>
      </c>
      <c r="AS183" s="476">
        <f t="shared" si="361"/>
        <v>0</v>
      </c>
      <c r="AT183" s="478">
        <f t="shared" si="362"/>
        <v>0.01</v>
      </c>
      <c r="AU183" s="484">
        <f t="shared" si="438"/>
        <v>4050478</v>
      </c>
      <c r="AV183" s="475">
        <f t="shared" si="439"/>
        <v>2974247</v>
      </c>
      <c r="AW183" s="475">
        <f t="shared" si="440"/>
        <v>0</v>
      </c>
      <c r="AX183" s="475">
        <f t="shared" si="441"/>
        <v>1005296</v>
      </c>
      <c r="AY183" s="475">
        <f t="shared" si="441"/>
        <v>59485</v>
      </c>
      <c r="AZ183" s="475">
        <f t="shared" si="442"/>
        <v>11450</v>
      </c>
      <c r="BA183" s="476">
        <f t="shared" si="443"/>
        <v>8.68</v>
      </c>
      <c r="BB183" s="476">
        <f t="shared" si="444"/>
        <v>8.68</v>
      </c>
      <c r="BC183" s="478">
        <f t="shared" si="444"/>
        <v>0</v>
      </c>
    </row>
    <row r="184" spans="1:55" ht="14.1" customHeight="1" x14ac:dyDescent="0.2">
      <c r="A184" s="68">
        <v>40</v>
      </c>
      <c r="B184" s="65">
        <v>2465</v>
      </c>
      <c r="C184" s="66">
        <v>650018273</v>
      </c>
      <c r="D184" s="65">
        <v>72741791</v>
      </c>
      <c r="E184" s="67" t="s">
        <v>646</v>
      </c>
      <c r="F184" s="68">
        <v>3141</v>
      </c>
      <c r="G184" s="67" t="s">
        <v>315</v>
      </c>
      <c r="H184" s="69" t="s">
        <v>278</v>
      </c>
      <c r="I184" s="477">
        <v>1856094</v>
      </c>
      <c r="J184" s="472">
        <v>1355985</v>
      </c>
      <c r="K184" s="472">
        <v>0</v>
      </c>
      <c r="L184" s="472">
        <v>458323</v>
      </c>
      <c r="M184" s="472">
        <v>27120</v>
      </c>
      <c r="N184" s="472">
        <v>14666</v>
      </c>
      <c r="O184" s="473">
        <v>4.2699999999999996</v>
      </c>
      <c r="P184" s="474">
        <v>0</v>
      </c>
      <c r="Q184" s="483">
        <v>4.2699999999999996</v>
      </c>
      <c r="R184" s="485">
        <f t="shared" si="430"/>
        <v>0</v>
      </c>
      <c r="S184" s="475">
        <v>0</v>
      </c>
      <c r="T184" s="755">
        <v>-5621</v>
      </c>
      <c r="U184" s="475">
        <v>0</v>
      </c>
      <c r="V184" s="475">
        <v>0</v>
      </c>
      <c r="W184" s="475">
        <v>0</v>
      </c>
      <c r="X184" s="475">
        <f t="shared" si="431"/>
        <v>-5621</v>
      </c>
      <c r="Y184" s="475">
        <v>0</v>
      </c>
      <c r="Z184" s="475">
        <v>0</v>
      </c>
      <c r="AA184" s="475">
        <v>0</v>
      </c>
      <c r="AB184" s="475">
        <f t="shared" si="432"/>
        <v>0</v>
      </c>
      <c r="AC184" s="475">
        <f t="shared" si="433"/>
        <v>-5621</v>
      </c>
      <c r="AD184" s="70">
        <f t="shared" si="434"/>
        <v>-1900</v>
      </c>
      <c r="AE184" s="70">
        <f t="shared" si="435"/>
        <v>-112</v>
      </c>
      <c r="AF184" s="475">
        <v>0</v>
      </c>
      <c r="AG184" s="475">
        <v>0</v>
      </c>
      <c r="AH184" s="475">
        <f t="shared" si="436"/>
        <v>0</v>
      </c>
      <c r="AI184" s="475">
        <f t="shared" si="437"/>
        <v>-7633</v>
      </c>
      <c r="AJ184" s="476">
        <v>0</v>
      </c>
      <c r="AK184" s="476">
        <v>0</v>
      </c>
      <c r="AL184" s="476">
        <v>0</v>
      </c>
      <c r="AM184" s="476">
        <v>0</v>
      </c>
      <c r="AN184" s="756">
        <v>-1.0000000000000037E-2</v>
      </c>
      <c r="AO184" s="476">
        <v>0</v>
      </c>
      <c r="AP184" s="476">
        <v>0</v>
      </c>
      <c r="AQ184" s="476">
        <v>0</v>
      </c>
      <c r="AR184" s="476">
        <f t="shared" si="360"/>
        <v>0</v>
      </c>
      <c r="AS184" s="476">
        <f t="shared" si="361"/>
        <v>-1.0000000000000037E-2</v>
      </c>
      <c r="AT184" s="478">
        <f t="shared" si="362"/>
        <v>-1.0000000000000037E-2</v>
      </c>
      <c r="AU184" s="484">
        <f t="shared" si="438"/>
        <v>1848461</v>
      </c>
      <c r="AV184" s="475">
        <f t="shared" si="439"/>
        <v>1350364</v>
      </c>
      <c r="AW184" s="475">
        <f t="shared" si="440"/>
        <v>0</v>
      </c>
      <c r="AX184" s="475">
        <f t="shared" si="441"/>
        <v>456423</v>
      </c>
      <c r="AY184" s="475">
        <f t="shared" si="441"/>
        <v>27008</v>
      </c>
      <c r="AZ184" s="475">
        <f t="shared" si="442"/>
        <v>14666</v>
      </c>
      <c r="BA184" s="476">
        <f t="shared" si="443"/>
        <v>4.26</v>
      </c>
      <c r="BB184" s="476">
        <f t="shared" si="444"/>
        <v>0</v>
      </c>
      <c r="BC184" s="478">
        <f t="shared" si="444"/>
        <v>4.26</v>
      </c>
    </row>
    <row r="185" spans="1:55" ht="14.1" customHeight="1" x14ac:dyDescent="0.2">
      <c r="A185" s="68">
        <v>40</v>
      </c>
      <c r="B185" s="65">
        <v>2465</v>
      </c>
      <c r="C185" s="66">
        <v>650018273</v>
      </c>
      <c r="D185" s="65">
        <v>72741791</v>
      </c>
      <c r="E185" s="67" t="s">
        <v>646</v>
      </c>
      <c r="F185" s="68">
        <v>3143</v>
      </c>
      <c r="G185" s="80" t="s">
        <v>626</v>
      </c>
      <c r="H185" s="69" t="s">
        <v>277</v>
      </c>
      <c r="I185" s="477">
        <v>1883314</v>
      </c>
      <c r="J185" s="472">
        <v>1367124</v>
      </c>
      <c r="K185" s="472">
        <v>20000</v>
      </c>
      <c r="L185" s="472">
        <v>468848</v>
      </c>
      <c r="M185" s="472">
        <v>27342</v>
      </c>
      <c r="N185" s="472">
        <v>0</v>
      </c>
      <c r="O185" s="473">
        <v>3.1436000000000002</v>
      </c>
      <c r="P185" s="473">
        <v>3.1436000000000002</v>
      </c>
      <c r="Q185" s="483">
        <v>0</v>
      </c>
      <c r="R185" s="485">
        <f t="shared" si="430"/>
        <v>0</v>
      </c>
      <c r="S185" s="475">
        <v>0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431"/>
        <v>0</v>
      </c>
      <c r="Y185" s="475">
        <v>0</v>
      </c>
      <c r="Z185" s="475">
        <v>0</v>
      </c>
      <c r="AA185" s="475">
        <v>0</v>
      </c>
      <c r="AB185" s="475">
        <f t="shared" si="432"/>
        <v>0</v>
      </c>
      <c r="AC185" s="475">
        <f t="shared" si="433"/>
        <v>0</v>
      </c>
      <c r="AD185" s="70">
        <f t="shared" si="434"/>
        <v>0</v>
      </c>
      <c r="AE185" s="70">
        <f t="shared" si="435"/>
        <v>0</v>
      </c>
      <c r="AF185" s="475">
        <v>0</v>
      </c>
      <c r="AG185" s="475">
        <v>0</v>
      </c>
      <c r="AH185" s="475">
        <f t="shared" si="436"/>
        <v>0</v>
      </c>
      <c r="AI185" s="475">
        <f t="shared" si="437"/>
        <v>0</v>
      </c>
      <c r="AJ185" s="476">
        <v>0</v>
      </c>
      <c r="AK185" s="476">
        <v>0</v>
      </c>
      <c r="AL185" s="476">
        <v>0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476">
        <f t="shared" si="360"/>
        <v>0</v>
      </c>
      <c r="AS185" s="476">
        <f t="shared" si="361"/>
        <v>0</v>
      </c>
      <c r="AT185" s="478">
        <f t="shared" si="362"/>
        <v>0</v>
      </c>
      <c r="AU185" s="484">
        <f t="shared" si="438"/>
        <v>1883314</v>
      </c>
      <c r="AV185" s="475">
        <f t="shared" si="439"/>
        <v>1367124</v>
      </c>
      <c r="AW185" s="475">
        <f t="shared" si="440"/>
        <v>20000</v>
      </c>
      <c r="AX185" s="475">
        <f t="shared" si="441"/>
        <v>468848</v>
      </c>
      <c r="AY185" s="475">
        <f t="shared" si="441"/>
        <v>27342</v>
      </c>
      <c r="AZ185" s="475">
        <f t="shared" si="442"/>
        <v>0</v>
      </c>
      <c r="BA185" s="476">
        <f t="shared" si="443"/>
        <v>3.1436000000000002</v>
      </c>
      <c r="BB185" s="476">
        <f t="shared" si="444"/>
        <v>3.1436000000000002</v>
      </c>
      <c r="BC185" s="478">
        <f t="shared" si="444"/>
        <v>0</v>
      </c>
    </row>
    <row r="186" spans="1:55" ht="14.1" customHeight="1" x14ac:dyDescent="0.2">
      <c r="A186" s="68">
        <v>40</v>
      </c>
      <c r="B186" s="65">
        <v>2465</v>
      </c>
      <c r="C186" s="66">
        <v>650018273</v>
      </c>
      <c r="D186" s="65">
        <v>72741791</v>
      </c>
      <c r="E186" s="67" t="s">
        <v>646</v>
      </c>
      <c r="F186" s="68">
        <v>3143</v>
      </c>
      <c r="G186" s="80" t="s">
        <v>627</v>
      </c>
      <c r="H186" s="69" t="s">
        <v>278</v>
      </c>
      <c r="I186" s="477">
        <v>68040</v>
      </c>
      <c r="J186" s="472">
        <v>48115</v>
      </c>
      <c r="K186" s="472">
        <v>0</v>
      </c>
      <c r="L186" s="472">
        <v>16263</v>
      </c>
      <c r="M186" s="472">
        <v>962</v>
      </c>
      <c r="N186" s="472">
        <v>2700</v>
      </c>
      <c r="O186" s="473">
        <v>0.19</v>
      </c>
      <c r="P186" s="474">
        <v>0</v>
      </c>
      <c r="Q186" s="483">
        <v>0.19</v>
      </c>
      <c r="R186" s="485">
        <f t="shared" si="430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431"/>
        <v>0</v>
      </c>
      <c r="Y186" s="475">
        <v>0</v>
      </c>
      <c r="Z186" s="475">
        <v>0</v>
      </c>
      <c r="AA186" s="475">
        <v>0</v>
      </c>
      <c r="AB186" s="475">
        <f t="shared" si="432"/>
        <v>0</v>
      </c>
      <c r="AC186" s="475">
        <f t="shared" si="433"/>
        <v>0</v>
      </c>
      <c r="AD186" s="70">
        <f t="shared" si="434"/>
        <v>0</v>
      </c>
      <c r="AE186" s="70">
        <f t="shared" si="435"/>
        <v>0</v>
      </c>
      <c r="AF186" s="475">
        <v>0</v>
      </c>
      <c r="AG186" s="475">
        <v>0</v>
      </c>
      <c r="AH186" s="475">
        <f t="shared" si="436"/>
        <v>0</v>
      </c>
      <c r="AI186" s="475">
        <f t="shared" si="437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 t="shared" si="360"/>
        <v>0</v>
      </c>
      <c r="AS186" s="476">
        <f t="shared" si="361"/>
        <v>0</v>
      </c>
      <c r="AT186" s="478">
        <f t="shared" si="362"/>
        <v>0</v>
      </c>
      <c r="AU186" s="484">
        <f t="shared" si="438"/>
        <v>68040</v>
      </c>
      <c r="AV186" s="475">
        <f t="shared" si="439"/>
        <v>48115</v>
      </c>
      <c r="AW186" s="475">
        <f t="shared" si="440"/>
        <v>0</v>
      </c>
      <c r="AX186" s="475">
        <f t="shared" si="441"/>
        <v>16263</v>
      </c>
      <c r="AY186" s="475">
        <f t="shared" si="441"/>
        <v>962</v>
      </c>
      <c r="AZ186" s="475">
        <f t="shared" si="442"/>
        <v>2700</v>
      </c>
      <c r="BA186" s="476">
        <f t="shared" si="443"/>
        <v>0.19</v>
      </c>
      <c r="BB186" s="476">
        <f t="shared" si="444"/>
        <v>0</v>
      </c>
      <c r="BC186" s="478">
        <f t="shared" si="444"/>
        <v>0.19</v>
      </c>
    </row>
    <row r="187" spans="1:55" ht="14.1" customHeight="1" x14ac:dyDescent="0.2">
      <c r="A187" s="74">
        <v>40</v>
      </c>
      <c r="B187" s="71">
        <v>2465</v>
      </c>
      <c r="C187" s="72">
        <v>650018273</v>
      </c>
      <c r="D187" s="71">
        <v>72741791</v>
      </c>
      <c r="E187" s="73" t="s">
        <v>647</v>
      </c>
      <c r="F187" s="74"/>
      <c r="G187" s="73"/>
      <c r="H187" s="75"/>
      <c r="I187" s="76">
        <v>34352876</v>
      </c>
      <c r="J187" s="77">
        <v>24716215</v>
      </c>
      <c r="K187" s="77">
        <v>230000</v>
      </c>
      <c r="L187" s="77">
        <v>8431821</v>
      </c>
      <c r="M187" s="77">
        <v>494324</v>
      </c>
      <c r="N187" s="77">
        <v>480516</v>
      </c>
      <c r="O187" s="78">
        <v>53.217599999999997</v>
      </c>
      <c r="P187" s="78">
        <v>39.203600000000002</v>
      </c>
      <c r="Q187" s="718">
        <v>14.013999999999998</v>
      </c>
      <c r="R187" s="76">
        <f t="shared" ref="R187:BC187" si="445">SUM(R181:R186)</f>
        <v>0</v>
      </c>
      <c r="S187" s="77">
        <f t="shared" si="445"/>
        <v>5784</v>
      </c>
      <c r="T187" s="77">
        <f t="shared" si="445"/>
        <v>253668</v>
      </c>
      <c r="U187" s="77">
        <f t="shared" si="445"/>
        <v>0</v>
      </c>
      <c r="V187" s="77">
        <f t="shared" si="445"/>
        <v>0</v>
      </c>
      <c r="W187" s="77">
        <f t="shared" si="445"/>
        <v>0</v>
      </c>
      <c r="X187" s="77">
        <f t="shared" si="445"/>
        <v>259452</v>
      </c>
      <c r="Y187" s="77">
        <f t="shared" si="445"/>
        <v>0</v>
      </c>
      <c r="Z187" s="77">
        <f t="shared" si="445"/>
        <v>0</v>
      </c>
      <c r="AA187" s="77">
        <f t="shared" si="445"/>
        <v>0</v>
      </c>
      <c r="AB187" s="77">
        <f t="shared" si="445"/>
        <v>0</v>
      </c>
      <c r="AC187" s="77">
        <f t="shared" si="445"/>
        <v>259452</v>
      </c>
      <c r="AD187" s="77">
        <f t="shared" si="445"/>
        <v>87695</v>
      </c>
      <c r="AE187" s="77">
        <f t="shared" si="445"/>
        <v>5190</v>
      </c>
      <c r="AF187" s="77">
        <f t="shared" si="445"/>
        <v>8450</v>
      </c>
      <c r="AG187" s="77">
        <f t="shared" si="445"/>
        <v>0</v>
      </c>
      <c r="AH187" s="77">
        <f t="shared" si="445"/>
        <v>8450</v>
      </c>
      <c r="AI187" s="77">
        <f t="shared" si="445"/>
        <v>360787</v>
      </c>
      <c r="AJ187" s="78">
        <f t="shared" si="445"/>
        <v>0</v>
      </c>
      <c r="AK187" s="78">
        <f t="shared" si="445"/>
        <v>0</v>
      </c>
      <c r="AL187" s="78">
        <f t="shared" si="445"/>
        <v>0.01</v>
      </c>
      <c r="AM187" s="78">
        <f t="shared" si="445"/>
        <v>0.41</v>
      </c>
      <c r="AN187" s="78">
        <f t="shared" si="445"/>
        <v>-1.0000000000000037E-2</v>
      </c>
      <c r="AO187" s="78">
        <f t="shared" si="445"/>
        <v>0</v>
      </c>
      <c r="AP187" s="78">
        <f t="shared" si="445"/>
        <v>0</v>
      </c>
      <c r="AQ187" s="78">
        <f t="shared" si="445"/>
        <v>0</v>
      </c>
      <c r="AR187" s="78">
        <f t="shared" si="445"/>
        <v>0.42</v>
      </c>
      <c r="AS187" s="78">
        <f t="shared" si="445"/>
        <v>-1.0000000000000037E-2</v>
      </c>
      <c r="AT187" s="79">
        <f t="shared" si="445"/>
        <v>0.40999999999999992</v>
      </c>
      <c r="AU187" s="433">
        <f t="shared" si="445"/>
        <v>34713663</v>
      </c>
      <c r="AV187" s="77">
        <f t="shared" si="445"/>
        <v>24975667</v>
      </c>
      <c r="AW187" s="77">
        <f t="shared" si="445"/>
        <v>230000</v>
      </c>
      <c r="AX187" s="77">
        <f t="shared" si="445"/>
        <v>8519516</v>
      </c>
      <c r="AY187" s="77">
        <f t="shared" si="445"/>
        <v>499514</v>
      </c>
      <c r="AZ187" s="77">
        <f t="shared" si="445"/>
        <v>488966</v>
      </c>
      <c r="BA187" s="78">
        <f t="shared" si="445"/>
        <v>53.627599999999994</v>
      </c>
      <c r="BB187" s="78">
        <f t="shared" si="445"/>
        <v>39.623600000000003</v>
      </c>
      <c r="BC187" s="79">
        <f t="shared" si="445"/>
        <v>14.003999999999998</v>
      </c>
    </row>
    <row r="188" spans="1:55" ht="14.1" customHeight="1" x14ac:dyDescent="0.2">
      <c r="A188" s="68">
        <v>41</v>
      </c>
      <c r="B188" s="65">
        <v>2480</v>
      </c>
      <c r="C188" s="66">
        <v>600080293</v>
      </c>
      <c r="D188" s="65">
        <v>46744924</v>
      </c>
      <c r="E188" s="67" t="s">
        <v>648</v>
      </c>
      <c r="F188" s="68">
        <v>3113</v>
      </c>
      <c r="G188" s="67" t="s">
        <v>314</v>
      </c>
      <c r="H188" s="69" t="s">
        <v>277</v>
      </c>
      <c r="I188" s="477">
        <v>35101493</v>
      </c>
      <c r="J188" s="472">
        <v>25279317</v>
      </c>
      <c r="K188" s="472">
        <v>30000</v>
      </c>
      <c r="L188" s="472">
        <v>8554550</v>
      </c>
      <c r="M188" s="472">
        <v>505586</v>
      </c>
      <c r="N188" s="472">
        <v>732040</v>
      </c>
      <c r="O188" s="473">
        <v>42.309399999999997</v>
      </c>
      <c r="P188" s="473">
        <v>33.49</v>
      </c>
      <c r="Q188" s="483">
        <v>8.8193999999999999</v>
      </c>
      <c r="R188" s="485">
        <f t="shared" ref="R188:R193" si="446">Y188*-1</f>
        <v>0</v>
      </c>
      <c r="S188" s="475">
        <v>0</v>
      </c>
      <c r="T188" s="475">
        <v>0</v>
      </c>
      <c r="U188" s="475">
        <v>0</v>
      </c>
      <c r="V188" s="475">
        <v>0</v>
      </c>
      <c r="W188" s="475">
        <v>0</v>
      </c>
      <c r="X188" s="475">
        <f t="shared" ref="X188:X193" si="447">SUM(R188:W188)</f>
        <v>0</v>
      </c>
      <c r="Y188" s="475">
        <v>0</v>
      </c>
      <c r="Z188" s="475">
        <v>0</v>
      </c>
      <c r="AA188" s="475">
        <v>0</v>
      </c>
      <c r="AB188" s="475">
        <f t="shared" ref="AB188:AB193" si="448">SUM(Y188:AA188)</f>
        <v>0</v>
      </c>
      <c r="AC188" s="475">
        <f t="shared" ref="AC188:AC193" si="449">X188+AB188</f>
        <v>0</v>
      </c>
      <c r="AD188" s="70">
        <f t="shared" ref="AD188:AD193" si="450">ROUND((X188+Y188+Z188)*33.8%,0)</f>
        <v>0</v>
      </c>
      <c r="AE188" s="70">
        <f t="shared" ref="AE188:AE193" si="451">ROUND(X188*2%,0)</f>
        <v>0</v>
      </c>
      <c r="AF188" s="475">
        <v>0</v>
      </c>
      <c r="AG188" s="475">
        <v>0</v>
      </c>
      <c r="AH188" s="475">
        <f t="shared" ref="AH188:AH193" si="452">SUM(AF188:AG188)</f>
        <v>0</v>
      </c>
      <c r="AI188" s="475">
        <f t="shared" ref="AI188:AI193" si="453">AC188+AD188+AE188+AH188</f>
        <v>0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</v>
      </c>
      <c r="AO188" s="476">
        <v>0</v>
      </c>
      <c r="AP188" s="476">
        <v>0</v>
      </c>
      <c r="AQ188" s="476">
        <v>0</v>
      </c>
      <c r="AR188" s="476">
        <f t="shared" si="360"/>
        <v>0</v>
      </c>
      <c r="AS188" s="476">
        <f t="shared" si="361"/>
        <v>0</v>
      </c>
      <c r="AT188" s="478">
        <f t="shared" si="362"/>
        <v>0</v>
      </c>
      <c r="AU188" s="484">
        <f t="shared" ref="AU188:AU193" si="454">I188+AI188</f>
        <v>35101493</v>
      </c>
      <c r="AV188" s="475">
        <f t="shared" ref="AV188:AV193" si="455">J188+X188</f>
        <v>25279317</v>
      </c>
      <c r="AW188" s="475">
        <f t="shared" ref="AW188:AW193" si="456">K188+AB188</f>
        <v>30000</v>
      </c>
      <c r="AX188" s="475">
        <f t="shared" ref="AX188:AY193" si="457">L188+AD188</f>
        <v>8554550</v>
      </c>
      <c r="AY188" s="475">
        <f t="shared" si="457"/>
        <v>505586</v>
      </c>
      <c r="AZ188" s="475">
        <f t="shared" ref="AZ188:AZ193" si="458">N188+AH188</f>
        <v>732040</v>
      </c>
      <c r="BA188" s="476">
        <f t="shared" ref="BA188:BA193" si="459">O188+AT188</f>
        <v>42.309399999999997</v>
      </c>
      <c r="BB188" s="476">
        <f t="shared" ref="BB188:BC193" si="460">P188+AR188</f>
        <v>33.49</v>
      </c>
      <c r="BC188" s="478">
        <f t="shared" si="460"/>
        <v>8.8193999999999999</v>
      </c>
    </row>
    <row r="189" spans="1:55" ht="14.1" customHeight="1" x14ac:dyDescent="0.2">
      <c r="A189" s="68">
        <v>41</v>
      </c>
      <c r="B189" s="65">
        <v>2480</v>
      </c>
      <c r="C189" s="66">
        <v>600080293</v>
      </c>
      <c r="D189" s="65">
        <v>46744924</v>
      </c>
      <c r="E189" s="67" t="s">
        <v>648</v>
      </c>
      <c r="F189" s="68">
        <v>3113</v>
      </c>
      <c r="G189" s="80" t="s">
        <v>312</v>
      </c>
      <c r="H189" s="69" t="s">
        <v>278</v>
      </c>
      <c r="I189" s="477">
        <v>2068736</v>
      </c>
      <c r="J189" s="472">
        <v>1523370</v>
      </c>
      <c r="K189" s="472">
        <v>0</v>
      </c>
      <c r="L189" s="472">
        <v>514899</v>
      </c>
      <c r="M189" s="472">
        <v>30467</v>
      </c>
      <c r="N189" s="472">
        <v>0</v>
      </c>
      <c r="O189" s="473">
        <v>4.3</v>
      </c>
      <c r="P189" s="474">
        <v>4.3</v>
      </c>
      <c r="Q189" s="483">
        <v>0</v>
      </c>
      <c r="R189" s="485">
        <f t="shared" si="446"/>
        <v>0</v>
      </c>
      <c r="S189" s="475">
        <v>64958</v>
      </c>
      <c r="T189" s="475">
        <v>0</v>
      </c>
      <c r="U189" s="475">
        <v>0</v>
      </c>
      <c r="V189" s="475">
        <v>0</v>
      </c>
      <c r="W189" s="475">
        <v>0</v>
      </c>
      <c r="X189" s="475">
        <f t="shared" si="447"/>
        <v>64958</v>
      </c>
      <c r="Y189" s="475">
        <v>0</v>
      </c>
      <c r="Z189" s="475">
        <v>0</v>
      </c>
      <c r="AA189" s="475">
        <v>0</v>
      </c>
      <c r="AB189" s="475">
        <f t="shared" si="448"/>
        <v>0</v>
      </c>
      <c r="AC189" s="475">
        <f t="shared" si="449"/>
        <v>64958</v>
      </c>
      <c r="AD189" s="70">
        <f t="shared" si="450"/>
        <v>21956</v>
      </c>
      <c r="AE189" s="70">
        <f t="shared" si="451"/>
        <v>1299</v>
      </c>
      <c r="AF189" s="475">
        <v>0</v>
      </c>
      <c r="AG189" s="475">
        <v>0</v>
      </c>
      <c r="AH189" s="475">
        <f t="shared" si="452"/>
        <v>0</v>
      </c>
      <c r="AI189" s="475">
        <f t="shared" si="453"/>
        <v>88213</v>
      </c>
      <c r="AJ189" s="476">
        <v>0</v>
      </c>
      <c r="AK189" s="476">
        <v>0</v>
      </c>
      <c r="AL189" s="476">
        <v>0.19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476">
        <f t="shared" si="360"/>
        <v>0.19</v>
      </c>
      <c r="AS189" s="476">
        <f t="shared" si="361"/>
        <v>0</v>
      </c>
      <c r="AT189" s="478">
        <f t="shared" si="362"/>
        <v>0.19</v>
      </c>
      <c r="AU189" s="484">
        <f t="shared" si="454"/>
        <v>2156949</v>
      </c>
      <c r="AV189" s="475">
        <f t="shared" si="455"/>
        <v>1588328</v>
      </c>
      <c r="AW189" s="475">
        <f t="shared" si="456"/>
        <v>0</v>
      </c>
      <c r="AX189" s="475">
        <f t="shared" si="457"/>
        <v>536855</v>
      </c>
      <c r="AY189" s="475">
        <f t="shared" si="457"/>
        <v>31766</v>
      </c>
      <c r="AZ189" s="475">
        <f t="shared" si="458"/>
        <v>0</v>
      </c>
      <c r="BA189" s="476">
        <f t="shared" si="459"/>
        <v>4.49</v>
      </c>
      <c r="BB189" s="476">
        <f t="shared" si="460"/>
        <v>4.49</v>
      </c>
      <c r="BC189" s="478">
        <f t="shared" si="460"/>
        <v>0</v>
      </c>
    </row>
    <row r="190" spans="1:55" ht="13.5" customHeight="1" x14ac:dyDescent="0.2">
      <c r="A190" s="68">
        <v>41</v>
      </c>
      <c r="B190" s="65">
        <v>2480</v>
      </c>
      <c r="C190" s="66">
        <v>600080293</v>
      </c>
      <c r="D190" s="65">
        <v>46744924</v>
      </c>
      <c r="E190" s="67" t="s">
        <v>648</v>
      </c>
      <c r="F190" s="68">
        <v>3141</v>
      </c>
      <c r="G190" s="67" t="s">
        <v>315</v>
      </c>
      <c r="H190" s="69" t="s">
        <v>278</v>
      </c>
      <c r="I190" s="477">
        <v>3190071</v>
      </c>
      <c r="J190" s="472">
        <v>2327398</v>
      </c>
      <c r="K190" s="472">
        <v>0</v>
      </c>
      <c r="L190" s="472">
        <v>786661</v>
      </c>
      <c r="M190" s="472">
        <v>46548</v>
      </c>
      <c r="N190" s="472">
        <v>29464</v>
      </c>
      <c r="O190" s="473">
        <v>7.33</v>
      </c>
      <c r="P190" s="474">
        <v>0</v>
      </c>
      <c r="Q190" s="483">
        <v>7.33</v>
      </c>
      <c r="R190" s="485">
        <f t="shared" si="446"/>
        <v>0</v>
      </c>
      <c r="S190" s="475">
        <v>0</v>
      </c>
      <c r="T190" s="755">
        <v>4897</v>
      </c>
      <c r="U190" s="475">
        <v>0</v>
      </c>
      <c r="V190" s="475">
        <v>0</v>
      </c>
      <c r="W190" s="475">
        <v>0</v>
      </c>
      <c r="X190" s="475">
        <f t="shared" si="447"/>
        <v>4897</v>
      </c>
      <c r="Y190" s="475">
        <v>0</v>
      </c>
      <c r="Z190" s="475">
        <v>0</v>
      </c>
      <c r="AA190" s="475">
        <v>0</v>
      </c>
      <c r="AB190" s="475">
        <f t="shared" si="448"/>
        <v>0</v>
      </c>
      <c r="AC190" s="475">
        <f t="shared" si="449"/>
        <v>4897</v>
      </c>
      <c r="AD190" s="70">
        <f t="shared" si="450"/>
        <v>1655</v>
      </c>
      <c r="AE190" s="70">
        <f t="shared" si="451"/>
        <v>98</v>
      </c>
      <c r="AF190" s="475">
        <v>0</v>
      </c>
      <c r="AG190" s="475">
        <v>0</v>
      </c>
      <c r="AH190" s="475">
        <f t="shared" si="452"/>
        <v>0</v>
      </c>
      <c r="AI190" s="475">
        <f t="shared" si="453"/>
        <v>6650</v>
      </c>
      <c r="AJ190" s="476">
        <v>0</v>
      </c>
      <c r="AK190" s="476">
        <v>0</v>
      </c>
      <c r="AL190" s="476">
        <v>0</v>
      </c>
      <c r="AM190" s="476">
        <v>0</v>
      </c>
      <c r="AN190" s="756">
        <v>2.0000000000000018E-2</v>
      </c>
      <c r="AO190" s="476">
        <v>0</v>
      </c>
      <c r="AP190" s="476">
        <v>0</v>
      </c>
      <c r="AQ190" s="476">
        <v>0</v>
      </c>
      <c r="AR190" s="476">
        <f t="shared" si="360"/>
        <v>0</v>
      </c>
      <c r="AS190" s="476">
        <f t="shared" si="361"/>
        <v>2.0000000000000018E-2</v>
      </c>
      <c r="AT190" s="478">
        <f t="shared" si="362"/>
        <v>2.0000000000000018E-2</v>
      </c>
      <c r="AU190" s="484">
        <f t="shared" si="454"/>
        <v>3196721</v>
      </c>
      <c r="AV190" s="475">
        <f t="shared" si="455"/>
        <v>2332295</v>
      </c>
      <c r="AW190" s="475">
        <f t="shared" si="456"/>
        <v>0</v>
      </c>
      <c r="AX190" s="475">
        <f t="shared" si="457"/>
        <v>788316</v>
      </c>
      <c r="AY190" s="475">
        <f t="shared" si="457"/>
        <v>46646</v>
      </c>
      <c r="AZ190" s="475">
        <f t="shared" si="458"/>
        <v>29464</v>
      </c>
      <c r="BA190" s="476">
        <f t="shared" si="459"/>
        <v>7.35</v>
      </c>
      <c r="BB190" s="476">
        <f t="shared" si="460"/>
        <v>0</v>
      </c>
      <c r="BC190" s="478">
        <f t="shared" si="460"/>
        <v>7.35</v>
      </c>
    </row>
    <row r="191" spans="1:55" ht="14.1" customHeight="1" x14ac:dyDescent="0.2">
      <c r="A191" s="68">
        <v>41</v>
      </c>
      <c r="B191" s="65">
        <v>2480</v>
      </c>
      <c r="C191" s="66">
        <v>600080293</v>
      </c>
      <c r="D191" s="65">
        <v>46744924</v>
      </c>
      <c r="E191" s="67" t="s">
        <v>648</v>
      </c>
      <c r="F191" s="68">
        <v>3143</v>
      </c>
      <c r="G191" s="80" t="s">
        <v>626</v>
      </c>
      <c r="H191" s="69" t="s">
        <v>277</v>
      </c>
      <c r="I191" s="477">
        <v>3394242</v>
      </c>
      <c r="J191" s="472">
        <v>2499442</v>
      </c>
      <c r="K191" s="472">
        <v>0</v>
      </c>
      <c r="L191" s="472">
        <v>844811</v>
      </c>
      <c r="M191" s="472">
        <v>49989</v>
      </c>
      <c r="N191" s="472">
        <v>0</v>
      </c>
      <c r="O191" s="473">
        <v>5.1071</v>
      </c>
      <c r="P191" s="473">
        <v>5.1071</v>
      </c>
      <c r="Q191" s="483">
        <v>0</v>
      </c>
      <c r="R191" s="485">
        <f t="shared" si="446"/>
        <v>0</v>
      </c>
      <c r="S191" s="475">
        <v>0</v>
      </c>
      <c r="T191" s="475">
        <v>0</v>
      </c>
      <c r="U191" s="475">
        <v>0</v>
      </c>
      <c r="V191" s="475">
        <v>0</v>
      </c>
      <c r="W191" s="475">
        <v>0</v>
      </c>
      <c r="X191" s="475">
        <f t="shared" si="447"/>
        <v>0</v>
      </c>
      <c r="Y191" s="475">
        <v>0</v>
      </c>
      <c r="Z191" s="475">
        <v>0</v>
      </c>
      <c r="AA191" s="475">
        <v>0</v>
      </c>
      <c r="AB191" s="475">
        <f t="shared" si="448"/>
        <v>0</v>
      </c>
      <c r="AC191" s="475">
        <f t="shared" si="449"/>
        <v>0</v>
      </c>
      <c r="AD191" s="70">
        <f t="shared" si="450"/>
        <v>0</v>
      </c>
      <c r="AE191" s="70">
        <f t="shared" si="451"/>
        <v>0</v>
      </c>
      <c r="AF191" s="475">
        <v>0</v>
      </c>
      <c r="AG191" s="475">
        <v>0</v>
      </c>
      <c r="AH191" s="475">
        <f t="shared" si="452"/>
        <v>0</v>
      </c>
      <c r="AI191" s="475">
        <f t="shared" si="453"/>
        <v>0</v>
      </c>
      <c r="AJ191" s="476">
        <v>0</v>
      </c>
      <c r="AK191" s="476">
        <v>0</v>
      </c>
      <c r="AL191" s="476">
        <v>0</v>
      </c>
      <c r="AM191" s="476">
        <v>0</v>
      </c>
      <c r="AN191" s="476">
        <v>0</v>
      </c>
      <c r="AO191" s="476">
        <v>0</v>
      </c>
      <c r="AP191" s="476">
        <v>0</v>
      </c>
      <c r="AQ191" s="476">
        <v>0</v>
      </c>
      <c r="AR191" s="476">
        <f t="shared" si="360"/>
        <v>0</v>
      </c>
      <c r="AS191" s="476">
        <f t="shared" si="361"/>
        <v>0</v>
      </c>
      <c r="AT191" s="478">
        <f t="shared" si="362"/>
        <v>0</v>
      </c>
      <c r="AU191" s="484">
        <f t="shared" si="454"/>
        <v>3394242</v>
      </c>
      <c r="AV191" s="475">
        <f t="shared" si="455"/>
        <v>2499442</v>
      </c>
      <c r="AW191" s="475">
        <f t="shared" si="456"/>
        <v>0</v>
      </c>
      <c r="AX191" s="475">
        <f t="shared" si="457"/>
        <v>844811</v>
      </c>
      <c r="AY191" s="475">
        <f t="shared" si="457"/>
        <v>49989</v>
      </c>
      <c r="AZ191" s="475">
        <f t="shared" si="458"/>
        <v>0</v>
      </c>
      <c r="BA191" s="476">
        <f t="shared" si="459"/>
        <v>5.1071</v>
      </c>
      <c r="BB191" s="476">
        <f t="shared" si="460"/>
        <v>5.1071</v>
      </c>
      <c r="BC191" s="478">
        <f t="shared" si="460"/>
        <v>0</v>
      </c>
    </row>
    <row r="192" spans="1:55" ht="14.1" customHeight="1" x14ac:dyDescent="0.2">
      <c r="A192" s="68">
        <v>41</v>
      </c>
      <c r="B192" s="65">
        <v>2480</v>
      </c>
      <c r="C192" s="66">
        <v>600080293</v>
      </c>
      <c r="D192" s="65">
        <v>46744924</v>
      </c>
      <c r="E192" s="67" t="s">
        <v>648</v>
      </c>
      <c r="F192" s="68">
        <v>3143</v>
      </c>
      <c r="G192" s="80" t="s">
        <v>627</v>
      </c>
      <c r="H192" s="69" t="s">
        <v>278</v>
      </c>
      <c r="I192" s="477">
        <v>122472</v>
      </c>
      <c r="J192" s="472">
        <v>86607</v>
      </c>
      <c r="K192" s="472">
        <v>0</v>
      </c>
      <c r="L192" s="472">
        <v>29273</v>
      </c>
      <c r="M192" s="472">
        <v>1732</v>
      </c>
      <c r="N192" s="472">
        <v>4860</v>
      </c>
      <c r="O192" s="473">
        <v>0.34</v>
      </c>
      <c r="P192" s="474">
        <v>0</v>
      </c>
      <c r="Q192" s="483">
        <v>0.34</v>
      </c>
      <c r="R192" s="485">
        <f t="shared" si="446"/>
        <v>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si="447"/>
        <v>0</v>
      </c>
      <c r="Y192" s="475">
        <v>0</v>
      </c>
      <c r="Z192" s="475">
        <v>0</v>
      </c>
      <c r="AA192" s="475">
        <v>0</v>
      </c>
      <c r="AB192" s="475">
        <f t="shared" si="448"/>
        <v>0</v>
      </c>
      <c r="AC192" s="475">
        <f t="shared" si="449"/>
        <v>0</v>
      </c>
      <c r="AD192" s="70">
        <f t="shared" si="450"/>
        <v>0</v>
      </c>
      <c r="AE192" s="70">
        <f t="shared" si="451"/>
        <v>0</v>
      </c>
      <c r="AF192" s="475">
        <v>0</v>
      </c>
      <c r="AG192" s="475">
        <v>0</v>
      </c>
      <c r="AH192" s="475">
        <f t="shared" si="452"/>
        <v>0</v>
      </c>
      <c r="AI192" s="475">
        <f t="shared" si="453"/>
        <v>0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476">
        <f t="shared" si="360"/>
        <v>0</v>
      </c>
      <c r="AS192" s="476">
        <f t="shared" si="361"/>
        <v>0</v>
      </c>
      <c r="AT192" s="478">
        <f t="shared" si="362"/>
        <v>0</v>
      </c>
      <c r="AU192" s="484">
        <f t="shared" si="454"/>
        <v>122472</v>
      </c>
      <c r="AV192" s="475">
        <f t="shared" si="455"/>
        <v>86607</v>
      </c>
      <c r="AW192" s="475">
        <f t="shared" si="456"/>
        <v>0</v>
      </c>
      <c r="AX192" s="475">
        <f t="shared" si="457"/>
        <v>29273</v>
      </c>
      <c r="AY192" s="475">
        <f t="shared" si="457"/>
        <v>1732</v>
      </c>
      <c r="AZ192" s="475">
        <f t="shared" si="458"/>
        <v>4860</v>
      </c>
      <c r="BA192" s="476">
        <f t="shared" si="459"/>
        <v>0.34</v>
      </c>
      <c r="BB192" s="476">
        <f t="shared" si="460"/>
        <v>0</v>
      </c>
      <c r="BC192" s="478">
        <f t="shared" si="460"/>
        <v>0.34</v>
      </c>
    </row>
    <row r="193" spans="1:55" ht="14.1" customHeight="1" x14ac:dyDescent="0.2">
      <c r="A193" s="68">
        <v>41</v>
      </c>
      <c r="B193" s="65">
        <v>2480</v>
      </c>
      <c r="C193" s="66">
        <v>600080293</v>
      </c>
      <c r="D193" s="65">
        <v>46744924</v>
      </c>
      <c r="E193" s="67" t="s">
        <v>648</v>
      </c>
      <c r="F193" s="68">
        <v>3143</v>
      </c>
      <c r="G193" s="80" t="s">
        <v>317</v>
      </c>
      <c r="H193" s="69" t="s">
        <v>278</v>
      </c>
      <c r="I193" s="477">
        <v>1045657</v>
      </c>
      <c r="J193" s="472">
        <v>765638</v>
      </c>
      <c r="K193" s="472">
        <v>0</v>
      </c>
      <c r="L193" s="472">
        <v>258786</v>
      </c>
      <c r="M193" s="472">
        <v>15313</v>
      </c>
      <c r="N193" s="472">
        <v>5920</v>
      </c>
      <c r="O193" s="473">
        <v>1.8599999999999999</v>
      </c>
      <c r="P193" s="473">
        <v>1.24</v>
      </c>
      <c r="Q193" s="483">
        <v>0.62</v>
      </c>
      <c r="R193" s="485">
        <f t="shared" si="446"/>
        <v>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447"/>
        <v>0</v>
      </c>
      <c r="Y193" s="475">
        <v>0</v>
      </c>
      <c r="Z193" s="475">
        <v>0</v>
      </c>
      <c r="AA193" s="475">
        <v>0</v>
      </c>
      <c r="AB193" s="475">
        <f t="shared" si="448"/>
        <v>0</v>
      </c>
      <c r="AC193" s="475">
        <f t="shared" si="449"/>
        <v>0</v>
      </c>
      <c r="AD193" s="70">
        <f t="shared" si="450"/>
        <v>0</v>
      </c>
      <c r="AE193" s="70">
        <f t="shared" si="451"/>
        <v>0</v>
      </c>
      <c r="AF193" s="475">
        <v>0</v>
      </c>
      <c r="AG193" s="475">
        <v>0</v>
      </c>
      <c r="AH193" s="475">
        <f t="shared" si="452"/>
        <v>0</v>
      </c>
      <c r="AI193" s="475">
        <f t="shared" si="453"/>
        <v>0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476">
        <f t="shared" si="360"/>
        <v>0</v>
      </c>
      <c r="AS193" s="476">
        <f t="shared" si="361"/>
        <v>0</v>
      </c>
      <c r="AT193" s="478">
        <f t="shared" si="362"/>
        <v>0</v>
      </c>
      <c r="AU193" s="484">
        <f t="shared" si="454"/>
        <v>1045657</v>
      </c>
      <c r="AV193" s="475">
        <f t="shared" si="455"/>
        <v>765638</v>
      </c>
      <c r="AW193" s="475">
        <f t="shared" si="456"/>
        <v>0</v>
      </c>
      <c r="AX193" s="475">
        <f t="shared" si="457"/>
        <v>258786</v>
      </c>
      <c r="AY193" s="475">
        <f t="shared" si="457"/>
        <v>15313</v>
      </c>
      <c r="AZ193" s="475">
        <f t="shared" si="458"/>
        <v>5920</v>
      </c>
      <c r="BA193" s="476">
        <f t="shared" si="459"/>
        <v>1.8599999999999999</v>
      </c>
      <c r="BB193" s="476">
        <f t="shared" si="460"/>
        <v>1.24</v>
      </c>
      <c r="BC193" s="478">
        <f t="shared" si="460"/>
        <v>0.62</v>
      </c>
    </row>
    <row r="194" spans="1:55" ht="14.1" customHeight="1" x14ac:dyDescent="0.2">
      <c r="A194" s="74">
        <v>41</v>
      </c>
      <c r="B194" s="71">
        <v>2480</v>
      </c>
      <c r="C194" s="72">
        <v>600080293</v>
      </c>
      <c r="D194" s="71">
        <v>46744924</v>
      </c>
      <c r="E194" s="73" t="s">
        <v>649</v>
      </c>
      <c r="F194" s="74"/>
      <c r="G194" s="73"/>
      <c r="H194" s="75"/>
      <c r="I194" s="76">
        <v>44922671</v>
      </c>
      <c r="J194" s="77">
        <v>32481772</v>
      </c>
      <c r="K194" s="77">
        <v>30000</v>
      </c>
      <c r="L194" s="77">
        <v>10988980</v>
      </c>
      <c r="M194" s="77">
        <v>649635</v>
      </c>
      <c r="N194" s="77">
        <v>772284</v>
      </c>
      <c r="O194" s="78">
        <v>61.246499999999997</v>
      </c>
      <c r="P194" s="78">
        <v>44.137100000000004</v>
      </c>
      <c r="Q194" s="718">
        <v>17.109400000000001</v>
      </c>
      <c r="R194" s="76">
        <f t="shared" ref="R194:BC194" si="461">SUM(R188:R193)</f>
        <v>0</v>
      </c>
      <c r="S194" s="77">
        <f t="shared" si="461"/>
        <v>64958</v>
      </c>
      <c r="T194" s="77">
        <f t="shared" si="461"/>
        <v>4897</v>
      </c>
      <c r="U194" s="77">
        <f t="shared" si="461"/>
        <v>0</v>
      </c>
      <c r="V194" s="77">
        <f t="shared" si="461"/>
        <v>0</v>
      </c>
      <c r="W194" s="77">
        <f t="shared" si="461"/>
        <v>0</v>
      </c>
      <c r="X194" s="77">
        <f t="shared" si="461"/>
        <v>69855</v>
      </c>
      <c r="Y194" s="77">
        <f t="shared" si="461"/>
        <v>0</v>
      </c>
      <c r="Z194" s="77">
        <f t="shared" si="461"/>
        <v>0</v>
      </c>
      <c r="AA194" s="77">
        <f t="shared" si="461"/>
        <v>0</v>
      </c>
      <c r="AB194" s="77">
        <f t="shared" si="461"/>
        <v>0</v>
      </c>
      <c r="AC194" s="77">
        <f t="shared" si="461"/>
        <v>69855</v>
      </c>
      <c r="AD194" s="77">
        <f t="shared" si="461"/>
        <v>23611</v>
      </c>
      <c r="AE194" s="77">
        <f t="shared" si="461"/>
        <v>1397</v>
      </c>
      <c r="AF194" s="77">
        <f t="shared" si="461"/>
        <v>0</v>
      </c>
      <c r="AG194" s="77">
        <f t="shared" si="461"/>
        <v>0</v>
      </c>
      <c r="AH194" s="77">
        <f t="shared" si="461"/>
        <v>0</v>
      </c>
      <c r="AI194" s="77">
        <f t="shared" si="461"/>
        <v>94863</v>
      </c>
      <c r="AJ194" s="78">
        <f t="shared" si="461"/>
        <v>0</v>
      </c>
      <c r="AK194" s="78">
        <f t="shared" si="461"/>
        <v>0</v>
      </c>
      <c r="AL194" s="78">
        <f t="shared" si="461"/>
        <v>0.19</v>
      </c>
      <c r="AM194" s="78">
        <f t="shared" si="461"/>
        <v>0</v>
      </c>
      <c r="AN194" s="78">
        <f t="shared" si="461"/>
        <v>2.0000000000000018E-2</v>
      </c>
      <c r="AO194" s="78">
        <f t="shared" si="461"/>
        <v>0</v>
      </c>
      <c r="AP194" s="78">
        <f t="shared" si="461"/>
        <v>0</v>
      </c>
      <c r="AQ194" s="78">
        <f t="shared" si="461"/>
        <v>0</v>
      </c>
      <c r="AR194" s="78">
        <f t="shared" si="461"/>
        <v>0.19</v>
      </c>
      <c r="AS194" s="78">
        <f t="shared" si="461"/>
        <v>2.0000000000000018E-2</v>
      </c>
      <c r="AT194" s="79">
        <f t="shared" si="461"/>
        <v>0.21000000000000002</v>
      </c>
      <c r="AU194" s="433">
        <f t="shared" si="461"/>
        <v>45017534</v>
      </c>
      <c r="AV194" s="77">
        <f t="shared" si="461"/>
        <v>32551627</v>
      </c>
      <c r="AW194" s="77">
        <f t="shared" si="461"/>
        <v>30000</v>
      </c>
      <c r="AX194" s="77">
        <f t="shared" si="461"/>
        <v>11012591</v>
      </c>
      <c r="AY194" s="77">
        <f t="shared" si="461"/>
        <v>651032</v>
      </c>
      <c r="AZ194" s="77">
        <f t="shared" si="461"/>
        <v>772284</v>
      </c>
      <c r="BA194" s="78">
        <f t="shared" si="461"/>
        <v>61.456500000000005</v>
      </c>
      <c r="BB194" s="78">
        <f t="shared" si="461"/>
        <v>44.327100000000009</v>
      </c>
      <c r="BC194" s="79">
        <f t="shared" si="461"/>
        <v>17.1294</v>
      </c>
    </row>
    <row r="195" spans="1:55" ht="14.1" customHeight="1" x14ac:dyDescent="0.2">
      <c r="A195" s="68">
        <v>42</v>
      </c>
      <c r="B195" s="65">
        <v>2482</v>
      </c>
      <c r="C195" s="66">
        <v>600079945</v>
      </c>
      <c r="D195" s="65">
        <v>72741716</v>
      </c>
      <c r="E195" s="67" t="s">
        <v>650</v>
      </c>
      <c r="F195" s="68">
        <v>3113</v>
      </c>
      <c r="G195" s="67" t="s">
        <v>314</v>
      </c>
      <c r="H195" s="69" t="s">
        <v>277</v>
      </c>
      <c r="I195" s="477">
        <v>16300408</v>
      </c>
      <c r="J195" s="472">
        <v>11664306</v>
      </c>
      <c r="K195" s="472">
        <v>100000</v>
      </c>
      <c r="L195" s="472">
        <v>3976336</v>
      </c>
      <c r="M195" s="472">
        <v>233286</v>
      </c>
      <c r="N195" s="472">
        <v>326480</v>
      </c>
      <c r="O195" s="473">
        <v>20.239999999999998</v>
      </c>
      <c r="P195" s="473">
        <v>15.605500000000001</v>
      </c>
      <c r="Q195" s="483">
        <v>4.6345000000000001</v>
      </c>
      <c r="R195" s="485">
        <f t="shared" ref="R195:R199" si="462">Y195*-1</f>
        <v>0</v>
      </c>
      <c r="S195" s="475">
        <v>0</v>
      </c>
      <c r="T195" s="475">
        <v>0</v>
      </c>
      <c r="U195" s="475">
        <v>0</v>
      </c>
      <c r="V195" s="475">
        <v>0</v>
      </c>
      <c r="W195" s="475">
        <v>0</v>
      </c>
      <c r="X195" s="475">
        <f t="shared" ref="X195:X199" si="463">SUM(R195:W195)</f>
        <v>0</v>
      </c>
      <c r="Y195" s="475">
        <v>0</v>
      </c>
      <c r="Z195" s="475">
        <v>0</v>
      </c>
      <c r="AA195" s="475">
        <v>0</v>
      </c>
      <c r="AB195" s="475">
        <f t="shared" ref="AB195:AB199" si="464">SUM(Y195:AA195)</f>
        <v>0</v>
      </c>
      <c r="AC195" s="475">
        <f t="shared" ref="AC195:AC199" si="465">X195+AB195</f>
        <v>0</v>
      </c>
      <c r="AD195" s="70">
        <f t="shared" ref="AD195:AD199" si="466">ROUND((X195+Y195+Z195)*33.8%,0)</f>
        <v>0</v>
      </c>
      <c r="AE195" s="70">
        <f t="shared" ref="AE195:AE199" si="467">ROUND(X195*2%,0)</f>
        <v>0</v>
      </c>
      <c r="AF195" s="475">
        <v>0</v>
      </c>
      <c r="AG195" s="475">
        <v>0</v>
      </c>
      <c r="AH195" s="475">
        <f t="shared" ref="AH195:AH199" si="468">SUM(AF195:AG195)</f>
        <v>0</v>
      </c>
      <c r="AI195" s="475">
        <f t="shared" ref="AI195:AI199" si="469">AC195+AD195+AE195+AH195</f>
        <v>0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476">
        <f t="shared" si="360"/>
        <v>0</v>
      </c>
      <c r="AS195" s="476">
        <f t="shared" si="361"/>
        <v>0</v>
      </c>
      <c r="AT195" s="478">
        <f t="shared" si="362"/>
        <v>0</v>
      </c>
      <c r="AU195" s="484">
        <f>I195+AI195</f>
        <v>16300408</v>
      </c>
      <c r="AV195" s="475">
        <f>J195+X195</f>
        <v>11664306</v>
      </c>
      <c r="AW195" s="475">
        <f>K195+AB195</f>
        <v>100000</v>
      </c>
      <c r="AX195" s="475">
        <f t="shared" ref="AX195:AY199" si="470">L195+AD195</f>
        <v>3976336</v>
      </c>
      <c r="AY195" s="475">
        <f t="shared" si="470"/>
        <v>233286</v>
      </c>
      <c r="AZ195" s="475">
        <f>N195+AH195</f>
        <v>326480</v>
      </c>
      <c r="BA195" s="476">
        <f>O195+AT195</f>
        <v>20.239999999999998</v>
      </c>
      <c r="BB195" s="476">
        <f t="shared" ref="BB195:BC199" si="471">P195+AR195</f>
        <v>15.605500000000001</v>
      </c>
      <c r="BC195" s="478">
        <f t="shared" si="471"/>
        <v>4.6345000000000001</v>
      </c>
    </row>
    <row r="196" spans="1:55" ht="14.1" customHeight="1" x14ac:dyDescent="0.2">
      <c r="A196" s="68">
        <v>42</v>
      </c>
      <c r="B196" s="65">
        <v>2482</v>
      </c>
      <c r="C196" s="66">
        <v>600079945</v>
      </c>
      <c r="D196" s="65">
        <v>72741716</v>
      </c>
      <c r="E196" s="67" t="s">
        <v>650</v>
      </c>
      <c r="F196" s="68">
        <v>3113</v>
      </c>
      <c r="G196" s="80" t="s">
        <v>312</v>
      </c>
      <c r="H196" s="69" t="s">
        <v>278</v>
      </c>
      <c r="I196" s="477">
        <v>2420034</v>
      </c>
      <c r="J196" s="472">
        <v>1780584</v>
      </c>
      <c r="K196" s="472">
        <v>0</v>
      </c>
      <c r="L196" s="472">
        <v>601838</v>
      </c>
      <c r="M196" s="472">
        <v>35612</v>
      </c>
      <c r="N196" s="472">
        <v>2000</v>
      </c>
      <c r="O196" s="473">
        <v>4.91</v>
      </c>
      <c r="P196" s="474">
        <v>4.91</v>
      </c>
      <c r="Q196" s="483">
        <v>0</v>
      </c>
      <c r="R196" s="485">
        <f t="shared" si="462"/>
        <v>0</v>
      </c>
      <c r="S196" s="475">
        <v>-73781</v>
      </c>
      <c r="T196" s="475">
        <v>0</v>
      </c>
      <c r="U196" s="475">
        <v>0</v>
      </c>
      <c r="V196" s="475">
        <v>0</v>
      </c>
      <c r="W196" s="475">
        <v>0</v>
      </c>
      <c r="X196" s="475">
        <f t="shared" si="463"/>
        <v>-73781</v>
      </c>
      <c r="Y196" s="475">
        <v>0</v>
      </c>
      <c r="Z196" s="475">
        <v>0</v>
      </c>
      <c r="AA196" s="475">
        <v>0</v>
      </c>
      <c r="AB196" s="475">
        <f t="shared" si="464"/>
        <v>0</v>
      </c>
      <c r="AC196" s="475">
        <f t="shared" si="465"/>
        <v>-73781</v>
      </c>
      <c r="AD196" s="70">
        <f t="shared" si="466"/>
        <v>-24938</v>
      </c>
      <c r="AE196" s="70">
        <f t="shared" si="467"/>
        <v>-1476</v>
      </c>
      <c r="AF196" s="475">
        <v>0</v>
      </c>
      <c r="AG196" s="475">
        <v>0</v>
      </c>
      <c r="AH196" s="475">
        <f t="shared" si="468"/>
        <v>0</v>
      </c>
      <c r="AI196" s="475">
        <f t="shared" si="469"/>
        <v>-100195</v>
      </c>
      <c r="AJ196" s="476">
        <v>0</v>
      </c>
      <c r="AK196" s="476">
        <v>0</v>
      </c>
      <c r="AL196" s="476">
        <v>-0.21</v>
      </c>
      <c r="AM196" s="476">
        <v>0</v>
      </c>
      <c r="AN196" s="476">
        <v>0</v>
      </c>
      <c r="AO196" s="476">
        <v>0</v>
      </c>
      <c r="AP196" s="476">
        <v>0</v>
      </c>
      <c r="AQ196" s="476">
        <v>0</v>
      </c>
      <c r="AR196" s="476">
        <f t="shared" si="360"/>
        <v>-0.21</v>
      </c>
      <c r="AS196" s="476">
        <f t="shared" si="361"/>
        <v>0</v>
      </c>
      <c r="AT196" s="478">
        <f t="shared" si="362"/>
        <v>-0.21</v>
      </c>
      <c r="AU196" s="484">
        <f>I196+AI196</f>
        <v>2319839</v>
      </c>
      <c r="AV196" s="475">
        <f>J196+X196</f>
        <v>1706803</v>
      </c>
      <c r="AW196" s="475">
        <f>K196+AB196</f>
        <v>0</v>
      </c>
      <c r="AX196" s="475">
        <f t="shared" si="470"/>
        <v>576900</v>
      </c>
      <c r="AY196" s="475">
        <f t="shared" si="470"/>
        <v>34136</v>
      </c>
      <c r="AZ196" s="475">
        <f>N196+AH196</f>
        <v>2000</v>
      </c>
      <c r="BA196" s="476">
        <f>O196+AT196</f>
        <v>4.7</v>
      </c>
      <c r="BB196" s="476">
        <f t="shared" si="471"/>
        <v>4.7</v>
      </c>
      <c r="BC196" s="478">
        <f t="shared" si="471"/>
        <v>0</v>
      </c>
    </row>
    <row r="197" spans="1:55" ht="13.5" customHeight="1" x14ac:dyDescent="0.2">
      <c r="A197" s="68">
        <v>42</v>
      </c>
      <c r="B197" s="65">
        <v>2482</v>
      </c>
      <c r="C197" s="66">
        <v>600079945</v>
      </c>
      <c r="D197" s="65">
        <v>72741716</v>
      </c>
      <c r="E197" s="67" t="s">
        <v>650</v>
      </c>
      <c r="F197" s="68">
        <v>3141</v>
      </c>
      <c r="G197" s="67" t="s">
        <v>315</v>
      </c>
      <c r="H197" s="69" t="s">
        <v>278</v>
      </c>
      <c r="I197" s="477">
        <v>1556123</v>
      </c>
      <c r="J197" s="472">
        <v>1117347</v>
      </c>
      <c r="K197" s="472">
        <v>20000</v>
      </c>
      <c r="L197" s="472">
        <v>384423</v>
      </c>
      <c r="M197" s="472">
        <v>22347</v>
      </c>
      <c r="N197" s="472">
        <v>12006</v>
      </c>
      <c r="O197" s="473">
        <v>3.58</v>
      </c>
      <c r="P197" s="474">
        <v>0</v>
      </c>
      <c r="Q197" s="483">
        <v>3.58</v>
      </c>
      <c r="R197" s="485">
        <f t="shared" si="462"/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463"/>
        <v>0</v>
      </c>
      <c r="Y197" s="475">
        <v>0</v>
      </c>
      <c r="Z197" s="475">
        <v>0</v>
      </c>
      <c r="AA197" s="475">
        <v>0</v>
      </c>
      <c r="AB197" s="475">
        <f t="shared" si="464"/>
        <v>0</v>
      </c>
      <c r="AC197" s="475">
        <f t="shared" si="465"/>
        <v>0</v>
      </c>
      <c r="AD197" s="70">
        <f t="shared" si="466"/>
        <v>0</v>
      </c>
      <c r="AE197" s="70">
        <f t="shared" si="467"/>
        <v>0</v>
      </c>
      <c r="AF197" s="475">
        <v>0</v>
      </c>
      <c r="AG197" s="475">
        <v>0</v>
      </c>
      <c r="AH197" s="475">
        <f t="shared" si="468"/>
        <v>0</v>
      </c>
      <c r="AI197" s="475">
        <f t="shared" si="469"/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476">
        <f t="shared" si="360"/>
        <v>0</v>
      </c>
      <c r="AS197" s="476">
        <f t="shared" si="361"/>
        <v>0</v>
      </c>
      <c r="AT197" s="478">
        <f t="shared" si="362"/>
        <v>0</v>
      </c>
      <c r="AU197" s="484">
        <f>I197+AI197</f>
        <v>1556123</v>
      </c>
      <c r="AV197" s="475">
        <f>J197+X197</f>
        <v>1117347</v>
      </c>
      <c r="AW197" s="475">
        <f>K197+AB197</f>
        <v>20000</v>
      </c>
      <c r="AX197" s="475">
        <f t="shared" si="470"/>
        <v>384423</v>
      </c>
      <c r="AY197" s="475">
        <f t="shared" si="470"/>
        <v>22347</v>
      </c>
      <c r="AZ197" s="475">
        <f>N197+AH197</f>
        <v>12006</v>
      </c>
      <c r="BA197" s="476">
        <f>O197+AT197</f>
        <v>3.58</v>
      </c>
      <c r="BB197" s="476">
        <f t="shared" si="471"/>
        <v>0</v>
      </c>
      <c r="BC197" s="478">
        <f t="shared" si="471"/>
        <v>3.58</v>
      </c>
    </row>
    <row r="198" spans="1:55" ht="14.1" customHeight="1" x14ac:dyDescent="0.2">
      <c r="A198" s="68">
        <v>42</v>
      </c>
      <c r="B198" s="65">
        <v>2482</v>
      </c>
      <c r="C198" s="66">
        <v>600079945</v>
      </c>
      <c r="D198" s="65">
        <v>72741716</v>
      </c>
      <c r="E198" s="67" t="s">
        <v>650</v>
      </c>
      <c r="F198" s="68">
        <v>3143</v>
      </c>
      <c r="G198" s="80" t="s">
        <v>626</v>
      </c>
      <c r="H198" s="69" t="s">
        <v>277</v>
      </c>
      <c r="I198" s="477">
        <v>1571593</v>
      </c>
      <c r="J198" s="472">
        <v>1157285</v>
      </c>
      <c r="K198" s="472">
        <v>0</v>
      </c>
      <c r="L198" s="472">
        <v>391162</v>
      </c>
      <c r="M198" s="472">
        <v>23146</v>
      </c>
      <c r="N198" s="472">
        <v>0</v>
      </c>
      <c r="O198" s="473">
        <v>2.4822000000000002</v>
      </c>
      <c r="P198" s="473">
        <v>2.4822000000000002</v>
      </c>
      <c r="Q198" s="483">
        <v>0</v>
      </c>
      <c r="R198" s="485">
        <f t="shared" si="462"/>
        <v>0</v>
      </c>
      <c r="S198" s="475">
        <v>0</v>
      </c>
      <c r="T198" s="475">
        <v>0</v>
      </c>
      <c r="U198" s="475">
        <v>0</v>
      </c>
      <c r="V198" s="475">
        <v>0</v>
      </c>
      <c r="W198" s="475">
        <v>0</v>
      </c>
      <c r="X198" s="475">
        <f t="shared" si="463"/>
        <v>0</v>
      </c>
      <c r="Y198" s="475">
        <v>0</v>
      </c>
      <c r="Z198" s="475">
        <v>0</v>
      </c>
      <c r="AA198" s="475">
        <v>0</v>
      </c>
      <c r="AB198" s="475">
        <f t="shared" si="464"/>
        <v>0</v>
      </c>
      <c r="AC198" s="475">
        <f t="shared" si="465"/>
        <v>0</v>
      </c>
      <c r="AD198" s="70">
        <f t="shared" si="466"/>
        <v>0</v>
      </c>
      <c r="AE198" s="70">
        <f t="shared" si="467"/>
        <v>0</v>
      </c>
      <c r="AF198" s="475">
        <v>0</v>
      </c>
      <c r="AG198" s="475">
        <v>0</v>
      </c>
      <c r="AH198" s="475">
        <f t="shared" si="468"/>
        <v>0</v>
      </c>
      <c r="AI198" s="475">
        <f t="shared" si="469"/>
        <v>0</v>
      </c>
      <c r="AJ198" s="476">
        <v>0</v>
      </c>
      <c r="AK198" s="476">
        <v>0</v>
      </c>
      <c r="AL198" s="476">
        <v>0</v>
      </c>
      <c r="AM198" s="476">
        <v>0</v>
      </c>
      <c r="AN198" s="476">
        <v>0</v>
      </c>
      <c r="AO198" s="476">
        <v>0</v>
      </c>
      <c r="AP198" s="476">
        <v>0</v>
      </c>
      <c r="AQ198" s="476">
        <v>0</v>
      </c>
      <c r="AR198" s="476">
        <f t="shared" si="360"/>
        <v>0</v>
      </c>
      <c r="AS198" s="476">
        <f t="shared" si="361"/>
        <v>0</v>
      </c>
      <c r="AT198" s="478">
        <f t="shared" si="362"/>
        <v>0</v>
      </c>
      <c r="AU198" s="484">
        <f>I198+AI198</f>
        <v>1571593</v>
      </c>
      <c r="AV198" s="475">
        <f>J198+X198</f>
        <v>1157285</v>
      </c>
      <c r="AW198" s="475">
        <f>K198+AB198</f>
        <v>0</v>
      </c>
      <c r="AX198" s="475">
        <f t="shared" si="470"/>
        <v>391162</v>
      </c>
      <c r="AY198" s="475">
        <f t="shared" si="470"/>
        <v>23146</v>
      </c>
      <c r="AZ198" s="475">
        <f>N198+AH198</f>
        <v>0</v>
      </c>
      <c r="BA198" s="476">
        <f>O198+AT198</f>
        <v>2.4822000000000002</v>
      </c>
      <c r="BB198" s="476">
        <f t="shared" si="471"/>
        <v>2.4822000000000002</v>
      </c>
      <c r="BC198" s="478">
        <f t="shared" si="471"/>
        <v>0</v>
      </c>
    </row>
    <row r="199" spans="1:55" ht="14.1" customHeight="1" x14ac:dyDescent="0.2">
      <c r="A199" s="68">
        <v>42</v>
      </c>
      <c r="B199" s="65">
        <v>2482</v>
      </c>
      <c r="C199" s="66">
        <v>600079945</v>
      </c>
      <c r="D199" s="65">
        <v>72741716</v>
      </c>
      <c r="E199" s="67" t="s">
        <v>650</v>
      </c>
      <c r="F199" s="68">
        <v>3143</v>
      </c>
      <c r="G199" s="80" t="s">
        <v>627</v>
      </c>
      <c r="H199" s="69" t="s">
        <v>278</v>
      </c>
      <c r="I199" s="477">
        <v>45361</v>
      </c>
      <c r="J199" s="472">
        <v>32077</v>
      </c>
      <c r="K199" s="472">
        <v>0</v>
      </c>
      <c r="L199" s="472">
        <v>10842</v>
      </c>
      <c r="M199" s="472">
        <v>642</v>
      </c>
      <c r="N199" s="472">
        <v>1800</v>
      </c>
      <c r="O199" s="473">
        <v>0.13</v>
      </c>
      <c r="P199" s="474">
        <v>0</v>
      </c>
      <c r="Q199" s="483">
        <v>0.13</v>
      </c>
      <c r="R199" s="485">
        <f t="shared" si="462"/>
        <v>0</v>
      </c>
      <c r="S199" s="475">
        <v>0</v>
      </c>
      <c r="T199" s="475">
        <v>0</v>
      </c>
      <c r="U199" s="475">
        <v>0</v>
      </c>
      <c r="V199" s="475">
        <v>0</v>
      </c>
      <c r="W199" s="475">
        <v>0</v>
      </c>
      <c r="X199" s="475">
        <f t="shared" si="463"/>
        <v>0</v>
      </c>
      <c r="Y199" s="475">
        <v>0</v>
      </c>
      <c r="Z199" s="475">
        <v>0</v>
      </c>
      <c r="AA199" s="475">
        <v>0</v>
      </c>
      <c r="AB199" s="475">
        <f t="shared" si="464"/>
        <v>0</v>
      </c>
      <c r="AC199" s="475">
        <f t="shared" si="465"/>
        <v>0</v>
      </c>
      <c r="AD199" s="70">
        <f t="shared" si="466"/>
        <v>0</v>
      </c>
      <c r="AE199" s="70">
        <f t="shared" si="467"/>
        <v>0</v>
      </c>
      <c r="AF199" s="475">
        <v>0</v>
      </c>
      <c r="AG199" s="475">
        <v>0</v>
      </c>
      <c r="AH199" s="475">
        <f t="shared" si="468"/>
        <v>0</v>
      </c>
      <c r="AI199" s="475">
        <f t="shared" si="469"/>
        <v>0</v>
      </c>
      <c r="AJ199" s="476">
        <v>0</v>
      </c>
      <c r="AK199" s="476">
        <v>0</v>
      </c>
      <c r="AL199" s="476">
        <v>0</v>
      </c>
      <c r="AM199" s="476">
        <v>0</v>
      </c>
      <c r="AN199" s="476">
        <v>0</v>
      </c>
      <c r="AO199" s="476">
        <v>0</v>
      </c>
      <c r="AP199" s="476">
        <v>0</v>
      </c>
      <c r="AQ199" s="476">
        <v>0</v>
      </c>
      <c r="AR199" s="476">
        <f t="shared" si="360"/>
        <v>0</v>
      </c>
      <c r="AS199" s="476">
        <f t="shared" si="361"/>
        <v>0</v>
      </c>
      <c r="AT199" s="478">
        <f t="shared" si="362"/>
        <v>0</v>
      </c>
      <c r="AU199" s="484">
        <f>I199+AI199</f>
        <v>45361</v>
      </c>
      <c r="AV199" s="475">
        <f>J199+X199</f>
        <v>32077</v>
      </c>
      <c r="AW199" s="475">
        <f>K199+AB199</f>
        <v>0</v>
      </c>
      <c r="AX199" s="475">
        <f t="shared" si="470"/>
        <v>10842</v>
      </c>
      <c r="AY199" s="475">
        <f t="shared" si="470"/>
        <v>642</v>
      </c>
      <c r="AZ199" s="475">
        <f>N199+AH199</f>
        <v>1800</v>
      </c>
      <c r="BA199" s="476">
        <f>O199+AT199</f>
        <v>0.13</v>
      </c>
      <c r="BB199" s="476">
        <f t="shared" si="471"/>
        <v>0</v>
      </c>
      <c r="BC199" s="478">
        <f t="shared" si="471"/>
        <v>0.13</v>
      </c>
    </row>
    <row r="200" spans="1:55" ht="14.1" customHeight="1" x14ac:dyDescent="0.2">
      <c r="A200" s="74">
        <v>42</v>
      </c>
      <c r="B200" s="71">
        <v>2482</v>
      </c>
      <c r="C200" s="72">
        <v>600079945</v>
      </c>
      <c r="D200" s="71">
        <v>72741716</v>
      </c>
      <c r="E200" s="73" t="s">
        <v>651</v>
      </c>
      <c r="F200" s="74"/>
      <c r="G200" s="73"/>
      <c r="H200" s="75"/>
      <c r="I200" s="76">
        <v>21893519</v>
      </c>
      <c r="J200" s="77">
        <v>15751599</v>
      </c>
      <c r="K200" s="77">
        <v>120000</v>
      </c>
      <c r="L200" s="77">
        <v>5364601</v>
      </c>
      <c r="M200" s="77">
        <v>315033</v>
      </c>
      <c r="N200" s="77">
        <v>342286</v>
      </c>
      <c r="O200" s="78">
        <v>31.342199999999995</v>
      </c>
      <c r="P200" s="78">
        <v>22.997700000000002</v>
      </c>
      <c r="Q200" s="718">
        <v>8.3445000000000018</v>
      </c>
      <c r="R200" s="76">
        <f t="shared" ref="R200:BC200" si="472">SUM(R195:R199)</f>
        <v>0</v>
      </c>
      <c r="S200" s="77">
        <f t="shared" si="472"/>
        <v>-73781</v>
      </c>
      <c r="T200" s="77">
        <f t="shared" si="472"/>
        <v>0</v>
      </c>
      <c r="U200" s="77">
        <f t="shared" si="472"/>
        <v>0</v>
      </c>
      <c r="V200" s="77">
        <f t="shared" si="472"/>
        <v>0</v>
      </c>
      <c r="W200" s="77">
        <f t="shared" si="472"/>
        <v>0</v>
      </c>
      <c r="X200" s="77">
        <f t="shared" si="472"/>
        <v>-73781</v>
      </c>
      <c r="Y200" s="77">
        <f t="shared" si="472"/>
        <v>0</v>
      </c>
      <c r="Z200" s="77">
        <f t="shared" si="472"/>
        <v>0</v>
      </c>
      <c r="AA200" s="77">
        <f t="shared" si="472"/>
        <v>0</v>
      </c>
      <c r="AB200" s="77">
        <f t="shared" si="472"/>
        <v>0</v>
      </c>
      <c r="AC200" s="77">
        <f t="shared" si="472"/>
        <v>-73781</v>
      </c>
      <c r="AD200" s="77">
        <f t="shared" si="472"/>
        <v>-24938</v>
      </c>
      <c r="AE200" s="77">
        <f t="shared" si="472"/>
        <v>-1476</v>
      </c>
      <c r="AF200" s="77">
        <f t="shared" si="472"/>
        <v>0</v>
      </c>
      <c r="AG200" s="77">
        <f t="shared" si="472"/>
        <v>0</v>
      </c>
      <c r="AH200" s="77">
        <f t="shared" si="472"/>
        <v>0</v>
      </c>
      <c r="AI200" s="77">
        <f t="shared" si="472"/>
        <v>-100195</v>
      </c>
      <c r="AJ200" s="78">
        <f t="shared" si="472"/>
        <v>0</v>
      </c>
      <c r="AK200" s="78">
        <f t="shared" si="472"/>
        <v>0</v>
      </c>
      <c r="AL200" s="78">
        <f t="shared" si="472"/>
        <v>-0.21</v>
      </c>
      <c r="AM200" s="78">
        <f t="shared" si="472"/>
        <v>0</v>
      </c>
      <c r="AN200" s="78">
        <f t="shared" si="472"/>
        <v>0</v>
      </c>
      <c r="AO200" s="78">
        <f t="shared" si="472"/>
        <v>0</v>
      </c>
      <c r="AP200" s="78">
        <f t="shared" si="472"/>
        <v>0</v>
      </c>
      <c r="AQ200" s="78">
        <f t="shared" si="472"/>
        <v>0</v>
      </c>
      <c r="AR200" s="78">
        <f t="shared" si="472"/>
        <v>-0.21</v>
      </c>
      <c r="AS200" s="78">
        <f t="shared" si="472"/>
        <v>0</v>
      </c>
      <c r="AT200" s="79">
        <f t="shared" si="472"/>
        <v>-0.21</v>
      </c>
      <c r="AU200" s="433">
        <f t="shared" si="472"/>
        <v>21793324</v>
      </c>
      <c r="AV200" s="77">
        <f t="shared" si="472"/>
        <v>15677818</v>
      </c>
      <c r="AW200" s="77">
        <f t="shared" si="472"/>
        <v>120000</v>
      </c>
      <c r="AX200" s="77">
        <f t="shared" si="472"/>
        <v>5339663</v>
      </c>
      <c r="AY200" s="77">
        <f t="shared" si="472"/>
        <v>313557</v>
      </c>
      <c r="AZ200" s="77">
        <f t="shared" si="472"/>
        <v>342286</v>
      </c>
      <c r="BA200" s="78">
        <f t="shared" si="472"/>
        <v>31.132199999999994</v>
      </c>
      <c r="BB200" s="78">
        <f t="shared" si="472"/>
        <v>22.787700000000001</v>
      </c>
      <c r="BC200" s="79">
        <f t="shared" si="472"/>
        <v>8.3445000000000018</v>
      </c>
    </row>
    <row r="201" spans="1:55" ht="14.1" customHeight="1" x14ac:dyDescent="0.2">
      <c r="A201" s="68">
        <v>43</v>
      </c>
      <c r="B201" s="65">
        <v>2328</v>
      </c>
      <c r="C201" s="66">
        <v>691006041</v>
      </c>
      <c r="D201" s="65">
        <v>71294988</v>
      </c>
      <c r="E201" s="67" t="s">
        <v>652</v>
      </c>
      <c r="F201" s="68">
        <v>3113</v>
      </c>
      <c r="G201" s="67" t="s">
        <v>314</v>
      </c>
      <c r="H201" s="69" t="s">
        <v>277</v>
      </c>
      <c r="I201" s="477">
        <v>26141499</v>
      </c>
      <c r="J201" s="472">
        <v>18505234</v>
      </c>
      <c r="K201" s="472">
        <v>275000</v>
      </c>
      <c r="L201" s="472">
        <v>6347720</v>
      </c>
      <c r="M201" s="472">
        <v>370105</v>
      </c>
      <c r="N201" s="472">
        <v>643440</v>
      </c>
      <c r="O201" s="473">
        <v>31.5883</v>
      </c>
      <c r="P201" s="473">
        <v>24.756500000000003</v>
      </c>
      <c r="Q201" s="483">
        <v>6.8318000000000003</v>
      </c>
      <c r="R201" s="485">
        <f t="shared" ref="R201:R205" si="473">Y201*-1</f>
        <v>0</v>
      </c>
      <c r="S201" s="475">
        <v>0</v>
      </c>
      <c r="T201" s="475">
        <v>791648</v>
      </c>
      <c r="U201" s="475">
        <v>0</v>
      </c>
      <c r="V201" s="475">
        <v>0</v>
      </c>
      <c r="W201" s="475">
        <v>0</v>
      </c>
      <c r="X201" s="475">
        <f t="shared" ref="X201:X205" si="474">SUM(R201:W201)</f>
        <v>791648</v>
      </c>
      <c r="Y201" s="475">
        <v>0</v>
      </c>
      <c r="Z201" s="475">
        <v>0</v>
      </c>
      <c r="AA201" s="475">
        <v>0</v>
      </c>
      <c r="AB201" s="475">
        <f t="shared" ref="AB201:AB205" si="475">SUM(Y201:AA201)</f>
        <v>0</v>
      </c>
      <c r="AC201" s="475">
        <f t="shared" ref="AC201:AC205" si="476">X201+AB201</f>
        <v>791648</v>
      </c>
      <c r="AD201" s="70">
        <f t="shared" ref="AD201:AD205" si="477">ROUND((X201+Y201+Z201)*33.8%,0)</f>
        <v>267577</v>
      </c>
      <c r="AE201" s="70">
        <f t="shared" ref="AE201:AE205" si="478">ROUND(X201*2%,0)</f>
        <v>15833</v>
      </c>
      <c r="AF201" s="475">
        <v>0</v>
      </c>
      <c r="AG201" s="475">
        <v>0</v>
      </c>
      <c r="AH201" s="475">
        <f t="shared" ref="AH201:AH205" si="479">SUM(AF201:AG201)</f>
        <v>0</v>
      </c>
      <c r="AI201" s="475">
        <f t="shared" ref="AI201:AI205" si="480">AC201+AD201+AE201+AH201</f>
        <v>1075058</v>
      </c>
      <c r="AJ201" s="476">
        <v>0</v>
      </c>
      <c r="AK201" s="476">
        <v>0</v>
      </c>
      <c r="AL201" s="476">
        <v>0</v>
      </c>
      <c r="AM201" s="476">
        <v>1.22</v>
      </c>
      <c r="AN201" s="476">
        <v>0</v>
      </c>
      <c r="AO201" s="476">
        <v>0</v>
      </c>
      <c r="AP201" s="476">
        <v>0</v>
      </c>
      <c r="AQ201" s="476">
        <v>0</v>
      </c>
      <c r="AR201" s="476">
        <f t="shared" si="360"/>
        <v>1.22</v>
      </c>
      <c r="AS201" s="476">
        <f t="shared" si="361"/>
        <v>0</v>
      </c>
      <c r="AT201" s="478">
        <f t="shared" si="362"/>
        <v>1.22</v>
      </c>
      <c r="AU201" s="484">
        <f>I201+AI201</f>
        <v>27216557</v>
      </c>
      <c r="AV201" s="475">
        <f>J201+X201</f>
        <v>19296882</v>
      </c>
      <c r="AW201" s="475">
        <f>K201+AB201</f>
        <v>275000</v>
      </c>
      <c r="AX201" s="475">
        <f t="shared" ref="AX201:AY205" si="481">L201+AD201</f>
        <v>6615297</v>
      </c>
      <c r="AY201" s="475">
        <f t="shared" si="481"/>
        <v>385938</v>
      </c>
      <c r="AZ201" s="475">
        <f>N201+AH201</f>
        <v>643440</v>
      </c>
      <c r="BA201" s="476">
        <f>O201+AT201</f>
        <v>32.808300000000003</v>
      </c>
      <c r="BB201" s="476">
        <f t="shared" ref="BB201:BC205" si="482">P201+AR201</f>
        <v>25.976500000000001</v>
      </c>
      <c r="BC201" s="478">
        <f t="shared" si="482"/>
        <v>6.8318000000000003</v>
      </c>
    </row>
    <row r="202" spans="1:55" ht="14.1" customHeight="1" x14ac:dyDescent="0.2">
      <c r="A202" s="68">
        <v>43</v>
      </c>
      <c r="B202" s="65">
        <v>2328</v>
      </c>
      <c r="C202" s="66">
        <v>691006041</v>
      </c>
      <c r="D202" s="65">
        <v>71294988</v>
      </c>
      <c r="E202" s="67" t="s">
        <v>652</v>
      </c>
      <c r="F202" s="68">
        <v>3113</v>
      </c>
      <c r="G202" s="80" t="s">
        <v>312</v>
      </c>
      <c r="H202" s="69" t="s">
        <v>278</v>
      </c>
      <c r="I202" s="477">
        <v>2069568</v>
      </c>
      <c r="J202" s="472">
        <v>1521405</v>
      </c>
      <c r="K202" s="472">
        <v>0</v>
      </c>
      <c r="L202" s="472">
        <v>514235</v>
      </c>
      <c r="M202" s="472">
        <v>30428</v>
      </c>
      <c r="N202" s="472">
        <v>3500</v>
      </c>
      <c r="O202" s="473">
        <v>4.62</v>
      </c>
      <c r="P202" s="474">
        <v>4.62</v>
      </c>
      <c r="Q202" s="483">
        <v>0</v>
      </c>
      <c r="R202" s="485">
        <f t="shared" si="473"/>
        <v>0</v>
      </c>
      <c r="S202" s="475">
        <v>70742</v>
      </c>
      <c r="T202" s="475">
        <v>0</v>
      </c>
      <c r="U202" s="475">
        <v>0</v>
      </c>
      <c r="V202" s="475">
        <v>0</v>
      </c>
      <c r="W202" s="475">
        <v>0</v>
      </c>
      <c r="X202" s="475">
        <f t="shared" si="474"/>
        <v>70742</v>
      </c>
      <c r="Y202" s="475">
        <v>0</v>
      </c>
      <c r="Z202" s="475">
        <v>0</v>
      </c>
      <c r="AA202" s="475">
        <v>0</v>
      </c>
      <c r="AB202" s="475">
        <f t="shared" si="475"/>
        <v>0</v>
      </c>
      <c r="AC202" s="475">
        <f t="shared" si="476"/>
        <v>70742</v>
      </c>
      <c r="AD202" s="70">
        <f t="shared" si="477"/>
        <v>23911</v>
      </c>
      <c r="AE202" s="70">
        <f t="shared" si="478"/>
        <v>1415</v>
      </c>
      <c r="AF202" s="475">
        <v>0</v>
      </c>
      <c r="AG202" s="475">
        <v>0</v>
      </c>
      <c r="AH202" s="475">
        <f t="shared" si="479"/>
        <v>0</v>
      </c>
      <c r="AI202" s="475">
        <f t="shared" si="480"/>
        <v>96068</v>
      </c>
      <c r="AJ202" s="476">
        <v>0</v>
      </c>
      <c r="AK202" s="476">
        <v>0</v>
      </c>
      <c r="AL202" s="476">
        <v>0.2</v>
      </c>
      <c r="AM202" s="476">
        <v>0</v>
      </c>
      <c r="AN202" s="476">
        <v>0</v>
      </c>
      <c r="AO202" s="476">
        <v>0</v>
      </c>
      <c r="AP202" s="476">
        <v>0</v>
      </c>
      <c r="AQ202" s="476">
        <v>0</v>
      </c>
      <c r="AR202" s="476">
        <f t="shared" si="360"/>
        <v>0.2</v>
      </c>
      <c r="AS202" s="476">
        <f t="shared" si="361"/>
        <v>0</v>
      </c>
      <c r="AT202" s="478">
        <f t="shared" si="362"/>
        <v>0.2</v>
      </c>
      <c r="AU202" s="484">
        <f>I202+AI202</f>
        <v>2165636</v>
      </c>
      <c r="AV202" s="475">
        <f>J202+X202</f>
        <v>1592147</v>
      </c>
      <c r="AW202" s="475">
        <f>K202+AB202</f>
        <v>0</v>
      </c>
      <c r="AX202" s="475">
        <f t="shared" si="481"/>
        <v>538146</v>
      </c>
      <c r="AY202" s="475">
        <f t="shared" si="481"/>
        <v>31843</v>
      </c>
      <c r="AZ202" s="475">
        <f>N202+AH202</f>
        <v>3500</v>
      </c>
      <c r="BA202" s="476">
        <f>O202+AT202</f>
        <v>4.82</v>
      </c>
      <c r="BB202" s="476">
        <f t="shared" si="482"/>
        <v>4.82</v>
      </c>
      <c r="BC202" s="478">
        <f t="shared" si="482"/>
        <v>0</v>
      </c>
    </row>
    <row r="203" spans="1:55" ht="13.5" customHeight="1" x14ac:dyDescent="0.2">
      <c r="A203" s="68">
        <v>43</v>
      </c>
      <c r="B203" s="65">
        <v>2328</v>
      </c>
      <c r="C203" s="66">
        <v>691006041</v>
      </c>
      <c r="D203" s="65">
        <v>71294988</v>
      </c>
      <c r="E203" s="67" t="s">
        <v>652</v>
      </c>
      <c r="F203" s="68">
        <v>3141</v>
      </c>
      <c r="G203" s="67" t="s">
        <v>315</v>
      </c>
      <c r="H203" s="69" t="s">
        <v>278</v>
      </c>
      <c r="I203" s="477">
        <v>2664305</v>
      </c>
      <c r="J203" s="472">
        <v>1944593</v>
      </c>
      <c r="K203" s="472">
        <v>0</v>
      </c>
      <c r="L203" s="472">
        <v>657272</v>
      </c>
      <c r="M203" s="472">
        <v>38892</v>
      </c>
      <c r="N203" s="472">
        <v>23548</v>
      </c>
      <c r="O203" s="473">
        <v>6.12</v>
      </c>
      <c r="P203" s="474">
        <v>0</v>
      </c>
      <c r="Q203" s="483">
        <v>6.12</v>
      </c>
      <c r="R203" s="485">
        <f t="shared" si="473"/>
        <v>0</v>
      </c>
      <c r="S203" s="475">
        <v>0</v>
      </c>
      <c r="T203" s="755">
        <v>1278</v>
      </c>
      <c r="U203" s="475">
        <v>0</v>
      </c>
      <c r="V203" s="475">
        <v>0</v>
      </c>
      <c r="W203" s="475">
        <v>0</v>
      </c>
      <c r="X203" s="475">
        <f t="shared" si="474"/>
        <v>1278</v>
      </c>
      <c r="Y203" s="475">
        <v>0</v>
      </c>
      <c r="Z203" s="475">
        <v>0</v>
      </c>
      <c r="AA203" s="475">
        <v>0</v>
      </c>
      <c r="AB203" s="475">
        <f t="shared" si="475"/>
        <v>0</v>
      </c>
      <c r="AC203" s="475">
        <f t="shared" si="476"/>
        <v>1278</v>
      </c>
      <c r="AD203" s="70">
        <f t="shared" si="477"/>
        <v>432</v>
      </c>
      <c r="AE203" s="70">
        <f t="shared" si="478"/>
        <v>26</v>
      </c>
      <c r="AF203" s="475">
        <v>0</v>
      </c>
      <c r="AG203" s="475">
        <v>0</v>
      </c>
      <c r="AH203" s="475">
        <f t="shared" si="479"/>
        <v>0</v>
      </c>
      <c r="AI203" s="475">
        <f t="shared" si="480"/>
        <v>1736</v>
      </c>
      <c r="AJ203" s="476">
        <v>0</v>
      </c>
      <c r="AK203" s="476">
        <v>0</v>
      </c>
      <c r="AL203" s="476">
        <v>0</v>
      </c>
      <c r="AM203" s="476">
        <v>0</v>
      </c>
      <c r="AN203" s="756">
        <v>9.9999999999997868E-3</v>
      </c>
      <c r="AO203" s="476">
        <v>0</v>
      </c>
      <c r="AP203" s="476">
        <v>0</v>
      </c>
      <c r="AQ203" s="476">
        <v>0</v>
      </c>
      <c r="AR203" s="476">
        <f t="shared" si="360"/>
        <v>0</v>
      </c>
      <c r="AS203" s="476">
        <f t="shared" si="361"/>
        <v>9.9999999999997868E-3</v>
      </c>
      <c r="AT203" s="478">
        <f t="shared" si="362"/>
        <v>9.9999999999997868E-3</v>
      </c>
      <c r="AU203" s="484">
        <f>I203+AI203</f>
        <v>2666041</v>
      </c>
      <c r="AV203" s="475">
        <f>J203+X203</f>
        <v>1945871</v>
      </c>
      <c r="AW203" s="475">
        <f>K203+AB203</f>
        <v>0</v>
      </c>
      <c r="AX203" s="475">
        <f t="shared" si="481"/>
        <v>657704</v>
      </c>
      <c r="AY203" s="475">
        <f t="shared" si="481"/>
        <v>38918</v>
      </c>
      <c r="AZ203" s="475">
        <f>N203+AH203</f>
        <v>23548</v>
      </c>
      <c r="BA203" s="476">
        <f>O203+AT203</f>
        <v>6.13</v>
      </c>
      <c r="BB203" s="476">
        <f t="shared" si="482"/>
        <v>0</v>
      </c>
      <c r="BC203" s="478">
        <f t="shared" si="482"/>
        <v>6.13</v>
      </c>
    </row>
    <row r="204" spans="1:55" ht="14.1" customHeight="1" x14ac:dyDescent="0.2">
      <c r="A204" s="68">
        <v>43</v>
      </c>
      <c r="B204" s="65">
        <v>2328</v>
      </c>
      <c r="C204" s="66">
        <v>691006041</v>
      </c>
      <c r="D204" s="65">
        <v>71294988</v>
      </c>
      <c r="E204" s="67" t="s">
        <v>652</v>
      </c>
      <c r="F204" s="68">
        <v>3143</v>
      </c>
      <c r="G204" s="80" t="s">
        <v>626</v>
      </c>
      <c r="H204" s="69" t="s">
        <v>277</v>
      </c>
      <c r="I204" s="477">
        <v>3575326</v>
      </c>
      <c r="J204" s="472">
        <v>2632788</v>
      </c>
      <c r="K204" s="472">
        <v>0</v>
      </c>
      <c r="L204" s="472">
        <v>889882</v>
      </c>
      <c r="M204" s="472">
        <v>52656</v>
      </c>
      <c r="N204" s="472">
        <v>0</v>
      </c>
      <c r="O204" s="473">
        <v>5.7</v>
      </c>
      <c r="P204" s="473">
        <v>5.7</v>
      </c>
      <c r="Q204" s="483">
        <v>0</v>
      </c>
      <c r="R204" s="485">
        <f t="shared" si="473"/>
        <v>0</v>
      </c>
      <c r="S204" s="475">
        <v>0</v>
      </c>
      <c r="T204" s="475">
        <v>0</v>
      </c>
      <c r="U204" s="475">
        <v>0</v>
      </c>
      <c r="V204" s="475">
        <v>0</v>
      </c>
      <c r="W204" s="475">
        <v>0</v>
      </c>
      <c r="X204" s="475">
        <f t="shared" si="474"/>
        <v>0</v>
      </c>
      <c r="Y204" s="475">
        <v>0</v>
      </c>
      <c r="Z204" s="475">
        <v>0</v>
      </c>
      <c r="AA204" s="475">
        <v>0</v>
      </c>
      <c r="AB204" s="475">
        <f t="shared" si="475"/>
        <v>0</v>
      </c>
      <c r="AC204" s="475">
        <f t="shared" si="476"/>
        <v>0</v>
      </c>
      <c r="AD204" s="70">
        <f t="shared" si="477"/>
        <v>0</v>
      </c>
      <c r="AE204" s="70">
        <f t="shared" si="478"/>
        <v>0</v>
      </c>
      <c r="AF204" s="475">
        <v>0</v>
      </c>
      <c r="AG204" s="475">
        <v>0</v>
      </c>
      <c r="AH204" s="475">
        <f t="shared" si="479"/>
        <v>0</v>
      </c>
      <c r="AI204" s="475">
        <f t="shared" si="480"/>
        <v>0</v>
      </c>
      <c r="AJ204" s="476">
        <v>0</v>
      </c>
      <c r="AK204" s="476">
        <v>0</v>
      </c>
      <c r="AL204" s="476">
        <v>0</v>
      </c>
      <c r="AM204" s="476">
        <v>0</v>
      </c>
      <c r="AN204" s="476">
        <v>0</v>
      </c>
      <c r="AO204" s="476">
        <v>0</v>
      </c>
      <c r="AP204" s="476">
        <v>0</v>
      </c>
      <c r="AQ204" s="476">
        <v>0</v>
      </c>
      <c r="AR204" s="476">
        <f t="shared" si="360"/>
        <v>0</v>
      </c>
      <c r="AS204" s="476">
        <f t="shared" si="361"/>
        <v>0</v>
      </c>
      <c r="AT204" s="478">
        <f t="shared" si="362"/>
        <v>0</v>
      </c>
      <c r="AU204" s="484">
        <f>I204+AI204</f>
        <v>3575326</v>
      </c>
      <c r="AV204" s="475">
        <f>J204+X204</f>
        <v>2632788</v>
      </c>
      <c r="AW204" s="475">
        <f>K204+AB204</f>
        <v>0</v>
      </c>
      <c r="AX204" s="475">
        <f t="shared" si="481"/>
        <v>889882</v>
      </c>
      <c r="AY204" s="475">
        <f t="shared" si="481"/>
        <v>52656</v>
      </c>
      <c r="AZ204" s="475">
        <f>N204+AH204</f>
        <v>0</v>
      </c>
      <c r="BA204" s="476">
        <f>O204+AT204</f>
        <v>5.7</v>
      </c>
      <c r="BB204" s="476">
        <f t="shared" si="482"/>
        <v>5.7</v>
      </c>
      <c r="BC204" s="478">
        <f t="shared" si="482"/>
        <v>0</v>
      </c>
    </row>
    <row r="205" spans="1:55" ht="14.1" customHeight="1" x14ac:dyDescent="0.2">
      <c r="A205" s="68">
        <v>43</v>
      </c>
      <c r="B205" s="65">
        <v>2328</v>
      </c>
      <c r="C205" s="66">
        <v>691006041</v>
      </c>
      <c r="D205" s="65">
        <v>71294988</v>
      </c>
      <c r="E205" s="67" t="s">
        <v>652</v>
      </c>
      <c r="F205" s="68">
        <v>3143</v>
      </c>
      <c r="G205" s="80" t="s">
        <v>627</v>
      </c>
      <c r="H205" s="69" t="s">
        <v>278</v>
      </c>
      <c r="I205" s="477">
        <v>96012</v>
      </c>
      <c r="J205" s="472">
        <v>67895</v>
      </c>
      <c r="K205" s="472">
        <v>0</v>
      </c>
      <c r="L205" s="472">
        <v>22949</v>
      </c>
      <c r="M205" s="472">
        <v>1358</v>
      </c>
      <c r="N205" s="472">
        <v>3810</v>
      </c>
      <c r="O205" s="473">
        <v>0.26</v>
      </c>
      <c r="P205" s="474">
        <v>0</v>
      </c>
      <c r="Q205" s="483">
        <v>0.26</v>
      </c>
      <c r="R205" s="485">
        <f t="shared" si="473"/>
        <v>0</v>
      </c>
      <c r="S205" s="475">
        <v>0</v>
      </c>
      <c r="T205" s="475">
        <v>0</v>
      </c>
      <c r="U205" s="475">
        <v>0</v>
      </c>
      <c r="V205" s="475">
        <v>0</v>
      </c>
      <c r="W205" s="475">
        <v>0</v>
      </c>
      <c r="X205" s="475">
        <f t="shared" si="474"/>
        <v>0</v>
      </c>
      <c r="Y205" s="475">
        <v>0</v>
      </c>
      <c r="Z205" s="475">
        <v>0</v>
      </c>
      <c r="AA205" s="475">
        <v>0</v>
      </c>
      <c r="AB205" s="475">
        <f t="shared" si="475"/>
        <v>0</v>
      </c>
      <c r="AC205" s="475">
        <f t="shared" si="476"/>
        <v>0</v>
      </c>
      <c r="AD205" s="70">
        <f t="shared" si="477"/>
        <v>0</v>
      </c>
      <c r="AE205" s="70">
        <f t="shared" si="478"/>
        <v>0</v>
      </c>
      <c r="AF205" s="475">
        <v>0</v>
      </c>
      <c r="AG205" s="475">
        <v>0</v>
      </c>
      <c r="AH205" s="475">
        <f t="shared" si="479"/>
        <v>0</v>
      </c>
      <c r="AI205" s="475">
        <f t="shared" si="480"/>
        <v>0</v>
      </c>
      <c r="AJ205" s="476">
        <v>0</v>
      </c>
      <c r="AK205" s="476">
        <v>0</v>
      </c>
      <c r="AL205" s="476">
        <v>0</v>
      </c>
      <c r="AM205" s="476">
        <v>0</v>
      </c>
      <c r="AN205" s="476">
        <v>0</v>
      </c>
      <c r="AO205" s="476">
        <v>0</v>
      </c>
      <c r="AP205" s="476">
        <v>0</v>
      </c>
      <c r="AQ205" s="476">
        <v>0</v>
      </c>
      <c r="AR205" s="476">
        <f t="shared" ref="AR205:AR268" si="483">AJ205+AL205+AM205+AO205+AP205</f>
        <v>0</v>
      </c>
      <c r="AS205" s="476">
        <f t="shared" ref="AS205:AS268" si="484">AK205+AN205+AQ205</f>
        <v>0</v>
      </c>
      <c r="AT205" s="478">
        <f t="shared" ref="AT205:AT268" si="485">SUM(AR205:AS205)</f>
        <v>0</v>
      </c>
      <c r="AU205" s="484">
        <f>I205+AI205</f>
        <v>96012</v>
      </c>
      <c r="AV205" s="475">
        <f>J205+X205</f>
        <v>67895</v>
      </c>
      <c r="AW205" s="475">
        <f>K205+AB205</f>
        <v>0</v>
      </c>
      <c r="AX205" s="475">
        <f t="shared" si="481"/>
        <v>22949</v>
      </c>
      <c r="AY205" s="475">
        <f t="shared" si="481"/>
        <v>1358</v>
      </c>
      <c r="AZ205" s="475">
        <f>N205+AH205</f>
        <v>3810</v>
      </c>
      <c r="BA205" s="476">
        <f>O205+AT205</f>
        <v>0.26</v>
      </c>
      <c r="BB205" s="476">
        <f t="shared" si="482"/>
        <v>0</v>
      </c>
      <c r="BC205" s="478">
        <f t="shared" si="482"/>
        <v>0.26</v>
      </c>
    </row>
    <row r="206" spans="1:55" ht="14.1" customHeight="1" x14ac:dyDescent="0.2">
      <c r="A206" s="74">
        <v>43</v>
      </c>
      <c r="B206" s="71">
        <v>2328</v>
      </c>
      <c r="C206" s="72">
        <v>691006041</v>
      </c>
      <c r="D206" s="71">
        <v>71294988</v>
      </c>
      <c r="E206" s="73" t="s">
        <v>653</v>
      </c>
      <c r="F206" s="74"/>
      <c r="G206" s="73"/>
      <c r="H206" s="75"/>
      <c r="I206" s="76">
        <v>34546710</v>
      </c>
      <c r="J206" s="77">
        <v>24671915</v>
      </c>
      <c r="K206" s="77">
        <v>275000</v>
      </c>
      <c r="L206" s="77">
        <v>8432058</v>
      </c>
      <c r="M206" s="77">
        <v>493439</v>
      </c>
      <c r="N206" s="77">
        <v>674298</v>
      </c>
      <c r="O206" s="78">
        <v>48.2883</v>
      </c>
      <c r="P206" s="78">
        <v>35.076500000000003</v>
      </c>
      <c r="Q206" s="718">
        <v>13.2118</v>
      </c>
      <c r="R206" s="76">
        <f t="shared" ref="R206:BC206" si="486">SUM(R201:R205)</f>
        <v>0</v>
      </c>
      <c r="S206" s="77">
        <f t="shared" si="486"/>
        <v>70742</v>
      </c>
      <c r="T206" s="77">
        <f t="shared" si="486"/>
        <v>792926</v>
      </c>
      <c r="U206" s="77">
        <f t="shared" si="486"/>
        <v>0</v>
      </c>
      <c r="V206" s="77">
        <f t="shared" si="486"/>
        <v>0</v>
      </c>
      <c r="W206" s="77">
        <f t="shared" si="486"/>
        <v>0</v>
      </c>
      <c r="X206" s="77">
        <f t="shared" si="486"/>
        <v>863668</v>
      </c>
      <c r="Y206" s="77">
        <f t="shared" si="486"/>
        <v>0</v>
      </c>
      <c r="Z206" s="77">
        <f t="shared" si="486"/>
        <v>0</v>
      </c>
      <c r="AA206" s="77">
        <f t="shared" si="486"/>
        <v>0</v>
      </c>
      <c r="AB206" s="77">
        <f t="shared" si="486"/>
        <v>0</v>
      </c>
      <c r="AC206" s="77">
        <f t="shared" si="486"/>
        <v>863668</v>
      </c>
      <c r="AD206" s="77">
        <f t="shared" si="486"/>
        <v>291920</v>
      </c>
      <c r="AE206" s="77">
        <f t="shared" si="486"/>
        <v>17274</v>
      </c>
      <c r="AF206" s="77">
        <f t="shared" si="486"/>
        <v>0</v>
      </c>
      <c r="AG206" s="77">
        <f t="shared" si="486"/>
        <v>0</v>
      </c>
      <c r="AH206" s="77">
        <f t="shared" si="486"/>
        <v>0</v>
      </c>
      <c r="AI206" s="77">
        <f t="shared" si="486"/>
        <v>1172862</v>
      </c>
      <c r="AJ206" s="78">
        <f t="shared" si="486"/>
        <v>0</v>
      </c>
      <c r="AK206" s="78">
        <f t="shared" si="486"/>
        <v>0</v>
      </c>
      <c r="AL206" s="78">
        <f t="shared" si="486"/>
        <v>0.2</v>
      </c>
      <c r="AM206" s="78">
        <f t="shared" si="486"/>
        <v>1.22</v>
      </c>
      <c r="AN206" s="78">
        <f t="shared" si="486"/>
        <v>9.9999999999997868E-3</v>
      </c>
      <c r="AO206" s="78">
        <f t="shared" si="486"/>
        <v>0</v>
      </c>
      <c r="AP206" s="78">
        <f t="shared" si="486"/>
        <v>0</v>
      </c>
      <c r="AQ206" s="78">
        <f t="shared" si="486"/>
        <v>0</v>
      </c>
      <c r="AR206" s="78">
        <f t="shared" si="486"/>
        <v>1.42</v>
      </c>
      <c r="AS206" s="78">
        <f t="shared" si="486"/>
        <v>9.9999999999997868E-3</v>
      </c>
      <c r="AT206" s="79">
        <f t="shared" si="486"/>
        <v>1.4299999999999997</v>
      </c>
      <c r="AU206" s="433">
        <f t="shared" si="486"/>
        <v>35719572</v>
      </c>
      <c r="AV206" s="77">
        <f t="shared" si="486"/>
        <v>25535583</v>
      </c>
      <c r="AW206" s="77">
        <f t="shared" si="486"/>
        <v>275000</v>
      </c>
      <c r="AX206" s="77">
        <f t="shared" si="486"/>
        <v>8723978</v>
      </c>
      <c r="AY206" s="77">
        <f t="shared" si="486"/>
        <v>510713</v>
      </c>
      <c r="AZ206" s="77">
        <f t="shared" si="486"/>
        <v>674298</v>
      </c>
      <c r="BA206" s="78">
        <f t="shared" si="486"/>
        <v>49.718300000000006</v>
      </c>
      <c r="BB206" s="78">
        <f t="shared" si="486"/>
        <v>36.496500000000005</v>
      </c>
      <c r="BC206" s="79">
        <f t="shared" si="486"/>
        <v>13.2218</v>
      </c>
    </row>
    <row r="207" spans="1:55" ht="14.1" customHeight="1" x14ac:dyDescent="0.2">
      <c r="A207" s="68">
        <v>44</v>
      </c>
      <c r="B207" s="65">
        <v>2486</v>
      </c>
      <c r="C207" s="66">
        <v>600079970</v>
      </c>
      <c r="D207" s="65">
        <v>46744908</v>
      </c>
      <c r="E207" s="67" t="s">
        <v>654</v>
      </c>
      <c r="F207" s="68">
        <v>3113</v>
      </c>
      <c r="G207" s="67" t="s">
        <v>314</v>
      </c>
      <c r="H207" s="69" t="s">
        <v>277</v>
      </c>
      <c r="I207" s="477">
        <v>20055453</v>
      </c>
      <c r="J207" s="472">
        <v>14241953</v>
      </c>
      <c r="K207" s="472">
        <v>235000</v>
      </c>
      <c r="L207" s="472">
        <v>4893210</v>
      </c>
      <c r="M207" s="472">
        <v>284840</v>
      </c>
      <c r="N207" s="472">
        <v>400450</v>
      </c>
      <c r="O207" s="473">
        <v>24.759699999999999</v>
      </c>
      <c r="P207" s="473">
        <v>18.941999999999997</v>
      </c>
      <c r="Q207" s="483">
        <v>5.8177000000000003</v>
      </c>
      <c r="R207" s="485">
        <f t="shared" ref="R207:R212" si="487">Y207*-1</f>
        <v>0</v>
      </c>
      <c r="S207" s="475">
        <v>0</v>
      </c>
      <c r="T207" s="475">
        <v>0</v>
      </c>
      <c r="U207" s="475">
        <v>0</v>
      </c>
      <c r="V207" s="475">
        <v>0</v>
      </c>
      <c r="W207" s="475">
        <v>0</v>
      </c>
      <c r="X207" s="475">
        <f t="shared" ref="X207:X212" si="488">SUM(R207:W207)</f>
        <v>0</v>
      </c>
      <c r="Y207" s="475">
        <v>0</v>
      </c>
      <c r="Z207" s="475">
        <v>0</v>
      </c>
      <c r="AA207" s="475">
        <v>0</v>
      </c>
      <c r="AB207" s="475">
        <f t="shared" ref="AB207:AB212" si="489">SUM(Y207:AA207)</f>
        <v>0</v>
      </c>
      <c r="AC207" s="475">
        <f t="shared" ref="AC207:AC212" si="490">X207+AB207</f>
        <v>0</v>
      </c>
      <c r="AD207" s="70">
        <f t="shared" ref="AD207:AD212" si="491">ROUND((X207+Y207+Z207)*33.8%,0)</f>
        <v>0</v>
      </c>
      <c r="AE207" s="70">
        <f t="shared" ref="AE207:AE212" si="492">ROUND(X207*2%,0)</f>
        <v>0</v>
      </c>
      <c r="AF207" s="475">
        <v>0</v>
      </c>
      <c r="AG207" s="475">
        <v>0</v>
      </c>
      <c r="AH207" s="475">
        <f t="shared" ref="AH207:AH212" si="493">SUM(AF207:AG207)</f>
        <v>0</v>
      </c>
      <c r="AI207" s="475">
        <f t="shared" ref="AI207:AI212" si="494">AC207+AD207+AE207+AH207</f>
        <v>0</v>
      </c>
      <c r="AJ207" s="476">
        <v>0</v>
      </c>
      <c r="AK207" s="476">
        <v>0</v>
      </c>
      <c r="AL207" s="476">
        <v>0</v>
      </c>
      <c r="AM207" s="476">
        <v>0</v>
      </c>
      <c r="AN207" s="476">
        <v>0</v>
      </c>
      <c r="AO207" s="476">
        <v>0</v>
      </c>
      <c r="AP207" s="476">
        <v>0</v>
      </c>
      <c r="AQ207" s="476">
        <v>0</v>
      </c>
      <c r="AR207" s="476">
        <f t="shared" si="483"/>
        <v>0</v>
      </c>
      <c r="AS207" s="476">
        <f t="shared" si="484"/>
        <v>0</v>
      </c>
      <c r="AT207" s="478">
        <f t="shared" si="485"/>
        <v>0</v>
      </c>
      <c r="AU207" s="484">
        <f t="shared" ref="AU207:AU212" si="495">I207+AI207</f>
        <v>20055453</v>
      </c>
      <c r="AV207" s="475">
        <f t="shared" ref="AV207:AV212" si="496">J207+X207</f>
        <v>14241953</v>
      </c>
      <c r="AW207" s="475">
        <f t="shared" ref="AW207:AW212" si="497">K207+AB207</f>
        <v>235000</v>
      </c>
      <c r="AX207" s="475">
        <f t="shared" ref="AX207:AY212" si="498">L207+AD207</f>
        <v>4893210</v>
      </c>
      <c r="AY207" s="475">
        <f t="shared" si="498"/>
        <v>284840</v>
      </c>
      <c r="AZ207" s="475">
        <f t="shared" ref="AZ207:AZ212" si="499">N207+AH207</f>
        <v>400450</v>
      </c>
      <c r="BA207" s="476">
        <f t="shared" ref="BA207:BA212" si="500">O207+AT207</f>
        <v>24.759699999999999</v>
      </c>
      <c r="BB207" s="476">
        <f t="shared" ref="BB207:BC212" si="501">P207+AR207</f>
        <v>18.941999999999997</v>
      </c>
      <c r="BC207" s="478">
        <f t="shared" si="501"/>
        <v>5.8177000000000003</v>
      </c>
    </row>
    <row r="208" spans="1:55" ht="14.1" customHeight="1" x14ac:dyDescent="0.2">
      <c r="A208" s="68">
        <v>44</v>
      </c>
      <c r="B208" s="65">
        <v>2486</v>
      </c>
      <c r="C208" s="66">
        <v>600079970</v>
      </c>
      <c r="D208" s="65">
        <v>46744908</v>
      </c>
      <c r="E208" s="67" t="s">
        <v>654</v>
      </c>
      <c r="F208" s="68">
        <v>3113</v>
      </c>
      <c r="G208" s="80" t="s">
        <v>312</v>
      </c>
      <c r="H208" s="69" t="s">
        <v>278</v>
      </c>
      <c r="I208" s="477">
        <v>1749540</v>
      </c>
      <c r="J208" s="472">
        <v>1288321</v>
      </c>
      <c r="K208" s="472">
        <v>0</v>
      </c>
      <c r="L208" s="472">
        <v>435453</v>
      </c>
      <c r="M208" s="472">
        <v>25766</v>
      </c>
      <c r="N208" s="472">
        <v>0</v>
      </c>
      <c r="O208" s="473">
        <v>3.6899999999999995</v>
      </c>
      <c r="P208" s="474">
        <v>3.6899999999999995</v>
      </c>
      <c r="Q208" s="483">
        <v>0</v>
      </c>
      <c r="R208" s="485">
        <f t="shared" si="487"/>
        <v>0</v>
      </c>
      <c r="S208" s="475">
        <v>0</v>
      </c>
      <c r="T208" s="475">
        <v>0</v>
      </c>
      <c r="U208" s="475">
        <v>0</v>
      </c>
      <c r="V208" s="475">
        <v>0</v>
      </c>
      <c r="W208" s="475">
        <v>0</v>
      </c>
      <c r="X208" s="475">
        <f t="shared" si="488"/>
        <v>0</v>
      </c>
      <c r="Y208" s="475">
        <v>0</v>
      </c>
      <c r="Z208" s="475">
        <v>0</v>
      </c>
      <c r="AA208" s="475">
        <v>0</v>
      </c>
      <c r="AB208" s="475">
        <f t="shared" si="489"/>
        <v>0</v>
      </c>
      <c r="AC208" s="475">
        <f t="shared" si="490"/>
        <v>0</v>
      </c>
      <c r="AD208" s="70">
        <f t="shared" si="491"/>
        <v>0</v>
      </c>
      <c r="AE208" s="70">
        <f t="shared" si="492"/>
        <v>0</v>
      </c>
      <c r="AF208" s="475">
        <v>0</v>
      </c>
      <c r="AG208" s="475">
        <v>0</v>
      </c>
      <c r="AH208" s="475">
        <f t="shared" si="493"/>
        <v>0</v>
      </c>
      <c r="AI208" s="475">
        <f t="shared" si="494"/>
        <v>0</v>
      </c>
      <c r="AJ208" s="476">
        <v>0</v>
      </c>
      <c r="AK208" s="476">
        <v>0</v>
      </c>
      <c r="AL208" s="476">
        <v>0</v>
      </c>
      <c r="AM208" s="476">
        <v>0</v>
      </c>
      <c r="AN208" s="476">
        <v>0</v>
      </c>
      <c r="AO208" s="476">
        <v>0</v>
      </c>
      <c r="AP208" s="476">
        <v>0</v>
      </c>
      <c r="AQ208" s="476">
        <v>0</v>
      </c>
      <c r="AR208" s="476">
        <f t="shared" si="483"/>
        <v>0</v>
      </c>
      <c r="AS208" s="476">
        <f t="shared" si="484"/>
        <v>0</v>
      </c>
      <c r="AT208" s="478">
        <f t="shared" si="485"/>
        <v>0</v>
      </c>
      <c r="AU208" s="484">
        <f t="shared" si="495"/>
        <v>1749540</v>
      </c>
      <c r="AV208" s="475">
        <f t="shared" si="496"/>
        <v>1288321</v>
      </c>
      <c r="AW208" s="475">
        <f t="shared" si="497"/>
        <v>0</v>
      </c>
      <c r="AX208" s="475">
        <f t="shared" si="498"/>
        <v>435453</v>
      </c>
      <c r="AY208" s="475">
        <f t="shared" si="498"/>
        <v>25766</v>
      </c>
      <c r="AZ208" s="475">
        <f t="shared" si="499"/>
        <v>0</v>
      </c>
      <c r="BA208" s="476">
        <f t="shared" si="500"/>
        <v>3.6899999999999995</v>
      </c>
      <c r="BB208" s="476">
        <f t="shared" si="501"/>
        <v>3.6899999999999995</v>
      </c>
      <c r="BC208" s="478">
        <f t="shared" si="501"/>
        <v>0</v>
      </c>
    </row>
    <row r="209" spans="1:55" ht="14.1" customHeight="1" x14ac:dyDescent="0.2">
      <c r="A209" s="68">
        <v>44</v>
      </c>
      <c r="B209" s="65">
        <v>2486</v>
      </c>
      <c r="C209" s="66">
        <v>600079970</v>
      </c>
      <c r="D209" s="65">
        <v>46744908</v>
      </c>
      <c r="E209" s="67" t="s">
        <v>654</v>
      </c>
      <c r="F209" s="68">
        <v>3141</v>
      </c>
      <c r="G209" s="67" t="s">
        <v>315</v>
      </c>
      <c r="H209" s="69" t="s">
        <v>278</v>
      </c>
      <c r="I209" s="477">
        <v>772474</v>
      </c>
      <c r="J209" s="472">
        <v>541572</v>
      </c>
      <c r="K209" s="472">
        <v>20000</v>
      </c>
      <c r="L209" s="472">
        <v>189811</v>
      </c>
      <c r="M209" s="472">
        <v>10831</v>
      </c>
      <c r="N209" s="472">
        <v>10260</v>
      </c>
      <c r="O209" s="473">
        <v>1.77</v>
      </c>
      <c r="P209" s="474">
        <v>0</v>
      </c>
      <c r="Q209" s="483">
        <v>1.77</v>
      </c>
      <c r="R209" s="485">
        <f t="shared" si="487"/>
        <v>0</v>
      </c>
      <c r="S209" s="475">
        <v>0</v>
      </c>
      <c r="T209" s="755">
        <v>-8872</v>
      </c>
      <c r="U209" s="475">
        <v>0</v>
      </c>
      <c r="V209" s="475">
        <v>0</v>
      </c>
      <c r="W209" s="475">
        <v>0</v>
      </c>
      <c r="X209" s="475">
        <f t="shared" si="488"/>
        <v>-8872</v>
      </c>
      <c r="Y209" s="475">
        <v>0</v>
      </c>
      <c r="Z209" s="475">
        <v>0</v>
      </c>
      <c r="AA209" s="475">
        <v>0</v>
      </c>
      <c r="AB209" s="475">
        <f t="shared" si="489"/>
        <v>0</v>
      </c>
      <c r="AC209" s="475">
        <f t="shared" si="490"/>
        <v>-8872</v>
      </c>
      <c r="AD209" s="70">
        <f t="shared" si="491"/>
        <v>-2999</v>
      </c>
      <c r="AE209" s="70">
        <f t="shared" si="492"/>
        <v>-177</v>
      </c>
      <c r="AF209" s="475">
        <v>0</v>
      </c>
      <c r="AG209" s="475">
        <v>0</v>
      </c>
      <c r="AH209" s="475">
        <f t="shared" si="493"/>
        <v>0</v>
      </c>
      <c r="AI209" s="475">
        <f t="shared" si="494"/>
        <v>-12048</v>
      </c>
      <c r="AJ209" s="476">
        <v>0</v>
      </c>
      <c r="AK209" s="476">
        <v>0</v>
      </c>
      <c r="AL209" s="476">
        <v>0</v>
      </c>
      <c r="AM209" s="476">
        <v>0</v>
      </c>
      <c r="AN209" s="756">
        <v>-2.9999999999999916E-2</v>
      </c>
      <c r="AO209" s="476">
        <v>0</v>
      </c>
      <c r="AP209" s="476">
        <v>0</v>
      </c>
      <c r="AQ209" s="476">
        <v>0</v>
      </c>
      <c r="AR209" s="476">
        <f t="shared" si="483"/>
        <v>0</v>
      </c>
      <c r="AS209" s="476">
        <f t="shared" si="484"/>
        <v>-2.9999999999999916E-2</v>
      </c>
      <c r="AT209" s="478">
        <f t="shared" si="485"/>
        <v>-2.9999999999999916E-2</v>
      </c>
      <c r="AU209" s="484">
        <f t="shared" si="495"/>
        <v>760426</v>
      </c>
      <c r="AV209" s="475">
        <f t="shared" si="496"/>
        <v>532700</v>
      </c>
      <c r="AW209" s="475">
        <f t="shared" si="497"/>
        <v>20000</v>
      </c>
      <c r="AX209" s="475">
        <f t="shared" si="498"/>
        <v>186812</v>
      </c>
      <c r="AY209" s="475">
        <f t="shared" si="498"/>
        <v>10654</v>
      </c>
      <c r="AZ209" s="475">
        <f t="shared" si="499"/>
        <v>10260</v>
      </c>
      <c r="BA209" s="476">
        <f t="shared" si="500"/>
        <v>1.7400000000000002</v>
      </c>
      <c r="BB209" s="476">
        <f t="shared" si="501"/>
        <v>0</v>
      </c>
      <c r="BC209" s="478">
        <f t="shared" si="501"/>
        <v>1.7400000000000002</v>
      </c>
    </row>
    <row r="210" spans="1:55" ht="14.1" customHeight="1" x14ac:dyDescent="0.2">
      <c r="A210" s="68">
        <v>44</v>
      </c>
      <c r="B210" s="65">
        <v>2486</v>
      </c>
      <c r="C210" s="66">
        <v>600079970</v>
      </c>
      <c r="D210" s="65">
        <v>46744908</v>
      </c>
      <c r="E210" s="67" t="s">
        <v>654</v>
      </c>
      <c r="F210" s="68">
        <v>3143</v>
      </c>
      <c r="G210" s="80" t="s">
        <v>626</v>
      </c>
      <c r="H210" s="69" t="s">
        <v>277</v>
      </c>
      <c r="I210" s="477">
        <v>1730394</v>
      </c>
      <c r="J210" s="472">
        <v>1254517</v>
      </c>
      <c r="K210" s="472">
        <v>20000</v>
      </c>
      <c r="L210" s="472">
        <v>430787</v>
      </c>
      <c r="M210" s="472">
        <v>25090</v>
      </c>
      <c r="N210" s="472">
        <v>0</v>
      </c>
      <c r="O210" s="473">
        <v>2.5</v>
      </c>
      <c r="P210" s="473">
        <v>2.5</v>
      </c>
      <c r="Q210" s="483">
        <v>0</v>
      </c>
      <c r="R210" s="485">
        <f t="shared" si="487"/>
        <v>0</v>
      </c>
      <c r="S210" s="475">
        <v>0</v>
      </c>
      <c r="T210" s="475">
        <v>0</v>
      </c>
      <c r="U210" s="475">
        <v>0</v>
      </c>
      <c r="V210" s="475">
        <v>0</v>
      </c>
      <c r="W210" s="475">
        <v>0</v>
      </c>
      <c r="X210" s="475">
        <f t="shared" si="488"/>
        <v>0</v>
      </c>
      <c r="Y210" s="475">
        <v>0</v>
      </c>
      <c r="Z210" s="475">
        <v>0</v>
      </c>
      <c r="AA210" s="475">
        <v>0</v>
      </c>
      <c r="AB210" s="475">
        <f t="shared" si="489"/>
        <v>0</v>
      </c>
      <c r="AC210" s="475">
        <f t="shared" si="490"/>
        <v>0</v>
      </c>
      <c r="AD210" s="70">
        <f t="shared" si="491"/>
        <v>0</v>
      </c>
      <c r="AE210" s="70">
        <f t="shared" si="492"/>
        <v>0</v>
      </c>
      <c r="AF210" s="475">
        <v>0</v>
      </c>
      <c r="AG210" s="475">
        <v>0</v>
      </c>
      <c r="AH210" s="475">
        <f t="shared" si="493"/>
        <v>0</v>
      </c>
      <c r="AI210" s="475">
        <f t="shared" si="494"/>
        <v>0</v>
      </c>
      <c r="AJ210" s="476">
        <v>0</v>
      </c>
      <c r="AK210" s="476">
        <v>0</v>
      </c>
      <c r="AL210" s="476">
        <v>0</v>
      </c>
      <c r="AM210" s="476">
        <v>0</v>
      </c>
      <c r="AN210" s="476">
        <v>0</v>
      </c>
      <c r="AO210" s="476">
        <v>0</v>
      </c>
      <c r="AP210" s="476">
        <v>0</v>
      </c>
      <c r="AQ210" s="476">
        <v>0</v>
      </c>
      <c r="AR210" s="476">
        <f t="shared" si="483"/>
        <v>0</v>
      </c>
      <c r="AS210" s="476">
        <f t="shared" si="484"/>
        <v>0</v>
      </c>
      <c r="AT210" s="478">
        <f t="shared" si="485"/>
        <v>0</v>
      </c>
      <c r="AU210" s="484">
        <f t="shared" si="495"/>
        <v>1730394</v>
      </c>
      <c r="AV210" s="475">
        <f t="shared" si="496"/>
        <v>1254517</v>
      </c>
      <c r="AW210" s="475">
        <f t="shared" si="497"/>
        <v>20000</v>
      </c>
      <c r="AX210" s="475">
        <f t="shared" si="498"/>
        <v>430787</v>
      </c>
      <c r="AY210" s="475">
        <f t="shared" si="498"/>
        <v>25090</v>
      </c>
      <c r="AZ210" s="475">
        <f t="shared" si="499"/>
        <v>0</v>
      </c>
      <c r="BA210" s="476">
        <f t="shared" si="500"/>
        <v>2.5</v>
      </c>
      <c r="BB210" s="476">
        <f t="shared" si="501"/>
        <v>2.5</v>
      </c>
      <c r="BC210" s="478">
        <f t="shared" si="501"/>
        <v>0</v>
      </c>
    </row>
    <row r="211" spans="1:55" ht="14.1" customHeight="1" x14ac:dyDescent="0.2">
      <c r="A211" s="68">
        <v>44</v>
      </c>
      <c r="B211" s="65">
        <v>2486</v>
      </c>
      <c r="C211" s="66">
        <v>600079970</v>
      </c>
      <c r="D211" s="65">
        <v>46744908</v>
      </c>
      <c r="E211" s="67" t="s">
        <v>654</v>
      </c>
      <c r="F211" s="68">
        <v>3143</v>
      </c>
      <c r="G211" s="80" t="s">
        <v>627</v>
      </c>
      <c r="H211" s="69" t="s">
        <v>278</v>
      </c>
      <c r="I211" s="477">
        <v>54432</v>
      </c>
      <c r="J211" s="472">
        <v>38492</v>
      </c>
      <c r="K211" s="472">
        <v>0</v>
      </c>
      <c r="L211" s="472">
        <v>13010</v>
      </c>
      <c r="M211" s="472">
        <v>770</v>
      </c>
      <c r="N211" s="472">
        <v>2160</v>
      </c>
      <c r="O211" s="473">
        <v>0.15</v>
      </c>
      <c r="P211" s="474">
        <v>0</v>
      </c>
      <c r="Q211" s="483">
        <v>0.15</v>
      </c>
      <c r="R211" s="485">
        <f t="shared" si="487"/>
        <v>0</v>
      </c>
      <c r="S211" s="475">
        <v>0</v>
      </c>
      <c r="T211" s="475">
        <v>0</v>
      </c>
      <c r="U211" s="475">
        <v>0</v>
      </c>
      <c r="V211" s="475">
        <v>0</v>
      </c>
      <c r="W211" s="475">
        <v>0</v>
      </c>
      <c r="X211" s="475">
        <f t="shared" si="488"/>
        <v>0</v>
      </c>
      <c r="Y211" s="475">
        <v>0</v>
      </c>
      <c r="Z211" s="475">
        <v>0</v>
      </c>
      <c r="AA211" s="475">
        <v>0</v>
      </c>
      <c r="AB211" s="475">
        <f t="shared" si="489"/>
        <v>0</v>
      </c>
      <c r="AC211" s="475">
        <f t="shared" si="490"/>
        <v>0</v>
      </c>
      <c r="AD211" s="70">
        <f t="shared" si="491"/>
        <v>0</v>
      </c>
      <c r="AE211" s="70">
        <f t="shared" si="492"/>
        <v>0</v>
      </c>
      <c r="AF211" s="475">
        <v>0</v>
      </c>
      <c r="AG211" s="475">
        <v>0</v>
      </c>
      <c r="AH211" s="475">
        <f t="shared" si="493"/>
        <v>0</v>
      </c>
      <c r="AI211" s="475">
        <f t="shared" si="494"/>
        <v>0</v>
      </c>
      <c r="AJ211" s="476">
        <v>0</v>
      </c>
      <c r="AK211" s="476">
        <v>0</v>
      </c>
      <c r="AL211" s="476">
        <v>0</v>
      </c>
      <c r="AM211" s="476">
        <v>0</v>
      </c>
      <c r="AN211" s="476">
        <v>0</v>
      </c>
      <c r="AO211" s="476">
        <v>0</v>
      </c>
      <c r="AP211" s="476">
        <v>0</v>
      </c>
      <c r="AQ211" s="476">
        <v>0</v>
      </c>
      <c r="AR211" s="476">
        <f t="shared" si="483"/>
        <v>0</v>
      </c>
      <c r="AS211" s="476">
        <f t="shared" si="484"/>
        <v>0</v>
      </c>
      <c r="AT211" s="478">
        <f t="shared" si="485"/>
        <v>0</v>
      </c>
      <c r="AU211" s="484">
        <f t="shared" si="495"/>
        <v>54432</v>
      </c>
      <c r="AV211" s="475">
        <f t="shared" si="496"/>
        <v>38492</v>
      </c>
      <c r="AW211" s="475">
        <f t="shared" si="497"/>
        <v>0</v>
      </c>
      <c r="AX211" s="475">
        <f t="shared" si="498"/>
        <v>13010</v>
      </c>
      <c r="AY211" s="475">
        <f t="shared" si="498"/>
        <v>770</v>
      </c>
      <c r="AZ211" s="475">
        <f t="shared" si="499"/>
        <v>2160</v>
      </c>
      <c r="BA211" s="476">
        <f t="shared" si="500"/>
        <v>0.15</v>
      </c>
      <c r="BB211" s="476">
        <f t="shared" si="501"/>
        <v>0</v>
      </c>
      <c r="BC211" s="478">
        <f t="shared" si="501"/>
        <v>0.15</v>
      </c>
    </row>
    <row r="212" spans="1:55" ht="14.1" customHeight="1" x14ac:dyDescent="0.2">
      <c r="A212" s="68">
        <v>44</v>
      </c>
      <c r="B212" s="65">
        <v>2486</v>
      </c>
      <c r="C212" s="66">
        <v>600079970</v>
      </c>
      <c r="D212" s="65">
        <v>46744908</v>
      </c>
      <c r="E212" s="67" t="s">
        <v>654</v>
      </c>
      <c r="F212" s="68">
        <v>3233</v>
      </c>
      <c r="G212" s="67" t="s">
        <v>318</v>
      </c>
      <c r="H212" s="69" t="s">
        <v>278</v>
      </c>
      <c r="I212" s="477">
        <v>1308721</v>
      </c>
      <c r="J212" s="472">
        <v>860203</v>
      </c>
      <c r="K212" s="472">
        <v>100000</v>
      </c>
      <c r="L212" s="472">
        <v>324549</v>
      </c>
      <c r="M212" s="472">
        <v>17204</v>
      </c>
      <c r="N212" s="472">
        <v>6765</v>
      </c>
      <c r="O212" s="473">
        <v>1.8499999999999999</v>
      </c>
      <c r="P212" s="474">
        <v>1.2699999999999998</v>
      </c>
      <c r="Q212" s="483">
        <v>0.57999999999999996</v>
      </c>
      <c r="R212" s="485">
        <f t="shared" si="487"/>
        <v>0</v>
      </c>
      <c r="S212" s="475">
        <v>0</v>
      </c>
      <c r="T212" s="475">
        <v>0</v>
      </c>
      <c r="U212" s="475">
        <v>0</v>
      </c>
      <c r="V212" s="475">
        <v>0</v>
      </c>
      <c r="W212" s="475">
        <v>0</v>
      </c>
      <c r="X212" s="475">
        <f t="shared" si="488"/>
        <v>0</v>
      </c>
      <c r="Y212" s="475">
        <v>0</v>
      </c>
      <c r="Z212" s="475">
        <v>0</v>
      </c>
      <c r="AA212" s="475">
        <v>0</v>
      </c>
      <c r="AB212" s="475">
        <f t="shared" si="489"/>
        <v>0</v>
      </c>
      <c r="AC212" s="475">
        <f t="shared" si="490"/>
        <v>0</v>
      </c>
      <c r="AD212" s="70">
        <f t="shared" si="491"/>
        <v>0</v>
      </c>
      <c r="AE212" s="70">
        <f t="shared" si="492"/>
        <v>0</v>
      </c>
      <c r="AF212" s="475">
        <v>0</v>
      </c>
      <c r="AG212" s="475">
        <v>0</v>
      </c>
      <c r="AH212" s="475">
        <f t="shared" si="493"/>
        <v>0</v>
      </c>
      <c r="AI212" s="475">
        <f t="shared" si="494"/>
        <v>0</v>
      </c>
      <c r="AJ212" s="476">
        <v>0</v>
      </c>
      <c r="AK212" s="476">
        <v>0</v>
      </c>
      <c r="AL212" s="476">
        <v>0</v>
      </c>
      <c r="AM212" s="476">
        <v>0</v>
      </c>
      <c r="AN212" s="476">
        <v>0</v>
      </c>
      <c r="AO212" s="476">
        <v>0</v>
      </c>
      <c r="AP212" s="476">
        <v>0</v>
      </c>
      <c r="AQ212" s="476">
        <v>0</v>
      </c>
      <c r="AR212" s="476">
        <f t="shared" si="483"/>
        <v>0</v>
      </c>
      <c r="AS212" s="476">
        <f t="shared" si="484"/>
        <v>0</v>
      </c>
      <c r="AT212" s="478">
        <f t="shared" si="485"/>
        <v>0</v>
      </c>
      <c r="AU212" s="484">
        <f t="shared" si="495"/>
        <v>1308721</v>
      </c>
      <c r="AV212" s="475">
        <f t="shared" si="496"/>
        <v>860203</v>
      </c>
      <c r="AW212" s="475">
        <f t="shared" si="497"/>
        <v>100000</v>
      </c>
      <c r="AX212" s="475">
        <f t="shared" si="498"/>
        <v>324549</v>
      </c>
      <c r="AY212" s="475">
        <f t="shared" si="498"/>
        <v>17204</v>
      </c>
      <c r="AZ212" s="475">
        <f t="shared" si="499"/>
        <v>6765</v>
      </c>
      <c r="BA212" s="476">
        <f t="shared" si="500"/>
        <v>1.8499999999999999</v>
      </c>
      <c r="BB212" s="476">
        <f t="shared" si="501"/>
        <v>1.2699999999999998</v>
      </c>
      <c r="BC212" s="478">
        <f t="shared" si="501"/>
        <v>0.57999999999999996</v>
      </c>
    </row>
    <row r="213" spans="1:55" ht="14.1" customHeight="1" x14ac:dyDescent="0.2">
      <c r="A213" s="74">
        <v>44</v>
      </c>
      <c r="B213" s="71">
        <v>2486</v>
      </c>
      <c r="C213" s="72">
        <v>600079970</v>
      </c>
      <c r="D213" s="71">
        <v>46744908</v>
      </c>
      <c r="E213" s="73" t="s">
        <v>655</v>
      </c>
      <c r="F213" s="74"/>
      <c r="G213" s="73"/>
      <c r="H213" s="75"/>
      <c r="I213" s="76">
        <v>25671014</v>
      </c>
      <c r="J213" s="77">
        <v>18225058</v>
      </c>
      <c r="K213" s="77">
        <v>375000</v>
      </c>
      <c r="L213" s="77">
        <v>6286820</v>
      </c>
      <c r="M213" s="77">
        <v>364501</v>
      </c>
      <c r="N213" s="77">
        <v>419635</v>
      </c>
      <c r="O213" s="78">
        <v>34.719700000000003</v>
      </c>
      <c r="P213" s="78">
        <v>26.401999999999997</v>
      </c>
      <c r="Q213" s="718">
        <v>8.3177000000000003</v>
      </c>
      <c r="R213" s="76">
        <f t="shared" ref="R213:BC213" si="502">SUM(R207:R212)</f>
        <v>0</v>
      </c>
      <c r="S213" s="77">
        <f t="shared" si="502"/>
        <v>0</v>
      </c>
      <c r="T213" s="77">
        <f t="shared" si="502"/>
        <v>-8872</v>
      </c>
      <c r="U213" s="77">
        <f t="shared" si="502"/>
        <v>0</v>
      </c>
      <c r="V213" s="77">
        <f t="shared" si="502"/>
        <v>0</v>
      </c>
      <c r="W213" s="77">
        <f t="shared" si="502"/>
        <v>0</v>
      </c>
      <c r="X213" s="77">
        <f t="shared" si="502"/>
        <v>-8872</v>
      </c>
      <c r="Y213" s="77">
        <f t="shared" si="502"/>
        <v>0</v>
      </c>
      <c r="Z213" s="77">
        <f t="shared" si="502"/>
        <v>0</v>
      </c>
      <c r="AA213" s="77">
        <f t="shared" si="502"/>
        <v>0</v>
      </c>
      <c r="AB213" s="77">
        <f t="shared" si="502"/>
        <v>0</v>
      </c>
      <c r="AC213" s="77">
        <f t="shared" si="502"/>
        <v>-8872</v>
      </c>
      <c r="AD213" s="77">
        <f t="shared" si="502"/>
        <v>-2999</v>
      </c>
      <c r="AE213" s="77">
        <f t="shared" si="502"/>
        <v>-177</v>
      </c>
      <c r="AF213" s="77">
        <f t="shared" si="502"/>
        <v>0</v>
      </c>
      <c r="AG213" s="77">
        <f t="shared" si="502"/>
        <v>0</v>
      </c>
      <c r="AH213" s="77">
        <f t="shared" si="502"/>
        <v>0</v>
      </c>
      <c r="AI213" s="77">
        <f t="shared" si="502"/>
        <v>-12048</v>
      </c>
      <c r="AJ213" s="78">
        <f t="shared" si="502"/>
        <v>0</v>
      </c>
      <c r="AK213" s="78">
        <f t="shared" si="502"/>
        <v>0</v>
      </c>
      <c r="AL213" s="78">
        <f t="shared" si="502"/>
        <v>0</v>
      </c>
      <c r="AM213" s="78">
        <f t="shared" si="502"/>
        <v>0</v>
      </c>
      <c r="AN213" s="78">
        <f t="shared" si="502"/>
        <v>-2.9999999999999916E-2</v>
      </c>
      <c r="AO213" s="78">
        <f t="shared" si="502"/>
        <v>0</v>
      </c>
      <c r="AP213" s="78">
        <f t="shared" si="502"/>
        <v>0</v>
      </c>
      <c r="AQ213" s="78">
        <f t="shared" si="502"/>
        <v>0</v>
      </c>
      <c r="AR213" s="78">
        <f t="shared" si="502"/>
        <v>0</v>
      </c>
      <c r="AS213" s="78">
        <f t="shared" si="502"/>
        <v>-2.9999999999999916E-2</v>
      </c>
      <c r="AT213" s="79">
        <f t="shared" si="502"/>
        <v>-2.9999999999999916E-2</v>
      </c>
      <c r="AU213" s="433">
        <f t="shared" si="502"/>
        <v>25658966</v>
      </c>
      <c r="AV213" s="77">
        <f t="shared" si="502"/>
        <v>18216186</v>
      </c>
      <c r="AW213" s="77">
        <f t="shared" si="502"/>
        <v>375000</v>
      </c>
      <c r="AX213" s="77">
        <f t="shared" si="502"/>
        <v>6283821</v>
      </c>
      <c r="AY213" s="77">
        <f t="shared" si="502"/>
        <v>364324</v>
      </c>
      <c r="AZ213" s="77">
        <f t="shared" si="502"/>
        <v>419635</v>
      </c>
      <c r="BA213" s="78">
        <f t="shared" si="502"/>
        <v>34.689700000000002</v>
      </c>
      <c r="BB213" s="78">
        <f t="shared" si="502"/>
        <v>26.401999999999997</v>
      </c>
      <c r="BC213" s="79">
        <f t="shared" si="502"/>
        <v>8.287700000000001</v>
      </c>
    </row>
    <row r="214" spans="1:55" ht="14.1" customHeight="1" x14ac:dyDescent="0.2">
      <c r="A214" s="68">
        <v>45</v>
      </c>
      <c r="B214" s="65">
        <v>2487</v>
      </c>
      <c r="C214" s="66">
        <v>600079996</v>
      </c>
      <c r="D214" s="65">
        <v>68974639</v>
      </c>
      <c r="E214" s="67" t="s">
        <v>656</v>
      </c>
      <c r="F214" s="68">
        <v>3113</v>
      </c>
      <c r="G214" s="67" t="s">
        <v>314</v>
      </c>
      <c r="H214" s="69" t="s">
        <v>277</v>
      </c>
      <c r="I214" s="477">
        <v>26778482</v>
      </c>
      <c r="J214" s="472">
        <v>19157086</v>
      </c>
      <c r="K214" s="472">
        <v>130000</v>
      </c>
      <c r="L214" s="472">
        <v>6519035</v>
      </c>
      <c r="M214" s="472">
        <v>383141</v>
      </c>
      <c r="N214" s="472">
        <v>589220</v>
      </c>
      <c r="O214" s="473">
        <v>34.4634</v>
      </c>
      <c r="P214" s="473">
        <v>27.070800000000002</v>
      </c>
      <c r="Q214" s="483">
        <v>7.3925999999999998</v>
      </c>
      <c r="R214" s="485">
        <f t="shared" ref="R214:R218" si="503">Y214*-1</f>
        <v>0</v>
      </c>
      <c r="S214" s="475">
        <v>0</v>
      </c>
      <c r="T214" s="475">
        <v>0</v>
      </c>
      <c r="U214" s="475">
        <v>0</v>
      </c>
      <c r="V214" s="475">
        <v>0</v>
      </c>
      <c r="W214" s="475">
        <v>0</v>
      </c>
      <c r="X214" s="475">
        <f t="shared" ref="X214:X218" si="504">SUM(R214:W214)</f>
        <v>0</v>
      </c>
      <c r="Y214" s="475">
        <v>0</v>
      </c>
      <c r="Z214" s="475">
        <v>0</v>
      </c>
      <c r="AA214" s="475">
        <v>0</v>
      </c>
      <c r="AB214" s="475">
        <f t="shared" ref="AB214:AB218" si="505">SUM(Y214:AA214)</f>
        <v>0</v>
      </c>
      <c r="AC214" s="475">
        <f t="shared" ref="AC214:AC218" si="506">X214+AB214</f>
        <v>0</v>
      </c>
      <c r="AD214" s="70">
        <f t="shared" ref="AD214:AD218" si="507">ROUND((X214+Y214+Z214)*33.8%,0)</f>
        <v>0</v>
      </c>
      <c r="AE214" s="70">
        <f t="shared" ref="AE214:AE218" si="508">ROUND(X214*2%,0)</f>
        <v>0</v>
      </c>
      <c r="AF214" s="475">
        <v>0</v>
      </c>
      <c r="AG214" s="475">
        <v>0</v>
      </c>
      <c r="AH214" s="475">
        <f t="shared" ref="AH214:AH218" si="509">SUM(AF214:AG214)</f>
        <v>0</v>
      </c>
      <c r="AI214" s="475">
        <f t="shared" ref="AI214:AI218" si="510">AC214+AD214+AE214+AH214</f>
        <v>0</v>
      </c>
      <c r="AJ214" s="476">
        <v>0</v>
      </c>
      <c r="AK214" s="476">
        <v>0</v>
      </c>
      <c r="AL214" s="476">
        <v>0</v>
      </c>
      <c r="AM214" s="476">
        <v>0</v>
      </c>
      <c r="AN214" s="476">
        <v>0</v>
      </c>
      <c r="AO214" s="476">
        <v>0</v>
      </c>
      <c r="AP214" s="476">
        <v>0</v>
      </c>
      <c r="AQ214" s="476">
        <v>0</v>
      </c>
      <c r="AR214" s="476">
        <f t="shared" si="483"/>
        <v>0</v>
      </c>
      <c r="AS214" s="476">
        <f t="shared" si="484"/>
        <v>0</v>
      </c>
      <c r="AT214" s="478">
        <f t="shared" si="485"/>
        <v>0</v>
      </c>
      <c r="AU214" s="484">
        <f>I214+AI214</f>
        <v>26778482</v>
      </c>
      <c r="AV214" s="475">
        <f>J214+X214</f>
        <v>19157086</v>
      </c>
      <c r="AW214" s="475">
        <f>K214+AB214</f>
        <v>130000</v>
      </c>
      <c r="AX214" s="475">
        <f t="shared" ref="AX214:AY218" si="511">L214+AD214</f>
        <v>6519035</v>
      </c>
      <c r="AY214" s="475">
        <f t="shared" si="511"/>
        <v>383141</v>
      </c>
      <c r="AZ214" s="475">
        <f>N214+AH214</f>
        <v>589220</v>
      </c>
      <c r="BA214" s="476">
        <f>O214+AT214</f>
        <v>34.4634</v>
      </c>
      <c r="BB214" s="476">
        <f t="shared" ref="BB214:BC218" si="512">P214+AR214</f>
        <v>27.070800000000002</v>
      </c>
      <c r="BC214" s="478">
        <f t="shared" si="512"/>
        <v>7.3925999999999998</v>
      </c>
    </row>
    <row r="215" spans="1:55" ht="14.1" customHeight="1" x14ac:dyDescent="0.2">
      <c r="A215" s="68">
        <v>45</v>
      </c>
      <c r="B215" s="65">
        <v>2487</v>
      </c>
      <c r="C215" s="66">
        <v>600079996</v>
      </c>
      <c r="D215" s="65">
        <v>68974639</v>
      </c>
      <c r="E215" s="67" t="s">
        <v>656</v>
      </c>
      <c r="F215" s="68">
        <v>3113</v>
      </c>
      <c r="G215" s="80" t="s">
        <v>312</v>
      </c>
      <c r="H215" s="69" t="s">
        <v>278</v>
      </c>
      <c r="I215" s="477">
        <v>1260608</v>
      </c>
      <c r="J215" s="472">
        <v>928283</v>
      </c>
      <c r="K215" s="472">
        <v>0</v>
      </c>
      <c r="L215" s="472">
        <v>313760</v>
      </c>
      <c r="M215" s="472">
        <v>18565</v>
      </c>
      <c r="N215" s="472">
        <v>0</v>
      </c>
      <c r="O215" s="473">
        <v>2.57</v>
      </c>
      <c r="P215" s="474">
        <v>2.57</v>
      </c>
      <c r="Q215" s="483">
        <v>0</v>
      </c>
      <c r="R215" s="485">
        <f t="shared" si="503"/>
        <v>0</v>
      </c>
      <c r="S215" s="475">
        <v>43306</v>
      </c>
      <c r="T215" s="475">
        <v>0</v>
      </c>
      <c r="U215" s="475">
        <v>0</v>
      </c>
      <c r="V215" s="475">
        <v>0</v>
      </c>
      <c r="W215" s="475">
        <v>0</v>
      </c>
      <c r="X215" s="475">
        <f t="shared" si="504"/>
        <v>43306</v>
      </c>
      <c r="Y215" s="475">
        <v>0</v>
      </c>
      <c r="Z215" s="475">
        <v>0</v>
      </c>
      <c r="AA215" s="475">
        <v>0</v>
      </c>
      <c r="AB215" s="475">
        <f t="shared" si="505"/>
        <v>0</v>
      </c>
      <c r="AC215" s="475">
        <f t="shared" si="506"/>
        <v>43306</v>
      </c>
      <c r="AD215" s="70">
        <f t="shared" si="507"/>
        <v>14637</v>
      </c>
      <c r="AE215" s="70">
        <f t="shared" si="508"/>
        <v>866</v>
      </c>
      <c r="AF215" s="475">
        <v>0</v>
      </c>
      <c r="AG215" s="475">
        <v>0</v>
      </c>
      <c r="AH215" s="475">
        <f t="shared" si="509"/>
        <v>0</v>
      </c>
      <c r="AI215" s="475">
        <f t="shared" si="510"/>
        <v>58809</v>
      </c>
      <c r="AJ215" s="476">
        <v>0</v>
      </c>
      <c r="AK215" s="476">
        <v>0</v>
      </c>
      <c r="AL215" s="476">
        <v>0.13</v>
      </c>
      <c r="AM215" s="476">
        <v>0</v>
      </c>
      <c r="AN215" s="476">
        <v>0</v>
      </c>
      <c r="AO215" s="476">
        <v>0</v>
      </c>
      <c r="AP215" s="476">
        <v>0</v>
      </c>
      <c r="AQ215" s="476">
        <v>0</v>
      </c>
      <c r="AR215" s="476">
        <f t="shared" si="483"/>
        <v>0.13</v>
      </c>
      <c r="AS215" s="476">
        <f t="shared" si="484"/>
        <v>0</v>
      </c>
      <c r="AT215" s="478">
        <f t="shared" si="485"/>
        <v>0.13</v>
      </c>
      <c r="AU215" s="484">
        <f>I215+AI215</f>
        <v>1319417</v>
      </c>
      <c r="AV215" s="475">
        <f>J215+X215</f>
        <v>971589</v>
      </c>
      <c r="AW215" s="475">
        <f>K215+AB215</f>
        <v>0</v>
      </c>
      <c r="AX215" s="475">
        <f t="shared" si="511"/>
        <v>328397</v>
      </c>
      <c r="AY215" s="475">
        <f t="shared" si="511"/>
        <v>19431</v>
      </c>
      <c r="AZ215" s="475">
        <f>N215+AH215</f>
        <v>0</v>
      </c>
      <c r="BA215" s="476">
        <f>O215+AT215</f>
        <v>2.6999999999999997</v>
      </c>
      <c r="BB215" s="476">
        <f t="shared" si="512"/>
        <v>2.6999999999999997</v>
      </c>
      <c r="BC215" s="478">
        <f t="shared" si="512"/>
        <v>0</v>
      </c>
    </row>
    <row r="216" spans="1:55" ht="14.1" customHeight="1" x14ac:dyDescent="0.2">
      <c r="A216" s="68">
        <v>45</v>
      </c>
      <c r="B216" s="65">
        <v>2487</v>
      </c>
      <c r="C216" s="66">
        <v>600079996</v>
      </c>
      <c r="D216" s="65">
        <v>68974639</v>
      </c>
      <c r="E216" s="67" t="s">
        <v>656</v>
      </c>
      <c r="F216" s="68">
        <v>3141</v>
      </c>
      <c r="G216" s="67" t="s">
        <v>315</v>
      </c>
      <c r="H216" s="69" t="s">
        <v>278</v>
      </c>
      <c r="I216" s="477">
        <v>3255147</v>
      </c>
      <c r="J216" s="472">
        <v>2355058</v>
      </c>
      <c r="K216" s="472">
        <v>20000</v>
      </c>
      <c r="L216" s="472">
        <v>802770</v>
      </c>
      <c r="M216" s="472">
        <v>47101</v>
      </c>
      <c r="N216" s="472">
        <v>30218</v>
      </c>
      <c r="O216" s="473">
        <v>7.48</v>
      </c>
      <c r="P216" s="474">
        <v>0</v>
      </c>
      <c r="Q216" s="483">
        <v>7.48</v>
      </c>
      <c r="R216" s="485">
        <f t="shared" si="503"/>
        <v>0</v>
      </c>
      <c r="S216" s="475">
        <v>0</v>
      </c>
      <c r="T216" s="755">
        <v>49604</v>
      </c>
      <c r="U216" s="475">
        <v>0</v>
      </c>
      <c r="V216" s="475">
        <v>0</v>
      </c>
      <c r="W216" s="475">
        <v>0</v>
      </c>
      <c r="X216" s="475">
        <f t="shared" si="504"/>
        <v>49604</v>
      </c>
      <c r="Y216" s="475">
        <v>0</v>
      </c>
      <c r="Z216" s="475">
        <v>0</v>
      </c>
      <c r="AA216" s="475">
        <v>0</v>
      </c>
      <c r="AB216" s="475">
        <f t="shared" si="505"/>
        <v>0</v>
      </c>
      <c r="AC216" s="475">
        <f t="shared" si="506"/>
        <v>49604</v>
      </c>
      <c r="AD216" s="70">
        <f t="shared" si="507"/>
        <v>16766</v>
      </c>
      <c r="AE216" s="70">
        <f t="shared" si="508"/>
        <v>992</v>
      </c>
      <c r="AF216" s="475">
        <v>0</v>
      </c>
      <c r="AG216" s="475">
        <v>0</v>
      </c>
      <c r="AH216" s="475">
        <f t="shared" si="509"/>
        <v>0</v>
      </c>
      <c r="AI216" s="475">
        <f t="shared" si="510"/>
        <v>67362</v>
      </c>
      <c r="AJ216" s="476">
        <v>0</v>
      </c>
      <c r="AK216" s="476">
        <v>0</v>
      </c>
      <c r="AL216" s="476">
        <v>0</v>
      </c>
      <c r="AM216" s="476">
        <v>0</v>
      </c>
      <c r="AN216" s="756">
        <v>0.1599999999999997</v>
      </c>
      <c r="AO216" s="476">
        <v>0</v>
      </c>
      <c r="AP216" s="476">
        <v>0</v>
      </c>
      <c r="AQ216" s="476">
        <v>0</v>
      </c>
      <c r="AR216" s="476">
        <f t="shared" si="483"/>
        <v>0</v>
      </c>
      <c r="AS216" s="476">
        <f t="shared" si="484"/>
        <v>0.1599999999999997</v>
      </c>
      <c r="AT216" s="478">
        <f t="shared" si="485"/>
        <v>0.1599999999999997</v>
      </c>
      <c r="AU216" s="484">
        <f>I216+AI216</f>
        <v>3322509</v>
      </c>
      <c r="AV216" s="475">
        <f>J216+X216</f>
        <v>2404662</v>
      </c>
      <c r="AW216" s="475">
        <f>K216+AB216</f>
        <v>20000</v>
      </c>
      <c r="AX216" s="475">
        <f t="shared" si="511"/>
        <v>819536</v>
      </c>
      <c r="AY216" s="475">
        <f t="shared" si="511"/>
        <v>48093</v>
      </c>
      <c r="AZ216" s="475">
        <f>N216+AH216</f>
        <v>30218</v>
      </c>
      <c r="BA216" s="476">
        <f>O216+AT216</f>
        <v>7.6400000000000006</v>
      </c>
      <c r="BB216" s="476">
        <f t="shared" si="512"/>
        <v>0</v>
      </c>
      <c r="BC216" s="478">
        <f t="shared" si="512"/>
        <v>7.6400000000000006</v>
      </c>
    </row>
    <row r="217" spans="1:55" ht="14.1" customHeight="1" x14ac:dyDescent="0.2">
      <c r="A217" s="68">
        <v>45</v>
      </c>
      <c r="B217" s="65">
        <v>2487</v>
      </c>
      <c r="C217" s="66">
        <v>600079996</v>
      </c>
      <c r="D217" s="65">
        <v>68974639</v>
      </c>
      <c r="E217" s="67" t="s">
        <v>656</v>
      </c>
      <c r="F217" s="68">
        <v>3143</v>
      </c>
      <c r="G217" s="80" t="s">
        <v>626</v>
      </c>
      <c r="H217" s="69" t="s">
        <v>277</v>
      </c>
      <c r="I217" s="477">
        <v>2308299</v>
      </c>
      <c r="J217" s="472">
        <v>1699778</v>
      </c>
      <c r="K217" s="472">
        <v>0</v>
      </c>
      <c r="L217" s="472">
        <v>574525</v>
      </c>
      <c r="M217" s="472">
        <v>33996</v>
      </c>
      <c r="N217" s="472">
        <v>0</v>
      </c>
      <c r="O217" s="473">
        <v>3.5</v>
      </c>
      <c r="P217" s="473">
        <v>3.5</v>
      </c>
      <c r="Q217" s="483">
        <v>0</v>
      </c>
      <c r="R217" s="485">
        <f t="shared" si="503"/>
        <v>0</v>
      </c>
      <c r="S217" s="475">
        <v>0</v>
      </c>
      <c r="T217" s="475">
        <v>0</v>
      </c>
      <c r="U217" s="475">
        <v>0</v>
      </c>
      <c r="V217" s="475">
        <v>0</v>
      </c>
      <c r="W217" s="475">
        <v>0</v>
      </c>
      <c r="X217" s="475">
        <f t="shared" si="504"/>
        <v>0</v>
      </c>
      <c r="Y217" s="475">
        <v>0</v>
      </c>
      <c r="Z217" s="475">
        <v>0</v>
      </c>
      <c r="AA217" s="475">
        <v>0</v>
      </c>
      <c r="AB217" s="475">
        <f t="shared" si="505"/>
        <v>0</v>
      </c>
      <c r="AC217" s="475">
        <f t="shared" si="506"/>
        <v>0</v>
      </c>
      <c r="AD217" s="70">
        <f t="shared" si="507"/>
        <v>0</v>
      </c>
      <c r="AE217" s="70">
        <f t="shared" si="508"/>
        <v>0</v>
      </c>
      <c r="AF217" s="475">
        <v>0</v>
      </c>
      <c r="AG217" s="475">
        <v>0</v>
      </c>
      <c r="AH217" s="475">
        <f t="shared" si="509"/>
        <v>0</v>
      </c>
      <c r="AI217" s="475">
        <f t="shared" si="510"/>
        <v>0</v>
      </c>
      <c r="AJ217" s="476">
        <v>0</v>
      </c>
      <c r="AK217" s="476">
        <v>0</v>
      </c>
      <c r="AL217" s="476">
        <v>0</v>
      </c>
      <c r="AM217" s="476">
        <v>0</v>
      </c>
      <c r="AN217" s="476">
        <v>0</v>
      </c>
      <c r="AO217" s="476">
        <v>0</v>
      </c>
      <c r="AP217" s="476">
        <v>0</v>
      </c>
      <c r="AQ217" s="476">
        <v>0</v>
      </c>
      <c r="AR217" s="476">
        <f t="shared" si="483"/>
        <v>0</v>
      </c>
      <c r="AS217" s="476">
        <f t="shared" si="484"/>
        <v>0</v>
      </c>
      <c r="AT217" s="478">
        <f t="shared" si="485"/>
        <v>0</v>
      </c>
      <c r="AU217" s="484">
        <f>I217+AI217</f>
        <v>2308299</v>
      </c>
      <c r="AV217" s="475">
        <f>J217+X217</f>
        <v>1699778</v>
      </c>
      <c r="AW217" s="475">
        <f>K217+AB217</f>
        <v>0</v>
      </c>
      <c r="AX217" s="475">
        <f t="shared" si="511"/>
        <v>574525</v>
      </c>
      <c r="AY217" s="475">
        <f t="shared" si="511"/>
        <v>33996</v>
      </c>
      <c r="AZ217" s="475">
        <f>N217+AH217</f>
        <v>0</v>
      </c>
      <c r="BA217" s="476">
        <f>O217+AT217</f>
        <v>3.5</v>
      </c>
      <c r="BB217" s="476">
        <f t="shared" si="512"/>
        <v>3.5</v>
      </c>
      <c r="BC217" s="478">
        <f t="shared" si="512"/>
        <v>0</v>
      </c>
    </row>
    <row r="218" spans="1:55" ht="14.1" customHeight="1" x14ac:dyDescent="0.2">
      <c r="A218" s="68">
        <v>45</v>
      </c>
      <c r="B218" s="65">
        <v>2487</v>
      </c>
      <c r="C218" s="66">
        <v>600079996</v>
      </c>
      <c r="D218" s="65">
        <v>68974639</v>
      </c>
      <c r="E218" s="67" t="s">
        <v>656</v>
      </c>
      <c r="F218" s="68">
        <v>3143</v>
      </c>
      <c r="G218" s="80" t="s">
        <v>627</v>
      </c>
      <c r="H218" s="69" t="s">
        <v>278</v>
      </c>
      <c r="I218" s="477">
        <v>82403</v>
      </c>
      <c r="J218" s="472">
        <v>58272</v>
      </c>
      <c r="K218" s="472">
        <v>0</v>
      </c>
      <c r="L218" s="472">
        <v>19696</v>
      </c>
      <c r="M218" s="472">
        <v>1165</v>
      </c>
      <c r="N218" s="472">
        <v>3270</v>
      </c>
      <c r="O218" s="473">
        <v>0.23</v>
      </c>
      <c r="P218" s="474">
        <v>0</v>
      </c>
      <c r="Q218" s="483">
        <v>0.23</v>
      </c>
      <c r="R218" s="485">
        <f t="shared" si="503"/>
        <v>0</v>
      </c>
      <c r="S218" s="475">
        <v>0</v>
      </c>
      <c r="T218" s="475">
        <v>0</v>
      </c>
      <c r="U218" s="475">
        <v>0</v>
      </c>
      <c r="V218" s="475">
        <v>0</v>
      </c>
      <c r="W218" s="475">
        <v>0</v>
      </c>
      <c r="X218" s="475">
        <f t="shared" si="504"/>
        <v>0</v>
      </c>
      <c r="Y218" s="475">
        <v>0</v>
      </c>
      <c r="Z218" s="475">
        <v>0</v>
      </c>
      <c r="AA218" s="475">
        <v>0</v>
      </c>
      <c r="AB218" s="475">
        <f t="shared" si="505"/>
        <v>0</v>
      </c>
      <c r="AC218" s="475">
        <f t="shared" si="506"/>
        <v>0</v>
      </c>
      <c r="AD218" s="70">
        <f t="shared" si="507"/>
        <v>0</v>
      </c>
      <c r="AE218" s="70">
        <f t="shared" si="508"/>
        <v>0</v>
      </c>
      <c r="AF218" s="475">
        <v>0</v>
      </c>
      <c r="AG218" s="475">
        <v>0</v>
      </c>
      <c r="AH218" s="475">
        <f t="shared" si="509"/>
        <v>0</v>
      </c>
      <c r="AI218" s="475">
        <f t="shared" si="510"/>
        <v>0</v>
      </c>
      <c r="AJ218" s="476">
        <v>0</v>
      </c>
      <c r="AK218" s="476">
        <v>0</v>
      </c>
      <c r="AL218" s="476">
        <v>0</v>
      </c>
      <c r="AM218" s="476">
        <v>0</v>
      </c>
      <c r="AN218" s="476">
        <v>0</v>
      </c>
      <c r="AO218" s="476">
        <v>0</v>
      </c>
      <c r="AP218" s="476">
        <v>0</v>
      </c>
      <c r="AQ218" s="476">
        <v>0</v>
      </c>
      <c r="AR218" s="476">
        <f t="shared" si="483"/>
        <v>0</v>
      </c>
      <c r="AS218" s="476">
        <f t="shared" si="484"/>
        <v>0</v>
      </c>
      <c r="AT218" s="478">
        <f t="shared" si="485"/>
        <v>0</v>
      </c>
      <c r="AU218" s="484">
        <f>I218+AI218</f>
        <v>82403</v>
      </c>
      <c r="AV218" s="475">
        <f>J218+X218</f>
        <v>58272</v>
      </c>
      <c r="AW218" s="475">
        <f>K218+AB218</f>
        <v>0</v>
      </c>
      <c r="AX218" s="475">
        <f t="shared" si="511"/>
        <v>19696</v>
      </c>
      <c r="AY218" s="475">
        <f t="shared" si="511"/>
        <v>1165</v>
      </c>
      <c r="AZ218" s="475">
        <f>N218+AH218</f>
        <v>3270</v>
      </c>
      <c r="BA218" s="476">
        <f>O218+AT218</f>
        <v>0.23</v>
      </c>
      <c r="BB218" s="476">
        <f t="shared" si="512"/>
        <v>0</v>
      </c>
      <c r="BC218" s="478">
        <f t="shared" si="512"/>
        <v>0.23</v>
      </c>
    </row>
    <row r="219" spans="1:55" ht="14.1" customHeight="1" x14ac:dyDescent="0.2">
      <c r="A219" s="74">
        <v>45</v>
      </c>
      <c r="B219" s="71">
        <v>2487</v>
      </c>
      <c r="C219" s="72">
        <v>600079996</v>
      </c>
      <c r="D219" s="71">
        <v>68974639</v>
      </c>
      <c r="E219" s="73" t="s">
        <v>657</v>
      </c>
      <c r="F219" s="74"/>
      <c r="G219" s="73"/>
      <c r="H219" s="75"/>
      <c r="I219" s="76">
        <v>33684939</v>
      </c>
      <c r="J219" s="77">
        <v>24198477</v>
      </c>
      <c r="K219" s="77">
        <v>150000</v>
      </c>
      <c r="L219" s="77">
        <v>8229786</v>
      </c>
      <c r="M219" s="77">
        <v>483968</v>
      </c>
      <c r="N219" s="77">
        <v>622708</v>
      </c>
      <c r="O219" s="78">
        <v>48.243400000000001</v>
      </c>
      <c r="P219" s="78">
        <v>33.140799999999999</v>
      </c>
      <c r="Q219" s="718">
        <v>15.102600000000001</v>
      </c>
      <c r="R219" s="76">
        <f t="shared" ref="R219:BC219" si="513">SUM(R214:R218)</f>
        <v>0</v>
      </c>
      <c r="S219" s="77">
        <f t="shared" si="513"/>
        <v>43306</v>
      </c>
      <c r="T219" s="77">
        <f t="shared" si="513"/>
        <v>49604</v>
      </c>
      <c r="U219" s="77">
        <f t="shared" si="513"/>
        <v>0</v>
      </c>
      <c r="V219" s="77">
        <f t="shared" si="513"/>
        <v>0</v>
      </c>
      <c r="W219" s="77">
        <f t="shared" si="513"/>
        <v>0</v>
      </c>
      <c r="X219" s="77">
        <f t="shared" si="513"/>
        <v>92910</v>
      </c>
      <c r="Y219" s="77">
        <f t="shared" si="513"/>
        <v>0</v>
      </c>
      <c r="Z219" s="77">
        <f t="shared" si="513"/>
        <v>0</v>
      </c>
      <c r="AA219" s="77">
        <f t="shared" si="513"/>
        <v>0</v>
      </c>
      <c r="AB219" s="77">
        <f t="shared" si="513"/>
        <v>0</v>
      </c>
      <c r="AC219" s="77">
        <f t="shared" si="513"/>
        <v>92910</v>
      </c>
      <c r="AD219" s="77">
        <f t="shared" si="513"/>
        <v>31403</v>
      </c>
      <c r="AE219" s="77">
        <f t="shared" si="513"/>
        <v>1858</v>
      </c>
      <c r="AF219" s="77">
        <f t="shared" si="513"/>
        <v>0</v>
      </c>
      <c r="AG219" s="77">
        <f t="shared" si="513"/>
        <v>0</v>
      </c>
      <c r="AH219" s="77">
        <f t="shared" si="513"/>
        <v>0</v>
      </c>
      <c r="AI219" s="77">
        <f t="shared" si="513"/>
        <v>126171</v>
      </c>
      <c r="AJ219" s="78">
        <f t="shared" si="513"/>
        <v>0</v>
      </c>
      <c r="AK219" s="78">
        <f t="shared" si="513"/>
        <v>0</v>
      </c>
      <c r="AL219" s="78">
        <f t="shared" si="513"/>
        <v>0.13</v>
      </c>
      <c r="AM219" s="78">
        <f t="shared" si="513"/>
        <v>0</v>
      </c>
      <c r="AN219" s="78">
        <f t="shared" si="513"/>
        <v>0.1599999999999997</v>
      </c>
      <c r="AO219" s="78">
        <f t="shared" si="513"/>
        <v>0</v>
      </c>
      <c r="AP219" s="78">
        <f t="shared" si="513"/>
        <v>0</v>
      </c>
      <c r="AQ219" s="78">
        <f t="shared" si="513"/>
        <v>0</v>
      </c>
      <c r="AR219" s="78">
        <f t="shared" si="513"/>
        <v>0.13</v>
      </c>
      <c r="AS219" s="78">
        <f t="shared" si="513"/>
        <v>0.1599999999999997</v>
      </c>
      <c r="AT219" s="79">
        <f t="shared" si="513"/>
        <v>0.2899999999999997</v>
      </c>
      <c r="AU219" s="433">
        <f t="shared" si="513"/>
        <v>33811110</v>
      </c>
      <c r="AV219" s="77">
        <f t="shared" si="513"/>
        <v>24291387</v>
      </c>
      <c r="AW219" s="77">
        <f t="shared" si="513"/>
        <v>150000</v>
      </c>
      <c r="AX219" s="77">
        <f t="shared" si="513"/>
        <v>8261189</v>
      </c>
      <c r="AY219" s="77">
        <f t="shared" si="513"/>
        <v>485826</v>
      </c>
      <c r="AZ219" s="77">
        <f t="shared" si="513"/>
        <v>622708</v>
      </c>
      <c r="BA219" s="78">
        <f t="shared" si="513"/>
        <v>48.5334</v>
      </c>
      <c r="BB219" s="78">
        <f t="shared" si="513"/>
        <v>33.270800000000001</v>
      </c>
      <c r="BC219" s="79">
        <f t="shared" si="513"/>
        <v>15.262600000000001</v>
      </c>
    </row>
    <row r="220" spans="1:55" ht="14.1" customHeight="1" x14ac:dyDescent="0.2">
      <c r="A220" s="68">
        <v>46</v>
      </c>
      <c r="B220" s="65">
        <v>2488</v>
      </c>
      <c r="C220" s="66">
        <v>600079902</v>
      </c>
      <c r="D220" s="65">
        <v>70884978</v>
      </c>
      <c r="E220" s="67" t="s">
        <v>658</v>
      </c>
      <c r="F220" s="68">
        <v>3113</v>
      </c>
      <c r="G220" s="67" t="s">
        <v>314</v>
      </c>
      <c r="H220" s="69" t="s">
        <v>277</v>
      </c>
      <c r="I220" s="477">
        <v>25077828</v>
      </c>
      <c r="J220" s="472">
        <v>18012473</v>
      </c>
      <c r="K220" s="472">
        <v>64700</v>
      </c>
      <c r="L220" s="472">
        <v>6110085</v>
      </c>
      <c r="M220" s="472">
        <v>360250</v>
      </c>
      <c r="N220" s="472">
        <v>530320</v>
      </c>
      <c r="O220" s="473">
        <v>31.837700000000002</v>
      </c>
      <c r="P220" s="473">
        <v>24.481499999999997</v>
      </c>
      <c r="Q220" s="483">
        <v>7.3562000000000012</v>
      </c>
      <c r="R220" s="485">
        <f t="shared" ref="R220:R224" si="514">Y220*-1</f>
        <v>0</v>
      </c>
      <c r="S220" s="475">
        <v>0</v>
      </c>
      <c r="T220" s="475">
        <v>-349504</v>
      </c>
      <c r="U220" s="475">
        <v>0</v>
      </c>
      <c r="V220" s="475">
        <v>0</v>
      </c>
      <c r="W220" s="475">
        <v>0</v>
      </c>
      <c r="X220" s="475">
        <f t="shared" ref="X220:X224" si="515">SUM(R220:W220)</f>
        <v>-349504</v>
      </c>
      <c r="Y220" s="475">
        <v>0</v>
      </c>
      <c r="Z220" s="475">
        <v>0</v>
      </c>
      <c r="AA220" s="475">
        <v>0</v>
      </c>
      <c r="AB220" s="475">
        <f t="shared" ref="AB220:AB224" si="516">SUM(Y220:AA220)</f>
        <v>0</v>
      </c>
      <c r="AC220" s="475">
        <f t="shared" ref="AC220:AC224" si="517">X220+AB220</f>
        <v>-349504</v>
      </c>
      <c r="AD220" s="70">
        <f t="shared" ref="AD220:AD224" si="518">ROUND((X220+Y220+Z220)*33.8%,0)</f>
        <v>-118132</v>
      </c>
      <c r="AE220" s="70">
        <f t="shared" ref="AE220:AE224" si="519">ROUND(X220*2%,0)</f>
        <v>-6990</v>
      </c>
      <c r="AF220" s="475">
        <v>0</v>
      </c>
      <c r="AG220" s="475">
        <v>0</v>
      </c>
      <c r="AH220" s="475">
        <f t="shared" ref="AH220:AH224" si="520">SUM(AF220:AG220)</f>
        <v>0</v>
      </c>
      <c r="AI220" s="475">
        <f t="shared" ref="AI220:AI224" si="521">AC220+AD220+AE220+AH220</f>
        <v>-474626</v>
      </c>
      <c r="AJ220" s="476">
        <v>0</v>
      </c>
      <c r="AK220" s="476">
        <v>0</v>
      </c>
      <c r="AL220" s="476">
        <v>0</v>
      </c>
      <c r="AM220" s="476">
        <v>-0.55000000000000004</v>
      </c>
      <c r="AN220" s="476">
        <v>0</v>
      </c>
      <c r="AO220" s="476">
        <v>0</v>
      </c>
      <c r="AP220" s="476">
        <v>0</v>
      </c>
      <c r="AQ220" s="476">
        <v>0</v>
      </c>
      <c r="AR220" s="476">
        <f t="shared" si="483"/>
        <v>-0.55000000000000004</v>
      </c>
      <c r="AS220" s="476">
        <f t="shared" si="484"/>
        <v>0</v>
      </c>
      <c r="AT220" s="478">
        <f t="shared" si="485"/>
        <v>-0.55000000000000004</v>
      </c>
      <c r="AU220" s="484">
        <f>I220+AI220</f>
        <v>24603202</v>
      </c>
      <c r="AV220" s="475">
        <f>J220+X220</f>
        <v>17662969</v>
      </c>
      <c r="AW220" s="475">
        <f>K220+AB220</f>
        <v>64700</v>
      </c>
      <c r="AX220" s="475">
        <f t="shared" ref="AX220:AY224" si="522">L220+AD220</f>
        <v>5991953</v>
      </c>
      <c r="AY220" s="475">
        <f t="shared" si="522"/>
        <v>353260</v>
      </c>
      <c r="AZ220" s="475">
        <f>N220+AH220</f>
        <v>530320</v>
      </c>
      <c r="BA220" s="476">
        <f>O220+AT220</f>
        <v>31.287700000000001</v>
      </c>
      <c r="BB220" s="476">
        <f t="shared" ref="BB220:BC224" si="523">P220+AR220</f>
        <v>23.931499999999996</v>
      </c>
      <c r="BC220" s="478">
        <f t="shared" si="523"/>
        <v>7.3562000000000012</v>
      </c>
    </row>
    <row r="221" spans="1:55" ht="14.1" customHeight="1" x14ac:dyDescent="0.2">
      <c r="A221" s="68">
        <v>46</v>
      </c>
      <c r="B221" s="65">
        <v>2488</v>
      </c>
      <c r="C221" s="66">
        <v>600079902</v>
      </c>
      <c r="D221" s="65">
        <v>70884978</v>
      </c>
      <c r="E221" s="67" t="s">
        <v>658</v>
      </c>
      <c r="F221" s="68">
        <v>3113</v>
      </c>
      <c r="G221" s="80" t="s">
        <v>312</v>
      </c>
      <c r="H221" s="69" t="s">
        <v>278</v>
      </c>
      <c r="I221" s="477">
        <v>3994956</v>
      </c>
      <c r="J221" s="472">
        <v>2938664</v>
      </c>
      <c r="K221" s="472">
        <v>0</v>
      </c>
      <c r="L221" s="472">
        <v>993269</v>
      </c>
      <c r="M221" s="472">
        <v>58773</v>
      </c>
      <c r="N221" s="472">
        <v>4250</v>
      </c>
      <c r="O221" s="473">
        <v>8.42</v>
      </c>
      <c r="P221" s="474">
        <v>8.42</v>
      </c>
      <c r="Q221" s="483">
        <v>0</v>
      </c>
      <c r="R221" s="485">
        <f t="shared" si="514"/>
        <v>0</v>
      </c>
      <c r="S221" s="475">
        <v>0</v>
      </c>
      <c r="T221" s="475">
        <v>0</v>
      </c>
      <c r="U221" s="475">
        <v>0</v>
      </c>
      <c r="V221" s="475">
        <v>0</v>
      </c>
      <c r="W221" s="475">
        <v>0</v>
      </c>
      <c r="X221" s="475">
        <f t="shared" si="515"/>
        <v>0</v>
      </c>
      <c r="Y221" s="475">
        <v>0</v>
      </c>
      <c r="Z221" s="475">
        <v>0</v>
      </c>
      <c r="AA221" s="475">
        <v>0</v>
      </c>
      <c r="AB221" s="475">
        <f t="shared" si="516"/>
        <v>0</v>
      </c>
      <c r="AC221" s="475">
        <f t="shared" si="517"/>
        <v>0</v>
      </c>
      <c r="AD221" s="70">
        <f t="shared" si="518"/>
        <v>0</v>
      </c>
      <c r="AE221" s="70">
        <f t="shared" si="519"/>
        <v>0</v>
      </c>
      <c r="AF221" s="475">
        <v>1500</v>
      </c>
      <c r="AG221" s="475">
        <v>0</v>
      </c>
      <c r="AH221" s="475">
        <f t="shared" si="520"/>
        <v>1500</v>
      </c>
      <c r="AI221" s="475">
        <f t="shared" si="521"/>
        <v>1500</v>
      </c>
      <c r="AJ221" s="476">
        <v>0</v>
      </c>
      <c r="AK221" s="476">
        <v>0</v>
      </c>
      <c r="AL221" s="476">
        <v>0</v>
      </c>
      <c r="AM221" s="476">
        <v>0</v>
      </c>
      <c r="AN221" s="476">
        <v>0</v>
      </c>
      <c r="AO221" s="476">
        <v>0</v>
      </c>
      <c r="AP221" s="476">
        <v>0</v>
      </c>
      <c r="AQ221" s="476">
        <v>0</v>
      </c>
      <c r="AR221" s="476">
        <f t="shared" si="483"/>
        <v>0</v>
      </c>
      <c r="AS221" s="476">
        <f t="shared" si="484"/>
        <v>0</v>
      </c>
      <c r="AT221" s="478">
        <f t="shared" si="485"/>
        <v>0</v>
      </c>
      <c r="AU221" s="484">
        <f>I221+AI221</f>
        <v>3996456</v>
      </c>
      <c r="AV221" s="475">
        <f>J221+X221</f>
        <v>2938664</v>
      </c>
      <c r="AW221" s="475">
        <f>K221+AB221</f>
        <v>0</v>
      </c>
      <c r="AX221" s="475">
        <f t="shared" si="522"/>
        <v>993269</v>
      </c>
      <c r="AY221" s="475">
        <f t="shared" si="522"/>
        <v>58773</v>
      </c>
      <c r="AZ221" s="475">
        <f>N221+AH221</f>
        <v>5750</v>
      </c>
      <c r="BA221" s="476">
        <f>O221+AT221</f>
        <v>8.42</v>
      </c>
      <c r="BB221" s="476">
        <f t="shared" si="523"/>
        <v>8.42</v>
      </c>
      <c r="BC221" s="478">
        <f t="shared" si="523"/>
        <v>0</v>
      </c>
    </row>
    <row r="222" spans="1:55" ht="14.1" customHeight="1" x14ac:dyDescent="0.2">
      <c r="A222" s="68">
        <v>46</v>
      </c>
      <c r="B222" s="65">
        <v>2488</v>
      </c>
      <c r="C222" s="66">
        <v>600079902</v>
      </c>
      <c r="D222" s="65">
        <v>70884978</v>
      </c>
      <c r="E222" s="67" t="s">
        <v>658</v>
      </c>
      <c r="F222" s="68">
        <v>3141</v>
      </c>
      <c r="G222" s="67" t="s">
        <v>315</v>
      </c>
      <c r="H222" s="69" t="s">
        <v>278</v>
      </c>
      <c r="I222" s="477">
        <v>2079567</v>
      </c>
      <c r="J222" s="472">
        <v>1513691</v>
      </c>
      <c r="K222" s="472">
        <v>5000</v>
      </c>
      <c r="L222" s="472">
        <v>513318</v>
      </c>
      <c r="M222" s="472">
        <v>30274</v>
      </c>
      <c r="N222" s="472">
        <v>17284</v>
      </c>
      <c r="O222" s="473">
        <v>4.78</v>
      </c>
      <c r="P222" s="474">
        <v>0</v>
      </c>
      <c r="Q222" s="483">
        <v>4.78</v>
      </c>
      <c r="R222" s="485">
        <f t="shared" si="514"/>
        <v>0</v>
      </c>
      <c r="S222" s="475">
        <v>0</v>
      </c>
      <c r="T222" s="755">
        <v>-64618</v>
      </c>
      <c r="U222" s="475">
        <v>0</v>
      </c>
      <c r="V222" s="475">
        <v>0</v>
      </c>
      <c r="W222" s="475">
        <v>0</v>
      </c>
      <c r="X222" s="475">
        <f t="shared" si="515"/>
        <v>-64618</v>
      </c>
      <c r="Y222" s="475">
        <v>0</v>
      </c>
      <c r="Z222" s="475">
        <v>0</v>
      </c>
      <c r="AA222" s="475">
        <v>0</v>
      </c>
      <c r="AB222" s="475">
        <f t="shared" si="516"/>
        <v>0</v>
      </c>
      <c r="AC222" s="475">
        <f t="shared" si="517"/>
        <v>-64618</v>
      </c>
      <c r="AD222" s="70">
        <f t="shared" si="518"/>
        <v>-21841</v>
      </c>
      <c r="AE222" s="70">
        <f t="shared" si="519"/>
        <v>-1292</v>
      </c>
      <c r="AF222" s="475">
        <v>0</v>
      </c>
      <c r="AG222" s="475">
        <v>0</v>
      </c>
      <c r="AH222" s="475">
        <f t="shared" si="520"/>
        <v>0</v>
      </c>
      <c r="AI222" s="475">
        <f t="shared" si="521"/>
        <v>-87751</v>
      </c>
      <c r="AJ222" s="476">
        <v>0</v>
      </c>
      <c r="AK222" s="476">
        <v>0</v>
      </c>
      <c r="AL222" s="476">
        <v>0</v>
      </c>
      <c r="AM222" s="476">
        <v>0</v>
      </c>
      <c r="AN222" s="756">
        <v>-0.20000000000000018</v>
      </c>
      <c r="AO222" s="476">
        <v>0</v>
      </c>
      <c r="AP222" s="476">
        <v>0</v>
      </c>
      <c r="AQ222" s="476">
        <v>0</v>
      </c>
      <c r="AR222" s="476">
        <f t="shared" si="483"/>
        <v>0</v>
      </c>
      <c r="AS222" s="476">
        <f t="shared" si="484"/>
        <v>-0.20000000000000018</v>
      </c>
      <c r="AT222" s="478">
        <f t="shared" si="485"/>
        <v>-0.20000000000000018</v>
      </c>
      <c r="AU222" s="484">
        <f>I222+AI222</f>
        <v>1991816</v>
      </c>
      <c r="AV222" s="475">
        <f>J222+X222</f>
        <v>1449073</v>
      </c>
      <c r="AW222" s="475">
        <f>K222+AB222</f>
        <v>5000</v>
      </c>
      <c r="AX222" s="475">
        <f t="shared" si="522"/>
        <v>491477</v>
      </c>
      <c r="AY222" s="475">
        <f t="shared" si="522"/>
        <v>28982</v>
      </c>
      <c r="AZ222" s="475">
        <f>N222+AH222</f>
        <v>17284</v>
      </c>
      <c r="BA222" s="476">
        <f>O222+AT222</f>
        <v>4.58</v>
      </c>
      <c r="BB222" s="476">
        <f t="shared" si="523"/>
        <v>0</v>
      </c>
      <c r="BC222" s="478">
        <f t="shared" si="523"/>
        <v>4.58</v>
      </c>
    </row>
    <row r="223" spans="1:55" ht="14.1" customHeight="1" x14ac:dyDescent="0.2">
      <c r="A223" s="68">
        <v>46</v>
      </c>
      <c r="B223" s="65">
        <v>2488</v>
      </c>
      <c r="C223" s="66">
        <v>600079902</v>
      </c>
      <c r="D223" s="65">
        <v>70884978</v>
      </c>
      <c r="E223" s="67" t="s">
        <v>658</v>
      </c>
      <c r="F223" s="68">
        <v>3143</v>
      </c>
      <c r="G223" s="80" t="s">
        <v>626</v>
      </c>
      <c r="H223" s="69" t="s">
        <v>277</v>
      </c>
      <c r="I223" s="477">
        <v>2076258</v>
      </c>
      <c r="J223" s="472">
        <v>1519056</v>
      </c>
      <c r="K223" s="472">
        <v>10000</v>
      </c>
      <c r="L223" s="472">
        <v>516821</v>
      </c>
      <c r="M223" s="472">
        <v>30381</v>
      </c>
      <c r="N223" s="472">
        <v>0</v>
      </c>
      <c r="O223" s="473">
        <v>3.2145999999999999</v>
      </c>
      <c r="P223" s="473">
        <v>3.2145999999999999</v>
      </c>
      <c r="Q223" s="483">
        <v>0</v>
      </c>
      <c r="R223" s="485">
        <f t="shared" si="514"/>
        <v>0</v>
      </c>
      <c r="S223" s="475">
        <v>0</v>
      </c>
      <c r="T223" s="475">
        <v>0</v>
      </c>
      <c r="U223" s="475">
        <v>0</v>
      </c>
      <c r="V223" s="475">
        <v>0</v>
      </c>
      <c r="W223" s="475">
        <v>0</v>
      </c>
      <c r="X223" s="475">
        <f t="shared" si="515"/>
        <v>0</v>
      </c>
      <c r="Y223" s="475">
        <v>0</v>
      </c>
      <c r="Z223" s="475">
        <v>0</v>
      </c>
      <c r="AA223" s="475">
        <v>0</v>
      </c>
      <c r="AB223" s="475">
        <f t="shared" si="516"/>
        <v>0</v>
      </c>
      <c r="AC223" s="475">
        <f t="shared" si="517"/>
        <v>0</v>
      </c>
      <c r="AD223" s="70">
        <f t="shared" si="518"/>
        <v>0</v>
      </c>
      <c r="AE223" s="70">
        <f t="shared" si="519"/>
        <v>0</v>
      </c>
      <c r="AF223" s="475">
        <v>0</v>
      </c>
      <c r="AG223" s="475">
        <v>0</v>
      </c>
      <c r="AH223" s="475">
        <f t="shared" si="520"/>
        <v>0</v>
      </c>
      <c r="AI223" s="475">
        <f t="shared" si="521"/>
        <v>0</v>
      </c>
      <c r="AJ223" s="476">
        <v>0</v>
      </c>
      <c r="AK223" s="476">
        <v>0</v>
      </c>
      <c r="AL223" s="476">
        <v>0</v>
      </c>
      <c r="AM223" s="476">
        <v>0</v>
      </c>
      <c r="AN223" s="476">
        <v>0</v>
      </c>
      <c r="AO223" s="476">
        <v>0</v>
      </c>
      <c r="AP223" s="476">
        <v>0</v>
      </c>
      <c r="AQ223" s="476">
        <v>0</v>
      </c>
      <c r="AR223" s="476">
        <f t="shared" si="483"/>
        <v>0</v>
      </c>
      <c r="AS223" s="476">
        <f t="shared" si="484"/>
        <v>0</v>
      </c>
      <c r="AT223" s="478">
        <f t="shared" si="485"/>
        <v>0</v>
      </c>
      <c r="AU223" s="484">
        <f>I223+AI223</f>
        <v>2076258</v>
      </c>
      <c r="AV223" s="475">
        <f>J223+X223</f>
        <v>1519056</v>
      </c>
      <c r="AW223" s="475">
        <f>K223+AB223</f>
        <v>10000</v>
      </c>
      <c r="AX223" s="475">
        <f t="shared" si="522"/>
        <v>516821</v>
      </c>
      <c r="AY223" s="475">
        <f t="shared" si="522"/>
        <v>30381</v>
      </c>
      <c r="AZ223" s="475">
        <f>N223+AH223</f>
        <v>0</v>
      </c>
      <c r="BA223" s="476">
        <f>O223+AT223</f>
        <v>3.2145999999999999</v>
      </c>
      <c r="BB223" s="476">
        <f t="shared" si="523"/>
        <v>3.2145999999999999</v>
      </c>
      <c r="BC223" s="478">
        <f t="shared" si="523"/>
        <v>0</v>
      </c>
    </row>
    <row r="224" spans="1:55" ht="14.1" customHeight="1" x14ac:dyDescent="0.2">
      <c r="A224" s="68">
        <v>46</v>
      </c>
      <c r="B224" s="65">
        <v>2488</v>
      </c>
      <c r="C224" s="66">
        <v>600079902</v>
      </c>
      <c r="D224" s="65">
        <v>70884978</v>
      </c>
      <c r="E224" s="67" t="s">
        <v>658</v>
      </c>
      <c r="F224" s="68">
        <v>3143</v>
      </c>
      <c r="G224" s="80" t="s">
        <v>627</v>
      </c>
      <c r="H224" s="69" t="s">
        <v>278</v>
      </c>
      <c r="I224" s="477">
        <v>71064</v>
      </c>
      <c r="J224" s="472">
        <v>50253</v>
      </c>
      <c r="K224" s="472">
        <v>0</v>
      </c>
      <c r="L224" s="472">
        <v>16986</v>
      </c>
      <c r="M224" s="472">
        <v>1005</v>
      </c>
      <c r="N224" s="472">
        <v>2820</v>
      </c>
      <c r="O224" s="473">
        <v>0.2</v>
      </c>
      <c r="P224" s="474">
        <v>0</v>
      </c>
      <c r="Q224" s="483">
        <v>0.2</v>
      </c>
      <c r="R224" s="485">
        <f t="shared" si="514"/>
        <v>0</v>
      </c>
      <c r="S224" s="475">
        <v>0</v>
      </c>
      <c r="T224" s="475">
        <v>0</v>
      </c>
      <c r="U224" s="475">
        <v>0</v>
      </c>
      <c r="V224" s="475">
        <v>0</v>
      </c>
      <c r="W224" s="475">
        <v>0</v>
      </c>
      <c r="X224" s="475">
        <f t="shared" si="515"/>
        <v>0</v>
      </c>
      <c r="Y224" s="475">
        <v>0</v>
      </c>
      <c r="Z224" s="475">
        <v>0</v>
      </c>
      <c r="AA224" s="475">
        <v>0</v>
      </c>
      <c r="AB224" s="475">
        <f t="shared" si="516"/>
        <v>0</v>
      </c>
      <c r="AC224" s="475">
        <f t="shared" si="517"/>
        <v>0</v>
      </c>
      <c r="AD224" s="70">
        <f t="shared" si="518"/>
        <v>0</v>
      </c>
      <c r="AE224" s="70">
        <f t="shared" si="519"/>
        <v>0</v>
      </c>
      <c r="AF224" s="475">
        <v>0</v>
      </c>
      <c r="AG224" s="475">
        <v>0</v>
      </c>
      <c r="AH224" s="475">
        <f t="shared" si="520"/>
        <v>0</v>
      </c>
      <c r="AI224" s="475">
        <f t="shared" si="521"/>
        <v>0</v>
      </c>
      <c r="AJ224" s="476">
        <v>0</v>
      </c>
      <c r="AK224" s="476">
        <v>0</v>
      </c>
      <c r="AL224" s="476">
        <v>0</v>
      </c>
      <c r="AM224" s="476">
        <v>0</v>
      </c>
      <c r="AN224" s="476">
        <v>0</v>
      </c>
      <c r="AO224" s="476">
        <v>0</v>
      </c>
      <c r="AP224" s="476">
        <v>0</v>
      </c>
      <c r="AQ224" s="476">
        <v>0</v>
      </c>
      <c r="AR224" s="476">
        <f t="shared" si="483"/>
        <v>0</v>
      </c>
      <c r="AS224" s="476">
        <f t="shared" si="484"/>
        <v>0</v>
      </c>
      <c r="AT224" s="478">
        <f t="shared" si="485"/>
        <v>0</v>
      </c>
      <c r="AU224" s="484">
        <f>I224+AI224</f>
        <v>71064</v>
      </c>
      <c r="AV224" s="475">
        <f>J224+X224</f>
        <v>50253</v>
      </c>
      <c r="AW224" s="475">
        <f>K224+AB224</f>
        <v>0</v>
      </c>
      <c r="AX224" s="475">
        <f t="shared" si="522"/>
        <v>16986</v>
      </c>
      <c r="AY224" s="475">
        <f t="shared" si="522"/>
        <v>1005</v>
      </c>
      <c r="AZ224" s="475">
        <f>N224+AH224</f>
        <v>2820</v>
      </c>
      <c r="BA224" s="476">
        <f>O224+AT224</f>
        <v>0.2</v>
      </c>
      <c r="BB224" s="476">
        <f t="shared" si="523"/>
        <v>0</v>
      </c>
      <c r="BC224" s="478">
        <f t="shared" si="523"/>
        <v>0.2</v>
      </c>
    </row>
    <row r="225" spans="1:55" ht="14.1" customHeight="1" x14ac:dyDescent="0.2">
      <c r="A225" s="74">
        <v>46</v>
      </c>
      <c r="B225" s="71">
        <v>2488</v>
      </c>
      <c r="C225" s="72">
        <v>600079902</v>
      </c>
      <c r="D225" s="71">
        <v>70884978</v>
      </c>
      <c r="E225" s="73" t="s">
        <v>659</v>
      </c>
      <c r="F225" s="74"/>
      <c r="G225" s="73"/>
      <c r="H225" s="75"/>
      <c r="I225" s="76">
        <v>33299673</v>
      </c>
      <c r="J225" s="77">
        <v>24034137</v>
      </c>
      <c r="K225" s="77">
        <v>79700</v>
      </c>
      <c r="L225" s="77">
        <v>8150479</v>
      </c>
      <c r="M225" s="77">
        <v>480683</v>
      </c>
      <c r="N225" s="77">
        <v>554674</v>
      </c>
      <c r="O225" s="78">
        <v>48.452300000000001</v>
      </c>
      <c r="P225" s="78">
        <v>36.116099999999996</v>
      </c>
      <c r="Q225" s="718">
        <v>12.336200000000002</v>
      </c>
      <c r="R225" s="76">
        <f t="shared" ref="R225:BC225" si="524">SUM(R220:R224)</f>
        <v>0</v>
      </c>
      <c r="S225" s="77">
        <f t="shared" si="524"/>
        <v>0</v>
      </c>
      <c r="T225" s="77">
        <f t="shared" si="524"/>
        <v>-414122</v>
      </c>
      <c r="U225" s="77">
        <f t="shared" si="524"/>
        <v>0</v>
      </c>
      <c r="V225" s="77">
        <f t="shared" si="524"/>
        <v>0</v>
      </c>
      <c r="W225" s="77">
        <f t="shared" si="524"/>
        <v>0</v>
      </c>
      <c r="X225" s="77">
        <f t="shared" si="524"/>
        <v>-414122</v>
      </c>
      <c r="Y225" s="77">
        <f t="shared" si="524"/>
        <v>0</v>
      </c>
      <c r="Z225" s="77">
        <f t="shared" si="524"/>
        <v>0</v>
      </c>
      <c r="AA225" s="77">
        <f t="shared" si="524"/>
        <v>0</v>
      </c>
      <c r="AB225" s="77">
        <f t="shared" si="524"/>
        <v>0</v>
      </c>
      <c r="AC225" s="77">
        <f t="shared" si="524"/>
        <v>-414122</v>
      </c>
      <c r="AD225" s="77">
        <f t="shared" si="524"/>
        <v>-139973</v>
      </c>
      <c r="AE225" s="77">
        <f t="shared" si="524"/>
        <v>-8282</v>
      </c>
      <c r="AF225" s="77">
        <f t="shared" si="524"/>
        <v>1500</v>
      </c>
      <c r="AG225" s="77">
        <f t="shared" si="524"/>
        <v>0</v>
      </c>
      <c r="AH225" s="77">
        <f t="shared" si="524"/>
        <v>1500</v>
      </c>
      <c r="AI225" s="77">
        <f t="shared" si="524"/>
        <v>-560877</v>
      </c>
      <c r="AJ225" s="78">
        <f t="shared" si="524"/>
        <v>0</v>
      </c>
      <c r="AK225" s="78">
        <f t="shared" si="524"/>
        <v>0</v>
      </c>
      <c r="AL225" s="78">
        <f t="shared" si="524"/>
        <v>0</v>
      </c>
      <c r="AM225" s="78">
        <f t="shared" si="524"/>
        <v>-0.55000000000000004</v>
      </c>
      <c r="AN225" s="78">
        <f t="shared" si="524"/>
        <v>-0.20000000000000018</v>
      </c>
      <c r="AO225" s="78">
        <f t="shared" si="524"/>
        <v>0</v>
      </c>
      <c r="AP225" s="78">
        <f t="shared" si="524"/>
        <v>0</v>
      </c>
      <c r="AQ225" s="78">
        <f t="shared" si="524"/>
        <v>0</v>
      </c>
      <c r="AR225" s="78">
        <f t="shared" si="524"/>
        <v>-0.55000000000000004</v>
      </c>
      <c r="AS225" s="78">
        <f t="shared" si="524"/>
        <v>-0.20000000000000018</v>
      </c>
      <c r="AT225" s="79">
        <f t="shared" si="524"/>
        <v>-0.75000000000000022</v>
      </c>
      <c r="AU225" s="433">
        <f t="shared" si="524"/>
        <v>32738796</v>
      </c>
      <c r="AV225" s="77">
        <f t="shared" si="524"/>
        <v>23620015</v>
      </c>
      <c r="AW225" s="77">
        <f t="shared" si="524"/>
        <v>79700</v>
      </c>
      <c r="AX225" s="77">
        <f t="shared" si="524"/>
        <v>8010506</v>
      </c>
      <c r="AY225" s="77">
        <f t="shared" si="524"/>
        <v>472401</v>
      </c>
      <c r="AZ225" s="77">
        <f t="shared" si="524"/>
        <v>556174</v>
      </c>
      <c r="BA225" s="78">
        <f t="shared" si="524"/>
        <v>47.702300000000001</v>
      </c>
      <c r="BB225" s="78">
        <f t="shared" si="524"/>
        <v>35.566099999999992</v>
      </c>
      <c r="BC225" s="79">
        <f t="shared" si="524"/>
        <v>12.136200000000001</v>
      </c>
    </row>
    <row r="226" spans="1:55" ht="14.1" customHeight="1" x14ac:dyDescent="0.2">
      <c r="A226" s="68">
        <v>47</v>
      </c>
      <c r="B226" s="65">
        <v>2472</v>
      </c>
      <c r="C226" s="66">
        <v>600080277</v>
      </c>
      <c r="D226" s="65">
        <v>72743131</v>
      </c>
      <c r="E226" s="67" t="s">
        <v>660</v>
      </c>
      <c r="F226" s="68">
        <v>3113</v>
      </c>
      <c r="G226" s="67" t="s">
        <v>314</v>
      </c>
      <c r="H226" s="69" t="s">
        <v>277</v>
      </c>
      <c r="I226" s="477">
        <v>28850221</v>
      </c>
      <c r="J226" s="472">
        <v>20574397</v>
      </c>
      <c r="K226" s="472">
        <v>290000</v>
      </c>
      <c r="L226" s="472">
        <v>7052166</v>
      </c>
      <c r="M226" s="472">
        <v>411488</v>
      </c>
      <c r="N226" s="472">
        <v>522170</v>
      </c>
      <c r="O226" s="473">
        <v>37.221199999999996</v>
      </c>
      <c r="P226" s="473">
        <v>28.541799999999999</v>
      </c>
      <c r="Q226" s="483">
        <v>8.6794000000000011</v>
      </c>
      <c r="R226" s="485">
        <f t="shared" ref="R226:R230" si="525">Y226*-1</f>
        <v>0</v>
      </c>
      <c r="S226" s="475">
        <v>0</v>
      </c>
      <c r="T226" s="475">
        <v>0</v>
      </c>
      <c r="U226" s="475">
        <v>95040</v>
      </c>
      <c r="V226" s="475">
        <v>0</v>
      </c>
      <c r="W226" s="475">
        <v>0</v>
      </c>
      <c r="X226" s="475">
        <f t="shared" ref="X226:X230" si="526">SUM(R226:W226)</f>
        <v>95040</v>
      </c>
      <c r="Y226" s="475">
        <v>0</v>
      </c>
      <c r="Z226" s="475">
        <v>0</v>
      </c>
      <c r="AA226" s="475">
        <v>0</v>
      </c>
      <c r="AB226" s="475">
        <f t="shared" ref="AB226:AB230" si="527">SUM(Y226:AA226)</f>
        <v>0</v>
      </c>
      <c r="AC226" s="475">
        <f t="shared" ref="AC226:AC230" si="528">X226+AB226</f>
        <v>95040</v>
      </c>
      <c r="AD226" s="70">
        <f t="shared" ref="AD226:AD230" si="529">ROUND((X226+Y226+Z226)*33.8%,0)</f>
        <v>32124</v>
      </c>
      <c r="AE226" s="70">
        <f t="shared" ref="AE226:AE230" si="530">ROUND(X226*2%,0)</f>
        <v>1901</v>
      </c>
      <c r="AF226" s="475">
        <v>0</v>
      </c>
      <c r="AG226" s="475">
        <v>0</v>
      </c>
      <c r="AH226" s="475">
        <f t="shared" ref="AH226:AH230" si="531">SUM(AF226:AG226)</f>
        <v>0</v>
      </c>
      <c r="AI226" s="475">
        <f t="shared" ref="AI226:AI230" si="532">AC226+AD226+AE226+AH226</f>
        <v>129065</v>
      </c>
      <c r="AJ226" s="476">
        <v>0</v>
      </c>
      <c r="AK226" s="476">
        <v>0</v>
      </c>
      <c r="AL226" s="476">
        <v>0</v>
      </c>
      <c r="AM226" s="476">
        <v>0</v>
      </c>
      <c r="AN226" s="476">
        <v>0</v>
      </c>
      <c r="AO226" s="476">
        <v>0.15</v>
      </c>
      <c r="AP226" s="476">
        <v>0</v>
      </c>
      <c r="AQ226" s="476">
        <v>0</v>
      </c>
      <c r="AR226" s="476">
        <f t="shared" si="483"/>
        <v>0.15</v>
      </c>
      <c r="AS226" s="476">
        <f t="shared" si="484"/>
        <v>0</v>
      </c>
      <c r="AT226" s="478">
        <f t="shared" si="485"/>
        <v>0.15</v>
      </c>
      <c r="AU226" s="484">
        <f>I226+AI226</f>
        <v>28979286</v>
      </c>
      <c r="AV226" s="475">
        <f>J226+X226</f>
        <v>20669437</v>
      </c>
      <c r="AW226" s="475">
        <f>K226+AB226</f>
        <v>290000</v>
      </c>
      <c r="AX226" s="475">
        <f t="shared" ref="AX226:AY230" si="533">L226+AD226</f>
        <v>7084290</v>
      </c>
      <c r="AY226" s="475">
        <f t="shared" si="533"/>
        <v>413389</v>
      </c>
      <c r="AZ226" s="475">
        <f>N226+AH226</f>
        <v>522170</v>
      </c>
      <c r="BA226" s="476">
        <f>O226+AT226</f>
        <v>37.371199999999995</v>
      </c>
      <c r="BB226" s="476">
        <f t="shared" ref="BB226:BC230" si="534">P226+AR226</f>
        <v>28.691799999999997</v>
      </c>
      <c r="BC226" s="478">
        <f t="shared" si="534"/>
        <v>8.6794000000000011</v>
      </c>
    </row>
    <row r="227" spans="1:55" ht="14.1" customHeight="1" x14ac:dyDescent="0.2">
      <c r="A227" s="68">
        <v>47</v>
      </c>
      <c r="B227" s="65">
        <v>2472</v>
      </c>
      <c r="C227" s="66">
        <v>600080277</v>
      </c>
      <c r="D227" s="65">
        <v>72743131</v>
      </c>
      <c r="E227" s="67" t="s">
        <v>660</v>
      </c>
      <c r="F227" s="68">
        <v>3113</v>
      </c>
      <c r="G227" s="80" t="s">
        <v>312</v>
      </c>
      <c r="H227" s="69" t="s">
        <v>278</v>
      </c>
      <c r="I227" s="477">
        <v>4049305</v>
      </c>
      <c r="J227" s="472">
        <v>2979974</v>
      </c>
      <c r="K227" s="472">
        <v>0</v>
      </c>
      <c r="L227" s="472">
        <v>1007231</v>
      </c>
      <c r="M227" s="472">
        <v>59600</v>
      </c>
      <c r="N227" s="472">
        <v>2500</v>
      </c>
      <c r="O227" s="473">
        <v>8.23</v>
      </c>
      <c r="P227" s="474">
        <v>8.23</v>
      </c>
      <c r="Q227" s="483">
        <v>0</v>
      </c>
      <c r="R227" s="485">
        <f t="shared" si="525"/>
        <v>0</v>
      </c>
      <c r="S227" s="475">
        <v>0</v>
      </c>
      <c r="T227" s="475">
        <v>0</v>
      </c>
      <c r="U227" s="475">
        <v>0</v>
      </c>
      <c r="V227" s="475">
        <v>0</v>
      </c>
      <c r="W227" s="475">
        <v>0</v>
      </c>
      <c r="X227" s="475">
        <f t="shared" si="526"/>
        <v>0</v>
      </c>
      <c r="Y227" s="475">
        <v>0</v>
      </c>
      <c r="Z227" s="475">
        <v>0</v>
      </c>
      <c r="AA227" s="475">
        <v>0</v>
      </c>
      <c r="AB227" s="475">
        <f t="shared" si="527"/>
        <v>0</v>
      </c>
      <c r="AC227" s="475">
        <f t="shared" si="528"/>
        <v>0</v>
      </c>
      <c r="AD227" s="70">
        <f t="shared" si="529"/>
        <v>0</v>
      </c>
      <c r="AE227" s="70">
        <f t="shared" si="530"/>
        <v>0</v>
      </c>
      <c r="AF227" s="475">
        <v>0</v>
      </c>
      <c r="AG227" s="475">
        <v>0</v>
      </c>
      <c r="AH227" s="475">
        <f t="shared" si="531"/>
        <v>0</v>
      </c>
      <c r="AI227" s="475">
        <f t="shared" si="532"/>
        <v>0</v>
      </c>
      <c r="AJ227" s="476">
        <v>0</v>
      </c>
      <c r="AK227" s="476">
        <v>0</v>
      </c>
      <c r="AL227" s="476">
        <v>0</v>
      </c>
      <c r="AM227" s="476">
        <v>0</v>
      </c>
      <c r="AN227" s="476">
        <v>0</v>
      </c>
      <c r="AO227" s="476">
        <v>0</v>
      </c>
      <c r="AP227" s="476">
        <v>0</v>
      </c>
      <c r="AQ227" s="476">
        <v>0</v>
      </c>
      <c r="AR227" s="476">
        <f t="shared" si="483"/>
        <v>0</v>
      </c>
      <c r="AS227" s="476">
        <f t="shared" si="484"/>
        <v>0</v>
      </c>
      <c r="AT227" s="478">
        <f t="shared" si="485"/>
        <v>0</v>
      </c>
      <c r="AU227" s="484">
        <f>I227+AI227</f>
        <v>4049305</v>
      </c>
      <c r="AV227" s="475">
        <f>J227+X227</f>
        <v>2979974</v>
      </c>
      <c r="AW227" s="475">
        <f>K227+AB227</f>
        <v>0</v>
      </c>
      <c r="AX227" s="475">
        <f t="shared" si="533"/>
        <v>1007231</v>
      </c>
      <c r="AY227" s="475">
        <f t="shared" si="533"/>
        <v>59600</v>
      </c>
      <c r="AZ227" s="475">
        <f>N227+AH227</f>
        <v>2500</v>
      </c>
      <c r="BA227" s="476">
        <f>O227+AT227</f>
        <v>8.23</v>
      </c>
      <c r="BB227" s="476">
        <f t="shared" si="534"/>
        <v>8.23</v>
      </c>
      <c r="BC227" s="478">
        <f t="shared" si="534"/>
        <v>0</v>
      </c>
    </row>
    <row r="228" spans="1:55" ht="14.1" customHeight="1" x14ac:dyDescent="0.2">
      <c r="A228" s="68">
        <v>47</v>
      </c>
      <c r="B228" s="65">
        <v>2472</v>
      </c>
      <c r="C228" s="66">
        <v>600080277</v>
      </c>
      <c r="D228" s="65">
        <v>72743131</v>
      </c>
      <c r="E228" s="67" t="s">
        <v>660</v>
      </c>
      <c r="F228" s="68">
        <v>3141</v>
      </c>
      <c r="G228" s="67" t="s">
        <v>315</v>
      </c>
      <c r="H228" s="69" t="s">
        <v>278</v>
      </c>
      <c r="I228" s="477">
        <v>1921999</v>
      </c>
      <c r="J228" s="472">
        <v>1393931</v>
      </c>
      <c r="K228" s="472">
        <v>10000</v>
      </c>
      <c r="L228" s="472">
        <v>474529</v>
      </c>
      <c r="M228" s="472">
        <v>27879</v>
      </c>
      <c r="N228" s="472">
        <v>15660</v>
      </c>
      <c r="O228" s="473">
        <v>4.42</v>
      </c>
      <c r="P228" s="474">
        <v>0</v>
      </c>
      <c r="Q228" s="483">
        <v>4.42</v>
      </c>
      <c r="R228" s="485">
        <f t="shared" si="525"/>
        <v>0</v>
      </c>
      <c r="S228" s="475">
        <v>0</v>
      </c>
      <c r="T228" s="755">
        <v>24670</v>
      </c>
      <c r="U228" s="475">
        <v>0</v>
      </c>
      <c r="V228" s="475">
        <v>0</v>
      </c>
      <c r="W228" s="475">
        <v>0</v>
      </c>
      <c r="X228" s="475">
        <f t="shared" si="526"/>
        <v>24670</v>
      </c>
      <c r="Y228" s="475">
        <v>0</v>
      </c>
      <c r="Z228" s="475">
        <v>0</v>
      </c>
      <c r="AA228" s="475">
        <v>0</v>
      </c>
      <c r="AB228" s="475">
        <f t="shared" si="527"/>
        <v>0</v>
      </c>
      <c r="AC228" s="475">
        <f t="shared" si="528"/>
        <v>24670</v>
      </c>
      <c r="AD228" s="70">
        <f t="shared" si="529"/>
        <v>8338</v>
      </c>
      <c r="AE228" s="70">
        <f t="shared" si="530"/>
        <v>493</v>
      </c>
      <c r="AF228" s="475">
        <v>0</v>
      </c>
      <c r="AG228" s="475">
        <v>0</v>
      </c>
      <c r="AH228" s="475">
        <f t="shared" si="531"/>
        <v>0</v>
      </c>
      <c r="AI228" s="475">
        <f t="shared" si="532"/>
        <v>33501</v>
      </c>
      <c r="AJ228" s="476">
        <v>0</v>
      </c>
      <c r="AK228" s="476">
        <v>0</v>
      </c>
      <c r="AL228" s="476">
        <v>0</v>
      </c>
      <c r="AM228" s="476">
        <v>0</v>
      </c>
      <c r="AN228" s="756">
        <v>8.0000000000000071E-2</v>
      </c>
      <c r="AO228" s="476">
        <v>0</v>
      </c>
      <c r="AP228" s="476">
        <v>0</v>
      </c>
      <c r="AQ228" s="476">
        <v>0</v>
      </c>
      <c r="AR228" s="476">
        <f t="shared" si="483"/>
        <v>0</v>
      </c>
      <c r="AS228" s="476">
        <f t="shared" si="484"/>
        <v>8.0000000000000071E-2</v>
      </c>
      <c r="AT228" s="478">
        <f t="shared" si="485"/>
        <v>8.0000000000000071E-2</v>
      </c>
      <c r="AU228" s="484">
        <f>I228+AI228</f>
        <v>1955500</v>
      </c>
      <c r="AV228" s="475">
        <f>J228+X228</f>
        <v>1418601</v>
      </c>
      <c r="AW228" s="475">
        <f>K228+AB228</f>
        <v>10000</v>
      </c>
      <c r="AX228" s="475">
        <f t="shared" si="533"/>
        <v>482867</v>
      </c>
      <c r="AY228" s="475">
        <f t="shared" si="533"/>
        <v>28372</v>
      </c>
      <c r="AZ228" s="475">
        <f>N228+AH228</f>
        <v>15660</v>
      </c>
      <c r="BA228" s="476">
        <f>O228+AT228</f>
        <v>4.5</v>
      </c>
      <c r="BB228" s="476">
        <f t="shared" si="534"/>
        <v>0</v>
      </c>
      <c r="BC228" s="478">
        <f t="shared" si="534"/>
        <v>4.5</v>
      </c>
    </row>
    <row r="229" spans="1:55" ht="14.1" customHeight="1" x14ac:dyDescent="0.2">
      <c r="A229" s="68">
        <v>47</v>
      </c>
      <c r="B229" s="65">
        <v>2472</v>
      </c>
      <c r="C229" s="66">
        <v>600080277</v>
      </c>
      <c r="D229" s="65">
        <v>72743131</v>
      </c>
      <c r="E229" s="67" t="s">
        <v>660</v>
      </c>
      <c r="F229" s="68">
        <v>3143</v>
      </c>
      <c r="G229" s="80" t="s">
        <v>626</v>
      </c>
      <c r="H229" s="69" t="s">
        <v>277</v>
      </c>
      <c r="I229" s="477">
        <v>3036790</v>
      </c>
      <c r="J229" s="472">
        <v>2226370</v>
      </c>
      <c r="K229" s="472">
        <v>10000</v>
      </c>
      <c r="L229" s="472">
        <v>755893</v>
      </c>
      <c r="M229" s="472">
        <v>44527</v>
      </c>
      <c r="N229" s="472">
        <v>0</v>
      </c>
      <c r="O229" s="473">
        <v>4.4286000000000003</v>
      </c>
      <c r="P229" s="473">
        <v>4.4286000000000003</v>
      </c>
      <c r="Q229" s="483">
        <v>0</v>
      </c>
      <c r="R229" s="485">
        <f t="shared" si="525"/>
        <v>0</v>
      </c>
      <c r="S229" s="475">
        <v>0</v>
      </c>
      <c r="T229" s="475">
        <v>0</v>
      </c>
      <c r="U229" s="475">
        <v>0</v>
      </c>
      <c r="V229" s="475">
        <v>0</v>
      </c>
      <c r="W229" s="475">
        <v>0</v>
      </c>
      <c r="X229" s="475">
        <f t="shared" si="526"/>
        <v>0</v>
      </c>
      <c r="Y229" s="475">
        <v>0</v>
      </c>
      <c r="Z229" s="475">
        <v>0</v>
      </c>
      <c r="AA229" s="475">
        <v>0</v>
      </c>
      <c r="AB229" s="475">
        <f t="shared" si="527"/>
        <v>0</v>
      </c>
      <c r="AC229" s="475">
        <f t="shared" si="528"/>
        <v>0</v>
      </c>
      <c r="AD229" s="70">
        <f t="shared" si="529"/>
        <v>0</v>
      </c>
      <c r="AE229" s="70">
        <f t="shared" si="530"/>
        <v>0</v>
      </c>
      <c r="AF229" s="475">
        <v>0</v>
      </c>
      <c r="AG229" s="475">
        <v>0</v>
      </c>
      <c r="AH229" s="475">
        <f t="shared" si="531"/>
        <v>0</v>
      </c>
      <c r="AI229" s="475">
        <f t="shared" si="532"/>
        <v>0</v>
      </c>
      <c r="AJ229" s="476">
        <v>0</v>
      </c>
      <c r="AK229" s="476">
        <v>0</v>
      </c>
      <c r="AL229" s="476">
        <v>0</v>
      </c>
      <c r="AM229" s="476">
        <v>0</v>
      </c>
      <c r="AN229" s="476">
        <v>0</v>
      </c>
      <c r="AO229" s="476">
        <v>0</v>
      </c>
      <c r="AP229" s="476">
        <v>0</v>
      </c>
      <c r="AQ229" s="476">
        <v>0</v>
      </c>
      <c r="AR229" s="476">
        <f t="shared" si="483"/>
        <v>0</v>
      </c>
      <c r="AS229" s="476">
        <f t="shared" si="484"/>
        <v>0</v>
      </c>
      <c r="AT229" s="478">
        <f t="shared" si="485"/>
        <v>0</v>
      </c>
      <c r="AU229" s="484">
        <f>I229+AI229</f>
        <v>3036790</v>
      </c>
      <c r="AV229" s="475">
        <f>J229+X229</f>
        <v>2226370</v>
      </c>
      <c r="AW229" s="475">
        <f>K229+AB229</f>
        <v>10000</v>
      </c>
      <c r="AX229" s="475">
        <f t="shared" si="533"/>
        <v>755893</v>
      </c>
      <c r="AY229" s="475">
        <f t="shared" si="533"/>
        <v>44527</v>
      </c>
      <c r="AZ229" s="475">
        <f>N229+AH229</f>
        <v>0</v>
      </c>
      <c r="BA229" s="476">
        <f>O229+AT229</f>
        <v>4.4286000000000003</v>
      </c>
      <c r="BB229" s="476">
        <f t="shared" si="534"/>
        <v>4.4286000000000003</v>
      </c>
      <c r="BC229" s="478">
        <f t="shared" si="534"/>
        <v>0</v>
      </c>
    </row>
    <row r="230" spans="1:55" ht="14.1" customHeight="1" x14ac:dyDescent="0.2">
      <c r="A230" s="68">
        <v>47</v>
      </c>
      <c r="B230" s="65">
        <v>2472</v>
      </c>
      <c r="C230" s="66">
        <v>600080277</v>
      </c>
      <c r="D230" s="65">
        <v>72743131</v>
      </c>
      <c r="E230" s="67" t="s">
        <v>660</v>
      </c>
      <c r="F230" s="68">
        <v>3143</v>
      </c>
      <c r="G230" s="80" t="s">
        <v>627</v>
      </c>
      <c r="H230" s="69" t="s">
        <v>278</v>
      </c>
      <c r="I230" s="477">
        <v>83917</v>
      </c>
      <c r="J230" s="472">
        <v>59342</v>
      </c>
      <c r="K230" s="472">
        <v>0</v>
      </c>
      <c r="L230" s="472">
        <v>20058</v>
      </c>
      <c r="M230" s="472">
        <v>1187</v>
      </c>
      <c r="N230" s="472">
        <v>3330</v>
      </c>
      <c r="O230" s="473">
        <v>0.23</v>
      </c>
      <c r="P230" s="474">
        <v>0</v>
      </c>
      <c r="Q230" s="483">
        <v>0.23</v>
      </c>
      <c r="R230" s="485">
        <f t="shared" si="525"/>
        <v>0</v>
      </c>
      <c r="S230" s="475">
        <v>0</v>
      </c>
      <c r="T230" s="475">
        <v>0</v>
      </c>
      <c r="U230" s="475">
        <v>0</v>
      </c>
      <c r="V230" s="475">
        <v>0</v>
      </c>
      <c r="W230" s="475">
        <v>0</v>
      </c>
      <c r="X230" s="475">
        <f t="shared" si="526"/>
        <v>0</v>
      </c>
      <c r="Y230" s="475">
        <v>0</v>
      </c>
      <c r="Z230" s="475">
        <v>0</v>
      </c>
      <c r="AA230" s="475">
        <v>0</v>
      </c>
      <c r="AB230" s="475">
        <f t="shared" si="527"/>
        <v>0</v>
      </c>
      <c r="AC230" s="475">
        <f t="shared" si="528"/>
        <v>0</v>
      </c>
      <c r="AD230" s="70">
        <f t="shared" si="529"/>
        <v>0</v>
      </c>
      <c r="AE230" s="70">
        <f t="shared" si="530"/>
        <v>0</v>
      </c>
      <c r="AF230" s="475">
        <v>0</v>
      </c>
      <c r="AG230" s="475">
        <v>0</v>
      </c>
      <c r="AH230" s="475">
        <f t="shared" si="531"/>
        <v>0</v>
      </c>
      <c r="AI230" s="475">
        <f t="shared" si="532"/>
        <v>0</v>
      </c>
      <c r="AJ230" s="476">
        <v>0</v>
      </c>
      <c r="AK230" s="476">
        <v>0</v>
      </c>
      <c r="AL230" s="476">
        <v>0</v>
      </c>
      <c r="AM230" s="476">
        <v>0</v>
      </c>
      <c r="AN230" s="476">
        <v>0</v>
      </c>
      <c r="AO230" s="476">
        <v>0</v>
      </c>
      <c r="AP230" s="476">
        <v>0</v>
      </c>
      <c r="AQ230" s="476">
        <v>0</v>
      </c>
      <c r="AR230" s="476">
        <f t="shared" si="483"/>
        <v>0</v>
      </c>
      <c r="AS230" s="476">
        <f t="shared" si="484"/>
        <v>0</v>
      </c>
      <c r="AT230" s="478">
        <f t="shared" si="485"/>
        <v>0</v>
      </c>
      <c r="AU230" s="484">
        <f>I230+AI230</f>
        <v>83917</v>
      </c>
      <c r="AV230" s="475">
        <f>J230+X230</f>
        <v>59342</v>
      </c>
      <c r="AW230" s="475">
        <f>K230+AB230</f>
        <v>0</v>
      </c>
      <c r="AX230" s="475">
        <f t="shared" si="533"/>
        <v>20058</v>
      </c>
      <c r="AY230" s="475">
        <f t="shared" si="533"/>
        <v>1187</v>
      </c>
      <c r="AZ230" s="475">
        <f>N230+AH230</f>
        <v>3330</v>
      </c>
      <c r="BA230" s="476">
        <f>O230+AT230</f>
        <v>0.23</v>
      </c>
      <c r="BB230" s="476">
        <f t="shared" si="534"/>
        <v>0</v>
      </c>
      <c r="BC230" s="478">
        <f t="shared" si="534"/>
        <v>0.23</v>
      </c>
    </row>
    <row r="231" spans="1:55" ht="14.1" customHeight="1" x14ac:dyDescent="0.2">
      <c r="A231" s="74">
        <v>47</v>
      </c>
      <c r="B231" s="71">
        <v>2472</v>
      </c>
      <c r="C231" s="72">
        <v>600080277</v>
      </c>
      <c r="D231" s="71">
        <v>72743131</v>
      </c>
      <c r="E231" s="73" t="s">
        <v>661</v>
      </c>
      <c r="F231" s="74"/>
      <c r="G231" s="73"/>
      <c r="H231" s="75"/>
      <c r="I231" s="76">
        <v>37942232</v>
      </c>
      <c r="J231" s="77">
        <v>27234014</v>
      </c>
      <c r="K231" s="77">
        <v>310000</v>
      </c>
      <c r="L231" s="77">
        <v>9309877</v>
      </c>
      <c r="M231" s="77">
        <v>544681</v>
      </c>
      <c r="N231" s="77">
        <v>543660</v>
      </c>
      <c r="O231" s="78">
        <v>54.529800000000002</v>
      </c>
      <c r="P231" s="78">
        <v>41.200400000000002</v>
      </c>
      <c r="Q231" s="718">
        <v>13.329400000000001</v>
      </c>
      <c r="R231" s="76">
        <f t="shared" ref="R231:BC231" si="535">SUM(R226:R230)</f>
        <v>0</v>
      </c>
      <c r="S231" s="77">
        <f t="shared" si="535"/>
        <v>0</v>
      </c>
      <c r="T231" s="77">
        <f t="shared" si="535"/>
        <v>24670</v>
      </c>
      <c r="U231" s="77">
        <f t="shared" si="535"/>
        <v>95040</v>
      </c>
      <c r="V231" s="77">
        <f t="shared" si="535"/>
        <v>0</v>
      </c>
      <c r="W231" s="77">
        <f t="shared" si="535"/>
        <v>0</v>
      </c>
      <c r="X231" s="77">
        <f t="shared" si="535"/>
        <v>119710</v>
      </c>
      <c r="Y231" s="77">
        <f t="shared" si="535"/>
        <v>0</v>
      </c>
      <c r="Z231" s="77">
        <f t="shared" si="535"/>
        <v>0</v>
      </c>
      <c r="AA231" s="77">
        <f t="shared" si="535"/>
        <v>0</v>
      </c>
      <c r="AB231" s="77">
        <f t="shared" si="535"/>
        <v>0</v>
      </c>
      <c r="AC231" s="77">
        <f t="shared" si="535"/>
        <v>119710</v>
      </c>
      <c r="AD231" s="77">
        <f t="shared" si="535"/>
        <v>40462</v>
      </c>
      <c r="AE231" s="77">
        <f t="shared" si="535"/>
        <v>2394</v>
      </c>
      <c r="AF231" s="77">
        <f t="shared" si="535"/>
        <v>0</v>
      </c>
      <c r="AG231" s="77">
        <f t="shared" si="535"/>
        <v>0</v>
      </c>
      <c r="AH231" s="77">
        <f t="shared" si="535"/>
        <v>0</v>
      </c>
      <c r="AI231" s="77">
        <f t="shared" si="535"/>
        <v>162566</v>
      </c>
      <c r="AJ231" s="78">
        <f t="shared" si="535"/>
        <v>0</v>
      </c>
      <c r="AK231" s="78">
        <f t="shared" si="535"/>
        <v>0</v>
      </c>
      <c r="AL231" s="78">
        <f t="shared" si="535"/>
        <v>0</v>
      </c>
      <c r="AM231" s="78">
        <f t="shared" si="535"/>
        <v>0</v>
      </c>
      <c r="AN231" s="78">
        <f t="shared" si="535"/>
        <v>8.0000000000000071E-2</v>
      </c>
      <c r="AO231" s="78">
        <f t="shared" si="535"/>
        <v>0.15</v>
      </c>
      <c r="AP231" s="78">
        <f t="shared" si="535"/>
        <v>0</v>
      </c>
      <c r="AQ231" s="78">
        <f t="shared" si="535"/>
        <v>0</v>
      </c>
      <c r="AR231" s="78">
        <f t="shared" si="535"/>
        <v>0.15</v>
      </c>
      <c r="AS231" s="78">
        <f t="shared" si="535"/>
        <v>8.0000000000000071E-2</v>
      </c>
      <c r="AT231" s="79">
        <f t="shared" si="535"/>
        <v>0.23000000000000007</v>
      </c>
      <c r="AU231" s="433">
        <f t="shared" si="535"/>
        <v>38104798</v>
      </c>
      <c r="AV231" s="77">
        <f t="shared" si="535"/>
        <v>27353724</v>
      </c>
      <c r="AW231" s="77">
        <f t="shared" si="535"/>
        <v>310000</v>
      </c>
      <c r="AX231" s="77">
        <f t="shared" si="535"/>
        <v>9350339</v>
      </c>
      <c r="AY231" s="77">
        <f t="shared" si="535"/>
        <v>547075</v>
      </c>
      <c r="AZ231" s="77">
        <f t="shared" si="535"/>
        <v>543660</v>
      </c>
      <c r="BA231" s="78">
        <f t="shared" si="535"/>
        <v>54.759799999999991</v>
      </c>
      <c r="BB231" s="78">
        <f t="shared" si="535"/>
        <v>41.3504</v>
      </c>
      <c r="BC231" s="79">
        <f t="shared" si="535"/>
        <v>13.409400000000002</v>
      </c>
    </row>
    <row r="232" spans="1:55" ht="14.1" customHeight="1" x14ac:dyDescent="0.2">
      <c r="A232" s="68">
        <v>48</v>
      </c>
      <c r="B232" s="65">
        <v>2489</v>
      </c>
      <c r="C232" s="66">
        <v>600080188</v>
      </c>
      <c r="D232" s="65">
        <v>64040402</v>
      </c>
      <c r="E232" s="67" t="s">
        <v>662</v>
      </c>
      <c r="F232" s="68">
        <v>3113</v>
      </c>
      <c r="G232" s="67" t="s">
        <v>314</v>
      </c>
      <c r="H232" s="69" t="s">
        <v>277</v>
      </c>
      <c r="I232" s="477">
        <v>31421294</v>
      </c>
      <c r="J232" s="472">
        <v>22418655</v>
      </c>
      <c r="K232" s="472">
        <v>205000</v>
      </c>
      <c r="L232" s="472">
        <v>7646796</v>
      </c>
      <c r="M232" s="472">
        <v>448373</v>
      </c>
      <c r="N232" s="472">
        <v>702470</v>
      </c>
      <c r="O232" s="473">
        <v>39.062200000000004</v>
      </c>
      <c r="P232" s="473">
        <v>30.262799999999999</v>
      </c>
      <c r="Q232" s="483">
        <v>8.7993999999999986</v>
      </c>
      <c r="R232" s="485">
        <f t="shared" ref="R232:R236" si="536">Y232*-1</f>
        <v>0</v>
      </c>
      <c r="S232" s="475">
        <v>0</v>
      </c>
      <c r="T232" s="475">
        <v>0</v>
      </c>
      <c r="U232" s="475">
        <v>7722</v>
      </c>
      <c r="V232" s="475">
        <v>0</v>
      </c>
      <c r="W232" s="475">
        <v>0</v>
      </c>
      <c r="X232" s="475">
        <f t="shared" ref="X232:X236" si="537">SUM(R232:W232)</f>
        <v>7722</v>
      </c>
      <c r="Y232" s="475">
        <v>0</v>
      </c>
      <c r="Z232" s="475">
        <v>0</v>
      </c>
      <c r="AA232" s="475">
        <v>0</v>
      </c>
      <c r="AB232" s="475">
        <f t="shared" ref="AB232:AB236" si="538">SUM(Y232:AA232)</f>
        <v>0</v>
      </c>
      <c r="AC232" s="475">
        <f t="shared" ref="AC232:AC236" si="539">X232+AB232</f>
        <v>7722</v>
      </c>
      <c r="AD232" s="70">
        <f t="shared" ref="AD232:AD236" si="540">ROUND((X232+Y232+Z232)*33.8%,0)</f>
        <v>2610</v>
      </c>
      <c r="AE232" s="70">
        <f t="shared" ref="AE232:AE236" si="541">ROUND(X232*2%,0)</f>
        <v>154</v>
      </c>
      <c r="AF232" s="475">
        <v>0</v>
      </c>
      <c r="AG232" s="475">
        <v>0</v>
      </c>
      <c r="AH232" s="475">
        <f t="shared" ref="AH232:AH236" si="542">SUM(AF232:AG232)</f>
        <v>0</v>
      </c>
      <c r="AI232" s="475">
        <f t="shared" ref="AI232:AI236" si="543">AC232+AD232+AE232+AH232</f>
        <v>10486</v>
      </c>
      <c r="AJ232" s="476">
        <v>0</v>
      </c>
      <c r="AK232" s="476">
        <v>0</v>
      </c>
      <c r="AL232" s="476">
        <v>0</v>
      </c>
      <c r="AM232" s="476">
        <v>0</v>
      </c>
      <c r="AN232" s="476">
        <v>0</v>
      </c>
      <c r="AO232" s="476">
        <v>0.01</v>
      </c>
      <c r="AP232" s="476">
        <v>0</v>
      </c>
      <c r="AQ232" s="476">
        <v>0</v>
      </c>
      <c r="AR232" s="476">
        <f t="shared" si="483"/>
        <v>0.01</v>
      </c>
      <c r="AS232" s="476">
        <f t="shared" si="484"/>
        <v>0</v>
      </c>
      <c r="AT232" s="478">
        <f t="shared" si="485"/>
        <v>0.01</v>
      </c>
      <c r="AU232" s="484">
        <f>I232+AI232</f>
        <v>31431780</v>
      </c>
      <c r="AV232" s="475">
        <f>J232+X232</f>
        <v>22426377</v>
      </c>
      <c r="AW232" s="475">
        <f>K232+AB232</f>
        <v>205000</v>
      </c>
      <c r="AX232" s="475">
        <f t="shared" ref="AX232:AY236" si="544">L232+AD232</f>
        <v>7649406</v>
      </c>
      <c r="AY232" s="475">
        <f t="shared" si="544"/>
        <v>448527</v>
      </c>
      <c r="AZ232" s="475">
        <f>N232+AH232</f>
        <v>702470</v>
      </c>
      <c r="BA232" s="476">
        <f>O232+AT232</f>
        <v>39.072200000000002</v>
      </c>
      <c r="BB232" s="476">
        <f t="shared" ref="BB232:BC236" si="545">P232+AR232</f>
        <v>30.2728</v>
      </c>
      <c r="BC232" s="478">
        <f t="shared" si="545"/>
        <v>8.7993999999999986</v>
      </c>
    </row>
    <row r="233" spans="1:55" ht="14.1" customHeight="1" x14ac:dyDescent="0.2">
      <c r="A233" s="68">
        <v>48</v>
      </c>
      <c r="B233" s="65">
        <v>2489</v>
      </c>
      <c r="C233" s="66">
        <v>600080188</v>
      </c>
      <c r="D233" s="65">
        <v>64040402</v>
      </c>
      <c r="E233" s="67" t="s">
        <v>662</v>
      </c>
      <c r="F233" s="68">
        <v>3113</v>
      </c>
      <c r="G233" s="80" t="s">
        <v>312</v>
      </c>
      <c r="H233" s="69" t="s">
        <v>278</v>
      </c>
      <c r="I233" s="477">
        <v>2593811</v>
      </c>
      <c r="J233" s="472">
        <v>1905973</v>
      </c>
      <c r="K233" s="472">
        <v>0</v>
      </c>
      <c r="L233" s="472">
        <v>644219</v>
      </c>
      <c r="M233" s="472">
        <v>38119</v>
      </c>
      <c r="N233" s="472">
        <v>5500</v>
      </c>
      <c r="O233" s="473">
        <v>5.43</v>
      </c>
      <c r="P233" s="474">
        <v>5.43</v>
      </c>
      <c r="Q233" s="483">
        <v>0</v>
      </c>
      <c r="R233" s="485">
        <f t="shared" si="536"/>
        <v>0</v>
      </c>
      <c r="S233" s="475">
        <v>0</v>
      </c>
      <c r="T233" s="475">
        <v>0</v>
      </c>
      <c r="U233" s="475">
        <v>0</v>
      </c>
      <c r="V233" s="475">
        <v>0</v>
      </c>
      <c r="W233" s="475">
        <v>0</v>
      </c>
      <c r="X233" s="475">
        <f t="shared" si="537"/>
        <v>0</v>
      </c>
      <c r="Y233" s="475">
        <v>0</v>
      </c>
      <c r="Z233" s="475">
        <v>0</v>
      </c>
      <c r="AA233" s="475">
        <v>0</v>
      </c>
      <c r="AB233" s="475">
        <f t="shared" si="538"/>
        <v>0</v>
      </c>
      <c r="AC233" s="475">
        <f t="shared" si="539"/>
        <v>0</v>
      </c>
      <c r="AD233" s="70">
        <f t="shared" si="540"/>
        <v>0</v>
      </c>
      <c r="AE233" s="70">
        <f t="shared" si="541"/>
        <v>0</v>
      </c>
      <c r="AF233" s="475">
        <v>10000</v>
      </c>
      <c r="AG233" s="475">
        <v>0</v>
      </c>
      <c r="AH233" s="475">
        <f t="shared" si="542"/>
        <v>10000</v>
      </c>
      <c r="AI233" s="475">
        <f t="shared" si="543"/>
        <v>10000</v>
      </c>
      <c r="AJ233" s="476">
        <v>0</v>
      </c>
      <c r="AK233" s="476">
        <v>0</v>
      </c>
      <c r="AL233" s="476">
        <v>0</v>
      </c>
      <c r="AM233" s="476">
        <v>0</v>
      </c>
      <c r="AN233" s="476">
        <v>0</v>
      </c>
      <c r="AO233" s="476">
        <v>0</v>
      </c>
      <c r="AP233" s="476">
        <v>0</v>
      </c>
      <c r="AQ233" s="476">
        <v>0</v>
      </c>
      <c r="AR233" s="476">
        <f t="shared" si="483"/>
        <v>0</v>
      </c>
      <c r="AS233" s="476">
        <f t="shared" si="484"/>
        <v>0</v>
      </c>
      <c r="AT233" s="478">
        <f t="shared" si="485"/>
        <v>0</v>
      </c>
      <c r="AU233" s="484">
        <f>I233+AI233</f>
        <v>2603811</v>
      </c>
      <c r="AV233" s="475">
        <f>J233+X233</f>
        <v>1905973</v>
      </c>
      <c r="AW233" s="475">
        <f>K233+AB233</f>
        <v>0</v>
      </c>
      <c r="AX233" s="475">
        <f t="shared" si="544"/>
        <v>644219</v>
      </c>
      <c r="AY233" s="475">
        <f t="shared" si="544"/>
        <v>38119</v>
      </c>
      <c r="AZ233" s="475">
        <f>N233+AH233</f>
        <v>15500</v>
      </c>
      <c r="BA233" s="476">
        <f>O233+AT233</f>
        <v>5.43</v>
      </c>
      <c r="BB233" s="476">
        <f t="shared" si="545"/>
        <v>5.43</v>
      </c>
      <c r="BC233" s="478">
        <f t="shared" si="545"/>
        <v>0</v>
      </c>
    </row>
    <row r="234" spans="1:55" ht="14.1" customHeight="1" x14ac:dyDescent="0.2">
      <c r="A234" s="68">
        <v>48</v>
      </c>
      <c r="B234" s="65">
        <v>2489</v>
      </c>
      <c r="C234" s="66">
        <v>600080188</v>
      </c>
      <c r="D234" s="65">
        <v>64040402</v>
      </c>
      <c r="E234" s="67" t="s">
        <v>662</v>
      </c>
      <c r="F234" s="68">
        <v>3141</v>
      </c>
      <c r="G234" s="67" t="s">
        <v>315</v>
      </c>
      <c r="H234" s="69" t="s">
        <v>278</v>
      </c>
      <c r="I234" s="477">
        <v>2841673</v>
      </c>
      <c r="J234" s="472">
        <v>2054045</v>
      </c>
      <c r="K234" s="472">
        <v>20000</v>
      </c>
      <c r="L234" s="472">
        <v>701027</v>
      </c>
      <c r="M234" s="472">
        <v>41081</v>
      </c>
      <c r="N234" s="472">
        <v>25520</v>
      </c>
      <c r="O234" s="473">
        <v>6.53</v>
      </c>
      <c r="P234" s="474">
        <v>0</v>
      </c>
      <c r="Q234" s="483">
        <v>6.53</v>
      </c>
      <c r="R234" s="485">
        <f t="shared" si="536"/>
        <v>0</v>
      </c>
      <c r="S234" s="475">
        <v>0</v>
      </c>
      <c r="T234" s="755">
        <v>10059</v>
      </c>
      <c r="U234" s="475">
        <v>0</v>
      </c>
      <c r="V234" s="475">
        <v>0</v>
      </c>
      <c r="W234" s="475">
        <v>0</v>
      </c>
      <c r="X234" s="475">
        <f t="shared" si="537"/>
        <v>10059</v>
      </c>
      <c r="Y234" s="475">
        <v>0</v>
      </c>
      <c r="Z234" s="475">
        <v>0</v>
      </c>
      <c r="AA234" s="475">
        <v>0</v>
      </c>
      <c r="AB234" s="475">
        <f t="shared" si="538"/>
        <v>0</v>
      </c>
      <c r="AC234" s="475">
        <f t="shared" si="539"/>
        <v>10059</v>
      </c>
      <c r="AD234" s="70">
        <f t="shared" si="540"/>
        <v>3400</v>
      </c>
      <c r="AE234" s="70">
        <f t="shared" si="541"/>
        <v>201</v>
      </c>
      <c r="AF234" s="475">
        <v>0</v>
      </c>
      <c r="AG234" s="475">
        <v>0</v>
      </c>
      <c r="AH234" s="475">
        <f t="shared" si="542"/>
        <v>0</v>
      </c>
      <c r="AI234" s="475">
        <f t="shared" si="543"/>
        <v>13660</v>
      </c>
      <c r="AJ234" s="476">
        <v>0</v>
      </c>
      <c r="AK234" s="476">
        <v>0</v>
      </c>
      <c r="AL234" s="476">
        <v>0</v>
      </c>
      <c r="AM234" s="476">
        <v>0</v>
      </c>
      <c r="AN234" s="756">
        <v>2.9999999999999805E-2</v>
      </c>
      <c r="AO234" s="476">
        <v>0</v>
      </c>
      <c r="AP234" s="476">
        <v>0</v>
      </c>
      <c r="AQ234" s="476">
        <v>0</v>
      </c>
      <c r="AR234" s="476">
        <f t="shared" si="483"/>
        <v>0</v>
      </c>
      <c r="AS234" s="476">
        <f t="shared" si="484"/>
        <v>2.9999999999999805E-2</v>
      </c>
      <c r="AT234" s="478">
        <f t="shared" si="485"/>
        <v>2.9999999999999805E-2</v>
      </c>
      <c r="AU234" s="484">
        <f>I234+AI234</f>
        <v>2855333</v>
      </c>
      <c r="AV234" s="475">
        <f>J234+X234</f>
        <v>2064104</v>
      </c>
      <c r="AW234" s="475">
        <f>K234+AB234</f>
        <v>20000</v>
      </c>
      <c r="AX234" s="475">
        <f t="shared" si="544"/>
        <v>704427</v>
      </c>
      <c r="AY234" s="475">
        <f t="shared" si="544"/>
        <v>41282</v>
      </c>
      <c r="AZ234" s="475">
        <f>N234+AH234</f>
        <v>25520</v>
      </c>
      <c r="BA234" s="476">
        <f>O234+AT234</f>
        <v>6.5600000000000005</v>
      </c>
      <c r="BB234" s="476">
        <f t="shared" si="545"/>
        <v>0</v>
      </c>
      <c r="BC234" s="478">
        <f t="shared" si="545"/>
        <v>6.5600000000000005</v>
      </c>
    </row>
    <row r="235" spans="1:55" ht="14.1" customHeight="1" x14ac:dyDescent="0.2">
      <c r="A235" s="68">
        <v>48</v>
      </c>
      <c r="B235" s="65">
        <v>2489</v>
      </c>
      <c r="C235" s="66">
        <v>600080188</v>
      </c>
      <c r="D235" s="65">
        <v>64040402</v>
      </c>
      <c r="E235" s="67" t="s">
        <v>662</v>
      </c>
      <c r="F235" s="68">
        <v>3143</v>
      </c>
      <c r="G235" s="80" t="s">
        <v>626</v>
      </c>
      <c r="H235" s="69" t="s">
        <v>277</v>
      </c>
      <c r="I235" s="477">
        <v>2683353</v>
      </c>
      <c r="J235" s="472">
        <v>1966107</v>
      </c>
      <c r="K235" s="472">
        <v>10000</v>
      </c>
      <c r="L235" s="472">
        <v>667924</v>
      </c>
      <c r="M235" s="472">
        <v>39322</v>
      </c>
      <c r="N235" s="472">
        <v>0</v>
      </c>
      <c r="O235" s="473">
        <v>3.9666000000000001</v>
      </c>
      <c r="P235" s="473">
        <v>3.9666000000000001</v>
      </c>
      <c r="Q235" s="483">
        <v>0</v>
      </c>
      <c r="R235" s="485">
        <f t="shared" si="536"/>
        <v>0</v>
      </c>
      <c r="S235" s="475">
        <v>0</v>
      </c>
      <c r="T235" s="475">
        <v>0</v>
      </c>
      <c r="U235" s="475">
        <v>0</v>
      </c>
      <c r="V235" s="475">
        <v>0</v>
      </c>
      <c r="W235" s="475">
        <v>0</v>
      </c>
      <c r="X235" s="475">
        <f t="shared" si="537"/>
        <v>0</v>
      </c>
      <c r="Y235" s="475">
        <v>0</v>
      </c>
      <c r="Z235" s="475">
        <v>0</v>
      </c>
      <c r="AA235" s="475">
        <v>0</v>
      </c>
      <c r="AB235" s="475">
        <f t="shared" si="538"/>
        <v>0</v>
      </c>
      <c r="AC235" s="475">
        <f t="shared" si="539"/>
        <v>0</v>
      </c>
      <c r="AD235" s="70">
        <f t="shared" si="540"/>
        <v>0</v>
      </c>
      <c r="AE235" s="70">
        <f t="shared" si="541"/>
        <v>0</v>
      </c>
      <c r="AF235" s="475">
        <v>0</v>
      </c>
      <c r="AG235" s="475">
        <v>0</v>
      </c>
      <c r="AH235" s="475">
        <f t="shared" si="542"/>
        <v>0</v>
      </c>
      <c r="AI235" s="475">
        <f t="shared" si="543"/>
        <v>0</v>
      </c>
      <c r="AJ235" s="476">
        <v>0</v>
      </c>
      <c r="AK235" s="476">
        <v>0</v>
      </c>
      <c r="AL235" s="476">
        <v>0</v>
      </c>
      <c r="AM235" s="476">
        <v>0</v>
      </c>
      <c r="AN235" s="476">
        <v>0</v>
      </c>
      <c r="AO235" s="476">
        <v>0</v>
      </c>
      <c r="AP235" s="476">
        <v>0</v>
      </c>
      <c r="AQ235" s="476">
        <v>0</v>
      </c>
      <c r="AR235" s="476">
        <f t="shared" si="483"/>
        <v>0</v>
      </c>
      <c r="AS235" s="476">
        <f t="shared" si="484"/>
        <v>0</v>
      </c>
      <c r="AT235" s="478">
        <f t="shared" si="485"/>
        <v>0</v>
      </c>
      <c r="AU235" s="484">
        <f>I235+AI235</f>
        <v>2683353</v>
      </c>
      <c r="AV235" s="475">
        <f>J235+X235</f>
        <v>1966107</v>
      </c>
      <c r="AW235" s="475">
        <f>K235+AB235</f>
        <v>10000</v>
      </c>
      <c r="AX235" s="475">
        <f t="shared" si="544"/>
        <v>667924</v>
      </c>
      <c r="AY235" s="475">
        <f t="shared" si="544"/>
        <v>39322</v>
      </c>
      <c r="AZ235" s="475">
        <f>N235+AH235</f>
        <v>0</v>
      </c>
      <c r="BA235" s="476">
        <f>O235+AT235</f>
        <v>3.9666000000000001</v>
      </c>
      <c r="BB235" s="476">
        <f t="shared" si="545"/>
        <v>3.9666000000000001</v>
      </c>
      <c r="BC235" s="478">
        <f t="shared" si="545"/>
        <v>0</v>
      </c>
    </row>
    <row r="236" spans="1:55" ht="14.1" customHeight="1" x14ac:dyDescent="0.2">
      <c r="A236" s="68">
        <v>48</v>
      </c>
      <c r="B236" s="65">
        <v>2489</v>
      </c>
      <c r="C236" s="66">
        <v>600080188</v>
      </c>
      <c r="D236" s="65">
        <v>64040402</v>
      </c>
      <c r="E236" s="67" t="s">
        <v>662</v>
      </c>
      <c r="F236" s="68">
        <v>3143</v>
      </c>
      <c r="G236" s="80" t="s">
        <v>627</v>
      </c>
      <c r="H236" s="69" t="s">
        <v>278</v>
      </c>
      <c r="I236" s="477">
        <v>105840</v>
      </c>
      <c r="J236" s="472">
        <v>74845</v>
      </c>
      <c r="K236" s="472">
        <v>0</v>
      </c>
      <c r="L236" s="472">
        <v>25298</v>
      </c>
      <c r="M236" s="472">
        <v>1497</v>
      </c>
      <c r="N236" s="472">
        <v>4200</v>
      </c>
      <c r="O236" s="473">
        <v>0.3</v>
      </c>
      <c r="P236" s="474">
        <v>0</v>
      </c>
      <c r="Q236" s="483">
        <v>0.3</v>
      </c>
      <c r="R236" s="485">
        <f t="shared" si="536"/>
        <v>0</v>
      </c>
      <c r="S236" s="475">
        <v>0</v>
      </c>
      <c r="T236" s="475">
        <v>0</v>
      </c>
      <c r="U236" s="475">
        <v>0</v>
      </c>
      <c r="V236" s="475">
        <v>0</v>
      </c>
      <c r="W236" s="475">
        <v>0</v>
      </c>
      <c r="X236" s="475">
        <f t="shared" si="537"/>
        <v>0</v>
      </c>
      <c r="Y236" s="475">
        <v>0</v>
      </c>
      <c r="Z236" s="475">
        <v>0</v>
      </c>
      <c r="AA236" s="475">
        <v>0</v>
      </c>
      <c r="AB236" s="475">
        <f t="shared" si="538"/>
        <v>0</v>
      </c>
      <c r="AC236" s="475">
        <f t="shared" si="539"/>
        <v>0</v>
      </c>
      <c r="AD236" s="70">
        <f t="shared" si="540"/>
        <v>0</v>
      </c>
      <c r="AE236" s="70">
        <f t="shared" si="541"/>
        <v>0</v>
      </c>
      <c r="AF236" s="475">
        <v>0</v>
      </c>
      <c r="AG236" s="475">
        <v>0</v>
      </c>
      <c r="AH236" s="475">
        <f t="shared" si="542"/>
        <v>0</v>
      </c>
      <c r="AI236" s="475">
        <f t="shared" si="543"/>
        <v>0</v>
      </c>
      <c r="AJ236" s="476">
        <v>0</v>
      </c>
      <c r="AK236" s="476">
        <v>0</v>
      </c>
      <c r="AL236" s="476">
        <v>0</v>
      </c>
      <c r="AM236" s="476">
        <v>0</v>
      </c>
      <c r="AN236" s="476">
        <v>0</v>
      </c>
      <c r="AO236" s="476">
        <v>0</v>
      </c>
      <c r="AP236" s="476">
        <v>0</v>
      </c>
      <c r="AQ236" s="476">
        <v>0</v>
      </c>
      <c r="AR236" s="476">
        <f t="shared" si="483"/>
        <v>0</v>
      </c>
      <c r="AS236" s="476">
        <f t="shared" si="484"/>
        <v>0</v>
      </c>
      <c r="AT236" s="478">
        <f t="shared" si="485"/>
        <v>0</v>
      </c>
      <c r="AU236" s="484">
        <f>I236+AI236</f>
        <v>105840</v>
      </c>
      <c r="AV236" s="475">
        <f>J236+X236</f>
        <v>74845</v>
      </c>
      <c r="AW236" s="475">
        <f>K236+AB236</f>
        <v>0</v>
      </c>
      <c r="AX236" s="475">
        <f t="shared" si="544"/>
        <v>25298</v>
      </c>
      <c r="AY236" s="475">
        <f t="shared" si="544"/>
        <v>1497</v>
      </c>
      <c r="AZ236" s="475">
        <f>N236+AH236</f>
        <v>4200</v>
      </c>
      <c r="BA236" s="476">
        <f>O236+AT236</f>
        <v>0.3</v>
      </c>
      <c r="BB236" s="476">
        <f t="shared" si="545"/>
        <v>0</v>
      </c>
      <c r="BC236" s="478">
        <f t="shared" si="545"/>
        <v>0.3</v>
      </c>
    </row>
    <row r="237" spans="1:55" ht="14.1" customHeight="1" x14ac:dyDescent="0.2">
      <c r="A237" s="74">
        <v>48</v>
      </c>
      <c r="B237" s="71">
        <v>2489</v>
      </c>
      <c r="C237" s="72">
        <v>600080188</v>
      </c>
      <c r="D237" s="71">
        <v>64040402</v>
      </c>
      <c r="E237" s="73" t="s">
        <v>663</v>
      </c>
      <c r="F237" s="74"/>
      <c r="G237" s="73"/>
      <c r="H237" s="75"/>
      <c r="I237" s="76">
        <v>39645971</v>
      </c>
      <c r="J237" s="77">
        <v>28419625</v>
      </c>
      <c r="K237" s="77">
        <v>235000</v>
      </c>
      <c r="L237" s="77">
        <v>9685264</v>
      </c>
      <c r="M237" s="77">
        <v>568392</v>
      </c>
      <c r="N237" s="77">
        <v>737690</v>
      </c>
      <c r="O237" s="78">
        <v>55.288800000000002</v>
      </c>
      <c r="P237" s="78">
        <v>39.659399999999998</v>
      </c>
      <c r="Q237" s="718">
        <v>15.6294</v>
      </c>
      <c r="R237" s="76">
        <f t="shared" ref="R237:BC237" si="546">SUM(R232:R236)</f>
        <v>0</v>
      </c>
      <c r="S237" s="77">
        <f t="shared" si="546"/>
        <v>0</v>
      </c>
      <c r="T237" s="77">
        <f t="shared" si="546"/>
        <v>10059</v>
      </c>
      <c r="U237" s="77">
        <f t="shared" si="546"/>
        <v>7722</v>
      </c>
      <c r="V237" s="77">
        <f t="shared" si="546"/>
        <v>0</v>
      </c>
      <c r="W237" s="77">
        <f t="shared" si="546"/>
        <v>0</v>
      </c>
      <c r="X237" s="77">
        <f t="shared" si="546"/>
        <v>17781</v>
      </c>
      <c r="Y237" s="77">
        <f t="shared" si="546"/>
        <v>0</v>
      </c>
      <c r="Z237" s="77">
        <f t="shared" si="546"/>
        <v>0</v>
      </c>
      <c r="AA237" s="77">
        <f t="shared" si="546"/>
        <v>0</v>
      </c>
      <c r="AB237" s="77">
        <f t="shared" si="546"/>
        <v>0</v>
      </c>
      <c r="AC237" s="77">
        <f t="shared" si="546"/>
        <v>17781</v>
      </c>
      <c r="AD237" s="77">
        <f t="shared" si="546"/>
        <v>6010</v>
      </c>
      <c r="AE237" s="77">
        <f t="shared" si="546"/>
        <v>355</v>
      </c>
      <c r="AF237" s="77">
        <f t="shared" si="546"/>
        <v>10000</v>
      </c>
      <c r="AG237" s="77">
        <f t="shared" si="546"/>
        <v>0</v>
      </c>
      <c r="AH237" s="77">
        <f t="shared" si="546"/>
        <v>10000</v>
      </c>
      <c r="AI237" s="77">
        <f t="shared" si="546"/>
        <v>34146</v>
      </c>
      <c r="AJ237" s="78">
        <f t="shared" si="546"/>
        <v>0</v>
      </c>
      <c r="AK237" s="78">
        <f t="shared" si="546"/>
        <v>0</v>
      </c>
      <c r="AL237" s="78">
        <f t="shared" si="546"/>
        <v>0</v>
      </c>
      <c r="AM237" s="78">
        <f t="shared" si="546"/>
        <v>0</v>
      </c>
      <c r="AN237" s="78">
        <f t="shared" si="546"/>
        <v>2.9999999999999805E-2</v>
      </c>
      <c r="AO237" s="78">
        <f t="shared" si="546"/>
        <v>0.01</v>
      </c>
      <c r="AP237" s="78">
        <f t="shared" si="546"/>
        <v>0</v>
      </c>
      <c r="AQ237" s="78">
        <f t="shared" si="546"/>
        <v>0</v>
      </c>
      <c r="AR237" s="78">
        <f t="shared" si="546"/>
        <v>0.01</v>
      </c>
      <c r="AS237" s="78">
        <f t="shared" si="546"/>
        <v>2.9999999999999805E-2</v>
      </c>
      <c r="AT237" s="79">
        <f t="shared" si="546"/>
        <v>3.9999999999999807E-2</v>
      </c>
      <c r="AU237" s="433">
        <f t="shared" si="546"/>
        <v>39680117</v>
      </c>
      <c r="AV237" s="77">
        <f t="shared" si="546"/>
        <v>28437406</v>
      </c>
      <c r="AW237" s="77">
        <f t="shared" si="546"/>
        <v>235000</v>
      </c>
      <c r="AX237" s="77">
        <f t="shared" si="546"/>
        <v>9691274</v>
      </c>
      <c r="AY237" s="77">
        <f t="shared" si="546"/>
        <v>568747</v>
      </c>
      <c r="AZ237" s="77">
        <f t="shared" si="546"/>
        <v>747690</v>
      </c>
      <c r="BA237" s="78">
        <f t="shared" si="546"/>
        <v>55.328800000000001</v>
      </c>
      <c r="BB237" s="78">
        <f t="shared" si="546"/>
        <v>39.669399999999996</v>
      </c>
      <c r="BC237" s="79">
        <f t="shared" si="546"/>
        <v>15.6594</v>
      </c>
    </row>
    <row r="238" spans="1:55" ht="14.1" customHeight="1" x14ac:dyDescent="0.2">
      <c r="A238" s="68">
        <v>49</v>
      </c>
      <c r="B238" s="65">
        <v>2473</v>
      </c>
      <c r="C238" s="66">
        <v>600080285</v>
      </c>
      <c r="D238" s="65">
        <v>65642376</v>
      </c>
      <c r="E238" s="67" t="s">
        <v>664</v>
      </c>
      <c r="F238" s="68">
        <v>3113</v>
      </c>
      <c r="G238" s="67" t="s">
        <v>314</v>
      </c>
      <c r="H238" s="69" t="s">
        <v>277</v>
      </c>
      <c r="I238" s="477">
        <v>41417293</v>
      </c>
      <c r="J238" s="472">
        <v>29398919</v>
      </c>
      <c r="K238" s="472">
        <v>410000</v>
      </c>
      <c r="L238" s="472">
        <v>10075416</v>
      </c>
      <c r="M238" s="472">
        <v>587978</v>
      </c>
      <c r="N238" s="472">
        <v>944980</v>
      </c>
      <c r="O238" s="473">
        <v>53.113799999999998</v>
      </c>
      <c r="P238" s="473">
        <v>42.281100000000002</v>
      </c>
      <c r="Q238" s="483">
        <v>10.832699999999999</v>
      </c>
      <c r="R238" s="485">
        <f t="shared" ref="R238:R242" si="547">Y238*-1</f>
        <v>0</v>
      </c>
      <c r="S238" s="475">
        <v>0</v>
      </c>
      <c r="T238" s="475">
        <v>351169</v>
      </c>
      <c r="U238" s="475">
        <v>0</v>
      </c>
      <c r="V238" s="475">
        <v>0</v>
      </c>
      <c r="W238" s="475">
        <v>0</v>
      </c>
      <c r="X238" s="475">
        <f t="shared" ref="X238:X242" si="548">SUM(R238:W238)</f>
        <v>351169</v>
      </c>
      <c r="Y238" s="475">
        <v>0</v>
      </c>
      <c r="Z238" s="475">
        <v>0</v>
      </c>
      <c r="AA238" s="475">
        <v>0</v>
      </c>
      <c r="AB238" s="475">
        <f t="shared" ref="AB238:AB242" si="549">SUM(Y238:AA238)</f>
        <v>0</v>
      </c>
      <c r="AC238" s="475">
        <f t="shared" ref="AC238:AC242" si="550">X238+AB238</f>
        <v>351169</v>
      </c>
      <c r="AD238" s="70">
        <f t="shared" ref="AD238:AD242" si="551">ROUND((X238+Y238+Z238)*33.8%,0)</f>
        <v>118695</v>
      </c>
      <c r="AE238" s="70">
        <f t="shared" ref="AE238:AE242" si="552">ROUND(X238*2%,0)</f>
        <v>7023</v>
      </c>
      <c r="AF238" s="475">
        <v>0</v>
      </c>
      <c r="AG238" s="475">
        <v>0</v>
      </c>
      <c r="AH238" s="475">
        <f t="shared" ref="AH238:AH242" si="553">SUM(AF238:AG238)</f>
        <v>0</v>
      </c>
      <c r="AI238" s="475">
        <f t="shared" ref="AI238:AI242" si="554">AC238+AD238+AE238+AH238</f>
        <v>476887</v>
      </c>
      <c r="AJ238" s="476">
        <v>0</v>
      </c>
      <c r="AK238" s="476">
        <v>0</v>
      </c>
      <c r="AL238" s="476">
        <v>0</v>
      </c>
      <c r="AM238" s="476">
        <v>0.56999999999999995</v>
      </c>
      <c r="AN238" s="476">
        <v>0</v>
      </c>
      <c r="AO238" s="476">
        <v>0</v>
      </c>
      <c r="AP238" s="476">
        <v>0</v>
      </c>
      <c r="AQ238" s="476">
        <v>0</v>
      </c>
      <c r="AR238" s="476">
        <f t="shared" si="483"/>
        <v>0.56999999999999995</v>
      </c>
      <c r="AS238" s="476">
        <f t="shared" si="484"/>
        <v>0</v>
      </c>
      <c r="AT238" s="478">
        <f t="shared" si="485"/>
        <v>0.56999999999999995</v>
      </c>
      <c r="AU238" s="484">
        <f>I238+AI238</f>
        <v>41894180</v>
      </c>
      <c r="AV238" s="475">
        <f>J238+X238</f>
        <v>29750088</v>
      </c>
      <c r="AW238" s="475">
        <f>K238+AB238</f>
        <v>410000</v>
      </c>
      <c r="AX238" s="475">
        <f t="shared" ref="AX238:AY242" si="555">L238+AD238</f>
        <v>10194111</v>
      </c>
      <c r="AY238" s="475">
        <f t="shared" si="555"/>
        <v>595001</v>
      </c>
      <c r="AZ238" s="475">
        <f>N238+AH238</f>
        <v>944980</v>
      </c>
      <c r="BA238" s="476">
        <f>O238+AT238</f>
        <v>53.683799999999998</v>
      </c>
      <c r="BB238" s="476">
        <f t="shared" ref="BB238:BC242" si="556">P238+AR238</f>
        <v>42.851100000000002</v>
      </c>
      <c r="BC238" s="478">
        <f t="shared" si="556"/>
        <v>10.832699999999999</v>
      </c>
    </row>
    <row r="239" spans="1:55" ht="14.1" customHeight="1" x14ac:dyDescent="0.2">
      <c r="A239" s="68">
        <v>49</v>
      </c>
      <c r="B239" s="65">
        <v>2473</v>
      </c>
      <c r="C239" s="66">
        <v>600080285</v>
      </c>
      <c r="D239" s="65">
        <v>65642376</v>
      </c>
      <c r="E239" s="67" t="s">
        <v>664</v>
      </c>
      <c r="F239" s="68">
        <v>3113</v>
      </c>
      <c r="G239" s="80" t="s">
        <v>312</v>
      </c>
      <c r="H239" s="69" t="s">
        <v>278</v>
      </c>
      <c r="I239" s="477">
        <v>8450715</v>
      </c>
      <c r="J239" s="472">
        <v>6215549</v>
      </c>
      <c r="K239" s="472">
        <v>0</v>
      </c>
      <c r="L239" s="472">
        <v>2100855</v>
      </c>
      <c r="M239" s="472">
        <v>124311</v>
      </c>
      <c r="N239" s="472">
        <v>10000</v>
      </c>
      <c r="O239" s="473">
        <v>17.450000000000003</v>
      </c>
      <c r="P239" s="474">
        <v>17.450000000000003</v>
      </c>
      <c r="Q239" s="483">
        <v>0</v>
      </c>
      <c r="R239" s="485">
        <f t="shared" si="547"/>
        <v>0</v>
      </c>
      <c r="S239" s="475">
        <v>126061</v>
      </c>
      <c r="T239" s="475">
        <v>0</v>
      </c>
      <c r="U239" s="475">
        <v>0</v>
      </c>
      <c r="V239" s="475">
        <v>0</v>
      </c>
      <c r="W239" s="475">
        <v>0</v>
      </c>
      <c r="X239" s="475">
        <f t="shared" si="548"/>
        <v>126061</v>
      </c>
      <c r="Y239" s="475">
        <v>0</v>
      </c>
      <c r="Z239" s="475">
        <v>0</v>
      </c>
      <c r="AA239" s="475">
        <v>0</v>
      </c>
      <c r="AB239" s="475">
        <f t="shared" si="549"/>
        <v>0</v>
      </c>
      <c r="AC239" s="475">
        <f t="shared" si="550"/>
        <v>126061</v>
      </c>
      <c r="AD239" s="70">
        <f t="shared" si="551"/>
        <v>42609</v>
      </c>
      <c r="AE239" s="70">
        <f t="shared" si="552"/>
        <v>2521</v>
      </c>
      <c r="AF239" s="475">
        <v>6500</v>
      </c>
      <c r="AG239" s="475">
        <v>0</v>
      </c>
      <c r="AH239" s="475">
        <f t="shared" si="553"/>
        <v>6500</v>
      </c>
      <c r="AI239" s="475">
        <f t="shared" si="554"/>
        <v>177691</v>
      </c>
      <c r="AJ239" s="476">
        <v>0</v>
      </c>
      <c r="AK239" s="476">
        <v>0</v>
      </c>
      <c r="AL239" s="476">
        <v>0.37</v>
      </c>
      <c r="AM239" s="476">
        <v>0</v>
      </c>
      <c r="AN239" s="476">
        <v>0</v>
      </c>
      <c r="AO239" s="476">
        <v>0</v>
      </c>
      <c r="AP239" s="476">
        <v>0</v>
      </c>
      <c r="AQ239" s="476">
        <v>0</v>
      </c>
      <c r="AR239" s="476">
        <f t="shared" si="483"/>
        <v>0.37</v>
      </c>
      <c r="AS239" s="476">
        <f t="shared" si="484"/>
        <v>0</v>
      </c>
      <c r="AT239" s="478">
        <f t="shared" si="485"/>
        <v>0.37</v>
      </c>
      <c r="AU239" s="484">
        <f>I239+AI239</f>
        <v>8628406</v>
      </c>
      <c r="AV239" s="475">
        <f>J239+X239</f>
        <v>6341610</v>
      </c>
      <c r="AW239" s="475">
        <f>K239+AB239</f>
        <v>0</v>
      </c>
      <c r="AX239" s="475">
        <f t="shared" si="555"/>
        <v>2143464</v>
      </c>
      <c r="AY239" s="475">
        <f t="shared" si="555"/>
        <v>126832</v>
      </c>
      <c r="AZ239" s="475">
        <f>N239+AH239</f>
        <v>16500</v>
      </c>
      <c r="BA239" s="476">
        <f>O239+AT239</f>
        <v>17.820000000000004</v>
      </c>
      <c r="BB239" s="476">
        <f t="shared" si="556"/>
        <v>17.820000000000004</v>
      </c>
      <c r="BC239" s="478">
        <f t="shared" si="556"/>
        <v>0</v>
      </c>
    </row>
    <row r="240" spans="1:55" ht="14.1" customHeight="1" x14ac:dyDescent="0.2">
      <c r="A240" s="68">
        <v>49</v>
      </c>
      <c r="B240" s="65">
        <v>2473</v>
      </c>
      <c r="C240" s="66">
        <v>600080285</v>
      </c>
      <c r="D240" s="65">
        <v>65642376</v>
      </c>
      <c r="E240" s="67" t="s">
        <v>664</v>
      </c>
      <c r="F240" s="68">
        <v>3141</v>
      </c>
      <c r="G240" s="67" t="s">
        <v>315</v>
      </c>
      <c r="H240" s="69" t="s">
        <v>278</v>
      </c>
      <c r="I240" s="477">
        <v>1493191</v>
      </c>
      <c r="J240" s="472">
        <v>1082398</v>
      </c>
      <c r="K240" s="472">
        <v>0</v>
      </c>
      <c r="L240" s="472">
        <v>365851</v>
      </c>
      <c r="M240" s="472">
        <v>21648</v>
      </c>
      <c r="N240" s="472">
        <v>23294</v>
      </c>
      <c r="O240" s="473">
        <v>3.41</v>
      </c>
      <c r="P240" s="474">
        <v>0</v>
      </c>
      <c r="Q240" s="483">
        <v>3.41</v>
      </c>
      <c r="R240" s="485">
        <f t="shared" si="547"/>
        <v>0</v>
      </c>
      <c r="S240" s="475">
        <v>0</v>
      </c>
      <c r="T240" s="755">
        <v>11284</v>
      </c>
      <c r="U240" s="475">
        <v>0</v>
      </c>
      <c r="V240" s="475">
        <v>0</v>
      </c>
      <c r="W240" s="475">
        <v>0</v>
      </c>
      <c r="X240" s="475">
        <f t="shared" si="548"/>
        <v>11284</v>
      </c>
      <c r="Y240" s="475">
        <v>0</v>
      </c>
      <c r="Z240" s="475">
        <v>0</v>
      </c>
      <c r="AA240" s="475">
        <v>0</v>
      </c>
      <c r="AB240" s="475">
        <f t="shared" si="549"/>
        <v>0</v>
      </c>
      <c r="AC240" s="475">
        <f t="shared" si="550"/>
        <v>11284</v>
      </c>
      <c r="AD240" s="70">
        <f t="shared" si="551"/>
        <v>3814</v>
      </c>
      <c r="AE240" s="70">
        <f t="shared" si="552"/>
        <v>226</v>
      </c>
      <c r="AF240" s="475">
        <v>0</v>
      </c>
      <c r="AG240" s="475">
        <v>0</v>
      </c>
      <c r="AH240" s="475">
        <f t="shared" si="553"/>
        <v>0</v>
      </c>
      <c r="AI240" s="475">
        <f t="shared" si="554"/>
        <v>15324</v>
      </c>
      <c r="AJ240" s="476">
        <v>0</v>
      </c>
      <c r="AK240" s="476">
        <v>0</v>
      </c>
      <c r="AL240" s="476">
        <v>0</v>
      </c>
      <c r="AM240" s="476">
        <v>0</v>
      </c>
      <c r="AN240" s="756">
        <v>3.0000000000000027E-2</v>
      </c>
      <c r="AO240" s="476">
        <v>0</v>
      </c>
      <c r="AP240" s="476">
        <v>0</v>
      </c>
      <c r="AQ240" s="476">
        <v>0</v>
      </c>
      <c r="AR240" s="476">
        <f t="shared" si="483"/>
        <v>0</v>
      </c>
      <c r="AS240" s="476">
        <f t="shared" si="484"/>
        <v>3.0000000000000027E-2</v>
      </c>
      <c r="AT240" s="478">
        <f t="shared" si="485"/>
        <v>3.0000000000000027E-2</v>
      </c>
      <c r="AU240" s="484">
        <f>I240+AI240</f>
        <v>1508515</v>
      </c>
      <c r="AV240" s="475">
        <f>J240+X240</f>
        <v>1093682</v>
      </c>
      <c r="AW240" s="475">
        <f>K240+AB240</f>
        <v>0</v>
      </c>
      <c r="AX240" s="475">
        <f t="shared" si="555"/>
        <v>369665</v>
      </c>
      <c r="AY240" s="475">
        <f t="shared" si="555"/>
        <v>21874</v>
      </c>
      <c r="AZ240" s="475">
        <f>N240+AH240</f>
        <v>23294</v>
      </c>
      <c r="BA240" s="476">
        <f>O240+AT240</f>
        <v>3.4400000000000004</v>
      </c>
      <c r="BB240" s="476">
        <f t="shared" si="556"/>
        <v>0</v>
      </c>
      <c r="BC240" s="478">
        <f t="shared" si="556"/>
        <v>3.4400000000000004</v>
      </c>
    </row>
    <row r="241" spans="1:55" ht="14.1" customHeight="1" x14ac:dyDescent="0.2">
      <c r="A241" s="68">
        <v>49</v>
      </c>
      <c r="B241" s="65">
        <v>2473</v>
      </c>
      <c r="C241" s="66">
        <v>600080285</v>
      </c>
      <c r="D241" s="65">
        <v>65642376</v>
      </c>
      <c r="E241" s="67" t="s">
        <v>664</v>
      </c>
      <c r="F241" s="68">
        <v>3143</v>
      </c>
      <c r="G241" s="80" t="s">
        <v>626</v>
      </c>
      <c r="H241" s="69" t="s">
        <v>277</v>
      </c>
      <c r="I241" s="477">
        <v>4763616</v>
      </c>
      <c r="J241" s="472">
        <v>3507818</v>
      </c>
      <c r="K241" s="472">
        <v>0</v>
      </c>
      <c r="L241" s="472">
        <v>1185642</v>
      </c>
      <c r="M241" s="472">
        <v>70156</v>
      </c>
      <c r="N241" s="472">
        <v>0</v>
      </c>
      <c r="O241" s="473">
        <v>7.4530000000000003</v>
      </c>
      <c r="P241" s="473">
        <v>7.4530000000000003</v>
      </c>
      <c r="Q241" s="483">
        <v>0</v>
      </c>
      <c r="R241" s="485">
        <f t="shared" si="547"/>
        <v>0</v>
      </c>
      <c r="S241" s="475">
        <v>0</v>
      </c>
      <c r="T241" s="475">
        <v>0</v>
      </c>
      <c r="U241" s="475">
        <v>0</v>
      </c>
      <c r="V241" s="475">
        <v>0</v>
      </c>
      <c r="W241" s="475">
        <v>0</v>
      </c>
      <c r="X241" s="475">
        <f t="shared" si="548"/>
        <v>0</v>
      </c>
      <c r="Y241" s="475">
        <v>0</v>
      </c>
      <c r="Z241" s="475">
        <v>0</v>
      </c>
      <c r="AA241" s="475">
        <v>0</v>
      </c>
      <c r="AB241" s="475">
        <f t="shared" si="549"/>
        <v>0</v>
      </c>
      <c r="AC241" s="475">
        <f t="shared" si="550"/>
        <v>0</v>
      </c>
      <c r="AD241" s="70">
        <f t="shared" si="551"/>
        <v>0</v>
      </c>
      <c r="AE241" s="70">
        <f t="shared" si="552"/>
        <v>0</v>
      </c>
      <c r="AF241" s="475">
        <v>0</v>
      </c>
      <c r="AG241" s="475">
        <v>0</v>
      </c>
      <c r="AH241" s="475">
        <f t="shared" si="553"/>
        <v>0</v>
      </c>
      <c r="AI241" s="475">
        <f t="shared" si="554"/>
        <v>0</v>
      </c>
      <c r="AJ241" s="476">
        <v>0</v>
      </c>
      <c r="AK241" s="476">
        <v>0</v>
      </c>
      <c r="AL241" s="476">
        <v>0</v>
      </c>
      <c r="AM241" s="476">
        <v>0</v>
      </c>
      <c r="AN241" s="476">
        <v>0</v>
      </c>
      <c r="AO241" s="476">
        <v>0</v>
      </c>
      <c r="AP241" s="476">
        <v>0</v>
      </c>
      <c r="AQ241" s="476">
        <v>0</v>
      </c>
      <c r="AR241" s="476">
        <f t="shared" si="483"/>
        <v>0</v>
      </c>
      <c r="AS241" s="476">
        <f t="shared" si="484"/>
        <v>0</v>
      </c>
      <c r="AT241" s="478">
        <f t="shared" si="485"/>
        <v>0</v>
      </c>
      <c r="AU241" s="484">
        <f>I241+AI241</f>
        <v>4763616</v>
      </c>
      <c r="AV241" s="475">
        <f>J241+X241</f>
        <v>3507818</v>
      </c>
      <c r="AW241" s="475">
        <f>K241+AB241</f>
        <v>0</v>
      </c>
      <c r="AX241" s="475">
        <f t="shared" si="555"/>
        <v>1185642</v>
      </c>
      <c r="AY241" s="475">
        <f t="shared" si="555"/>
        <v>70156</v>
      </c>
      <c r="AZ241" s="475">
        <f>N241+AH241</f>
        <v>0</v>
      </c>
      <c r="BA241" s="476">
        <f>O241+AT241</f>
        <v>7.4530000000000003</v>
      </c>
      <c r="BB241" s="476">
        <f t="shared" si="556"/>
        <v>7.4530000000000003</v>
      </c>
      <c r="BC241" s="478">
        <f t="shared" si="556"/>
        <v>0</v>
      </c>
    </row>
    <row r="242" spans="1:55" ht="14.1" customHeight="1" x14ac:dyDescent="0.2">
      <c r="A242" s="68">
        <v>49</v>
      </c>
      <c r="B242" s="65">
        <v>2473</v>
      </c>
      <c r="C242" s="66">
        <v>600080285</v>
      </c>
      <c r="D242" s="65">
        <v>65642376</v>
      </c>
      <c r="E242" s="67" t="s">
        <v>664</v>
      </c>
      <c r="F242" s="68">
        <v>3143</v>
      </c>
      <c r="G242" s="80" t="s">
        <v>627</v>
      </c>
      <c r="H242" s="69" t="s">
        <v>278</v>
      </c>
      <c r="I242" s="477">
        <v>186733</v>
      </c>
      <c r="J242" s="472">
        <v>132049</v>
      </c>
      <c r="K242" s="472">
        <v>0</v>
      </c>
      <c r="L242" s="472">
        <v>44633</v>
      </c>
      <c r="M242" s="472">
        <v>2641</v>
      </c>
      <c r="N242" s="472">
        <v>7410</v>
      </c>
      <c r="O242" s="473">
        <v>0.51</v>
      </c>
      <c r="P242" s="474">
        <v>0</v>
      </c>
      <c r="Q242" s="483">
        <v>0.51</v>
      </c>
      <c r="R242" s="485">
        <f t="shared" si="547"/>
        <v>0</v>
      </c>
      <c r="S242" s="475">
        <v>0</v>
      </c>
      <c r="T242" s="475">
        <v>0</v>
      </c>
      <c r="U242" s="475">
        <v>0</v>
      </c>
      <c r="V242" s="475">
        <v>0</v>
      </c>
      <c r="W242" s="475">
        <v>0</v>
      </c>
      <c r="X242" s="475">
        <f t="shared" si="548"/>
        <v>0</v>
      </c>
      <c r="Y242" s="475">
        <v>0</v>
      </c>
      <c r="Z242" s="475">
        <v>0</v>
      </c>
      <c r="AA242" s="475">
        <v>0</v>
      </c>
      <c r="AB242" s="475">
        <f t="shared" si="549"/>
        <v>0</v>
      </c>
      <c r="AC242" s="475">
        <f t="shared" si="550"/>
        <v>0</v>
      </c>
      <c r="AD242" s="70">
        <f t="shared" si="551"/>
        <v>0</v>
      </c>
      <c r="AE242" s="70">
        <f t="shared" si="552"/>
        <v>0</v>
      </c>
      <c r="AF242" s="475">
        <v>0</v>
      </c>
      <c r="AG242" s="475">
        <v>0</v>
      </c>
      <c r="AH242" s="475">
        <f t="shared" si="553"/>
        <v>0</v>
      </c>
      <c r="AI242" s="475">
        <f t="shared" si="554"/>
        <v>0</v>
      </c>
      <c r="AJ242" s="476">
        <v>0</v>
      </c>
      <c r="AK242" s="476">
        <v>0</v>
      </c>
      <c r="AL242" s="476">
        <v>0</v>
      </c>
      <c r="AM242" s="476">
        <v>0</v>
      </c>
      <c r="AN242" s="476">
        <v>0</v>
      </c>
      <c r="AO242" s="476">
        <v>0</v>
      </c>
      <c r="AP242" s="476">
        <v>0</v>
      </c>
      <c r="AQ242" s="476">
        <v>0</v>
      </c>
      <c r="AR242" s="476">
        <f t="shared" si="483"/>
        <v>0</v>
      </c>
      <c r="AS242" s="476">
        <f t="shared" si="484"/>
        <v>0</v>
      </c>
      <c r="AT242" s="478">
        <f t="shared" si="485"/>
        <v>0</v>
      </c>
      <c r="AU242" s="484">
        <f>I242+AI242</f>
        <v>186733</v>
      </c>
      <c r="AV242" s="475">
        <f>J242+X242</f>
        <v>132049</v>
      </c>
      <c r="AW242" s="475">
        <f>K242+AB242</f>
        <v>0</v>
      </c>
      <c r="AX242" s="475">
        <f t="shared" si="555"/>
        <v>44633</v>
      </c>
      <c r="AY242" s="475">
        <f t="shared" si="555"/>
        <v>2641</v>
      </c>
      <c r="AZ242" s="475">
        <f>N242+AH242</f>
        <v>7410</v>
      </c>
      <c r="BA242" s="476">
        <f>O242+AT242</f>
        <v>0.51</v>
      </c>
      <c r="BB242" s="476">
        <f t="shared" si="556"/>
        <v>0</v>
      </c>
      <c r="BC242" s="478">
        <f t="shared" si="556"/>
        <v>0.51</v>
      </c>
    </row>
    <row r="243" spans="1:55" ht="14.1" customHeight="1" x14ac:dyDescent="0.2">
      <c r="A243" s="74">
        <v>49</v>
      </c>
      <c r="B243" s="71">
        <v>2473</v>
      </c>
      <c r="C243" s="72">
        <v>600080285</v>
      </c>
      <c r="D243" s="71">
        <v>65642376</v>
      </c>
      <c r="E243" s="73" t="s">
        <v>665</v>
      </c>
      <c r="F243" s="74"/>
      <c r="G243" s="73"/>
      <c r="H243" s="75"/>
      <c r="I243" s="76">
        <v>56311548</v>
      </c>
      <c r="J243" s="77">
        <v>40336733</v>
      </c>
      <c r="K243" s="77">
        <v>410000</v>
      </c>
      <c r="L243" s="77">
        <v>13772397</v>
      </c>
      <c r="M243" s="77">
        <v>806734</v>
      </c>
      <c r="N243" s="77">
        <v>985684</v>
      </c>
      <c r="O243" s="78">
        <v>81.936800000000005</v>
      </c>
      <c r="P243" s="78">
        <v>67.184100000000001</v>
      </c>
      <c r="Q243" s="718">
        <v>14.752699999999999</v>
      </c>
      <c r="R243" s="76">
        <f t="shared" ref="R243:BC243" si="557">SUM(R238:R242)</f>
        <v>0</v>
      </c>
      <c r="S243" s="77">
        <f t="shared" si="557"/>
        <v>126061</v>
      </c>
      <c r="T243" s="77">
        <f t="shared" si="557"/>
        <v>362453</v>
      </c>
      <c r="U243" s="77">
        <f t="shared" si="557"/>
        <v>0</v>
      </c>
      <c r="V243" s="77">
        <f t="shared" si="557"/>
        <v>0</v>
      </c>
      <c r="W243" s="77">
        <f t="shared" si="557"/>
        <v>0</v>
      </c>
      <c r="X243" s="77">
        <f t="shared" si="557"/>
        <v>488514</v>
      </c>
      <c r="Y243" s="77">
        <f t="shared" si="557"/>
        <v>0</v>
      </c>
      <c r="Z243" s="77">
        <f t="shared" si="557"/>
        <v>0</v>
      </c>
      <c r="AA243" s="77">
        <f t="shared" si="557"/>
        <v>0</v>
      </c>
      <c r="AB243" s="77">
        <f t="shared" si="557"/>
        <v>0</v>
      </c>
      <c r="AC243" s="77">
        <f t="shared" si="557"/>
        <v>488514</v>
      </c>
      <c r="AD243" s="77">
        <f t="shared" si="557"/>
        <v>165118</v>
      </c>
      <c r="AE243" s="77">
        <f t="shared" si="557"/>
        <v>9770</v>
      </c>
      <c r="AF243" s="77">
        <f t="shared" si="557"/>
        <v>6500</v>
      </c>
      <c r="AG243" s="77">
        <f t="shared" si="557"/>
        <v>0</v>
      </c>
      <c r="AH243" s="77">
        <f t="shared" si="557"/>
        <v>6500</v>
      </c>
      <c r="AI243" s="77">
        <f t="shared" si="557"/>
        <v>669902</v>
      </c>
      <c r="AJ243" s="78">
        <f t="shared" si="557"/>
        <v>0</v>
      </c>
      <c r="AK243" s="78">
        <f t="shared" si="557"/>
        <v>0</v>
      </c>
      <c r="AL243" s="78">
        <f t="shared" si="557"/>
        <v>0.37</v>
      </c>
      <c r="AM243" s="78">
        <f t="shared" si="557"/>
        <v>0.56999999999999995</v>
      </c>
      <c r="AN243" s="78">
        <f t="shared" si="557"/>
        <v>3.0000000000000027E-2</v>
      </c>
      <c r="AO243" s="78">
        <f t="shared" si="557"/>
        <v>0</v>
      </c>
      <c r="AP243" s="78">
        <f t="shared" si="557"/>
        <v>0</v>
      </c>
      <c r="AQ243" s="78">
        <f t="shared" si="557"/>
        <v>0</v>
      </c>
      <c r="AR243" s="78">
        <f t="shared" si="557"/>
        <v>0.94</v>
      </c>
      <c r="AS243" s="78">
        <f t="shared" si="557"/>
        <v>3.0000000000000027E-2</v>
      </c>
      <c r="AT243" s="79">
        <f t="shared" si="557"/>
        <v>0.97</v>
      </c>
      <c r="AU243" s="433">
        <f t="shared" si="557"/>
        <v>56981450</v>
      </c>
      <c r="AV243" s="77">
        <f t="shared" si="557"/>
        <v>40825247</v>
      </c>
      <c r="AW243" s="77">
        <f t="shared" si="557"/>
        <v>410000</v>
      </c>
      <c r="AX243" s="77">
        <f t="shared" si="557"/>
        <v>13937515</v>
      </c>
      <c r="AY243" s="77">
        <f t="shared" si="557"/>
        <v>816504</v>
      </c>
      <c r="AZ243" s="77">
        <f t="shared" si="557"/>
        <v>992184</v>
      </c>
      <c r="BA243" s="78">
        <f t="shared" si="557"/>
        <v>82.906800000000004</v>
      </c>
      <c r="BB243" s="78">
        <f t="shared" si="557"/>
        <v>68.124100000000013</v>
      </c>
      <c r="BC243" s="79">
        <f t="shared" si="557"/>
        <v>14.7827</v>
      </c>
    </row>
    <row r="244" spans="1:55" ht="14.1" customHeight="1" x14ac:dyDescent="0.2">
      <c r="A244" s="68">
        <v>50</v>
      </c>
      <c r="B244" s="65">
        <v>2490</v>
      </c>
      <c r="C244" s="66">
        <v>600080005</v>
      </c>
      <c r="D244" s="65">
        <v>46746757</v>
      </c>
      <c r="E244" s="67" t="s">
        <v>666</v>
      </c>
      <c r="F244" s="68">
        <v>3113</v>
      </c>
      <c r="G244" s="67" t="s">
        <v>314</v>
      </c>
      <c r="H244" s="69" t="s">
        <v>277</v>
      </c>
      <c r="I244" s="477">
        <v>26953076</v>
      </c>
      <c r="J244" s="472">
        <v>19165115</v>
      </c>
      <c r="K244" s="472">
        <v>100000</v>
      </c>
      <c r="L244" s="472">
        <v>6511609</v>
      </c>
      <c r="M244" s="472">
        <v>383302</v>
      </c>
      <c r="N244" s="472">
        <v>793050</v>
      </c>
      <c r="O244" s="473">
        <v>32.987299999999998</v>
      </c>
      <c r="P244" s="473">
        <v>25.230699999999999</v>
      </c>
      <c r="Q244" s="483">
        <v>7.7566000000000006</v>
      </c>
      <c r="R244" s="485">
        <f t="shared" ref="R244:R248" si="558">Y244*-1</f>
        <v>0</v>
      </c>
      <c r="S244" s="475">
        <v>0</v>
      </c>
      <c r="T244" s="475">
        <v>0</v>
      </c>
      <c r="U244" s="475">
        <f>-171072+19008</f>
        <v>-152064</v>
      </c>
      <c r="V244" s="475">
        <v>0</v>
      </c>
      <c r="W244" s="475">
        <v>0</v>
      </c>
      <c r="X244" s="475">
        <f t="shared" ref="X244:X248" si="559">SUM(R244:W244)</f>
        <v>-152064</v>
      </c>
      <c r="Y244" s="475">
        <v>0</v>
      </c>
      <c r="Z244" s="475">
        <v>0</v>
      </c>
      <c r="AA244" s="475">
        <v>0</v>
      </c>
      <c r="AB244" s="475">
        <f t="shared" ref="AB244:AB248" si="560">SUM(Y244:AA244)</f>
        <v>0</v>
      </c>
      <c r="AC244" s="475">
        <f t="shared" ref="AC244:AC248" si="561">X244+AB244</f>
        <v>-152064</v>
      </c>
      <c r="AD244" s="70">
        <f t="shared" ref="AD244:AD248" si="562">ROUND((X244+Y244+Z244)*33.8%,0)</f>
        <v>-51398</v>
      </c>
      <c r="AE244" s="70">
        <f t="shared" ref="AE244:AE248" si="563">ROUND(X244*2%,0)</f>
        <v>-3041</v>
      </c>
      <c r="AF244" s="475">
        <v>0</v>
      </c>
      <c r="AG244" s="475">
        <v>0</v>
      </c>
      <c r="AH244" s="475">
        <f t="shared" ref="AH244:AH248" si="564">SUM(AF244:AG244)</f>
        <v>0</v>
      </c>
      <c r="AI244" s="475">
        <f t="shared" ref="AI244:AI248" si="565">AC244+AD244+AE244+AH244</f>
        <v>-206503</v>
      </c>
      <c r="AJ244" s="476">
        <v>0</v>
      </c>
      <c r="AK244" s="476">
        <v>0</v>
      </c>
      <c r="AL244" s="476">
        <v>0</v>
      </c>
      <c r="AM244" s="476">
        <v>0</v>
      </c>
      <c r="AN244" s="476">
        <v>0</v>
      </c>
      <c r="AO244" s="476">
        <f>-0.27+0.03</f>
        <v>-0.24000000000000002</v>
      </c>
      <c r="AP244" s="476">
        <v>0</v>
      </c>
      <c r="AQ244" s="476">
        <v>0</v>
      </c>
      <c r="AR244" s="476">
        <f t="shared" si="483"/>
        <v>-0.24000000000000002</v>
      </c>
      <c r="AS244" s="476">
        <f t="shared" si="484"/>
        <v>0</v>
      </c>
      <c r="AT244" s="478">
        <f t="shared" si="485"/>
        <v>-0.24000000000000002</v>
      </c>
      <c r="AU244" s="484">
        <f>I244+AI244</f>
        <v>26746573</v>
      </c>
      <c r="AV244" s="475">
        <f>J244+X244</f>
        <v>19013051</v>
      </c>
      <c r="AW244" s="475">
        <f>K244+AB244</f>
        <v>100000</v>
      </c>
      <c r="AX244" s="475">
        <f t="shared" ref="AX244:AY248" si="566">L244+AD244</f>
        <v>6460211</v>
      </c>
      <c r="AY244" s="475">
        <f t="shared" si="566"/>
        <v>380261</v>
      </c>
      <c r="AZ244" s="475">
        <f>N244+AH244</f>
        <v>793050</v>
      </c>
      <c r="BA244" s="476">
        <f>O244+AT244</f>
        <v>32.747299999999996</v>
      </c>
      <c r="BB244" s="476">
        <f t="shared" ref="BB244:BC248" si="567">P244+AR244</f>
        <v>24.9907</v>
      </c>
      <c r="BC244" s="478">
        <f t="shared" si="567"/>
        <v>7.7566000000000006</v>
      </c>
    </row>
    <row r="245" spans="1:55" ht="14.1" customHeight="1" x14ac:dyDescent="0.2">
      <c r="A245" s="68">
        <v>50</v>
      </c>
      <c r="B245" s="65">
        <v>2490</v>
      </c>
      <c r="C245" s="66">
        <v>600080005</v>
      </c>
      <c r="D245" s="65">
        <v>46746757</v>
      </c>
      <c r="E245" s="67" t="s">
        <v>666</v>
      </c>
      <c r="F245" s="68">
        <v>3113</v>
      </c>
      <c r="G245" s="80" t="s">
        <v>312</v>
      </c>
      <c r="H245" s="69" t="s">
        <v>278</v>
      </c>
      <c r="I245" s="477">
        <v>1659623</v>
      </c>
      <c r="J245" s="472">
        <v>1222109</v>
      </c>
      <c r="K245" s="472">
        <v>0</v>
      </c>
      <c r="L245" s="472">
        <v>413072</v>
      </c>
      <c r="M245" s="472">
        <v>24442</v>
      </c>
      <c r="N245" s="472">
        <v>0</v>
      </c>
      <c r="O245" s="473">
        <v>3.2699999999999996</v>
      </c>
      <c r="P245" s="474">
        <v>3.2699999999999996</v>
      </c>
      <c r="Q245" s="483">
        <v>0</v>
      </c>
      <c r="R245" s="485">
        <f t="shared" si="558"/>
        <v>0</v>
      </c>
      <c r="S245" s="475">
        <v>40577</v>
      </c>
      <c r="T245" s="475">
        <v>0</v>
      </c>
      <c r="U245" s="475">
        <v>0</v>
      </c>
      <c r="V245" s="475">
        <v>0</v>
      </c>
      <c r="W245" s="475">
        <v>0</v>
      </c>
      <c r="X245" s="475">
        <f t="shared" si="559"/>
        <v>40577</v>
      </c>
      <c r="Y245" s="475">
        <v>0</v>
      </c>
      <c r="Z245" s="475">
        <v>0</v>
      </c>
      <c r="AA245" s="475">
        <v>0</v>
      </c>
      <c r="AB245" s="475">
        <f t="shared" si="560"/>
        <v>0</v>
      </c>
      <c r="AC245" s="475">
        <f t="shared" si="561"/>
        <v>40577</v>
      </c>
      <c r="AD245" s="70">
        <f t="shared" si="562"/>
        <v>13715</v>
      </c>
      <c r="AE245" s="70">
        <f t="shared" si="563"/>
        <v>812</v>
      </c>
      <c r="AF245" s="475">
        <v>0</v>
      </c>
      <c r="AG245" s="475">
        <v>0</v>
      </c>
      <c r="AH245" s="475">
        <f t="shared" si="564"/>
        <v>0</v>
      </c>
      <c r="AI245" s="475">
        <f t="shared" si="565"/>
        <v>55104</v>
      </c>
      <c r="AJ245" s="476">
        <v>0</v>
      </c>
      <c r="AK245" s="476">
        <v>0</v>
      </c>
      <c r="AL245" s="476">
        <v>0.16</v>
      </c>
      <c r="AM245" s="476">
        <v>0</v>
      </c>
      <c r="AN245" s="476">
        <v>0</v>
      </c>
      <c r="AO245" s="476">
        <v>0</v>
      </c>
      <c r="AP245" s="476">
        <v>0</v>
      </c>
      <c r="AQ245" s="476">
        <v>0</v>
      </c>
      <c r="AR245" s="476">
        <f t="shared" si="483"/>
        <v>0.16</v>
      </c>
      <c r="AS245" s="476">
        <f t="shared" si="484"/>
        <v>0</v>
      </c>
      <c r="AT245" s="478">
        <f t="shared" si="485"/>
        <v>0.16</v>
      </c>
      <c r="AU245" s="484">
        <f>I245+AI245</f>
        <v>1714727</v>
      </c>
      <c r="AV245" s="475">
        <f>J245+X245</f>
        <v>1262686</v>
      </c>
      <c r="AW245" s="475">
        <f>K245+AB245</f>
        <v>0</v>
      </c>
      <c r="AX245" s="475">
        <f t="shared" si="566"/>
        <v>426787</v>
      </c>
      <c r="AY245" s="475">
        <f t="shared" si="566"/>
        <v>25254</v>
      </c>
      <c r="AZ245" s="475">
        <f>N245+AH245</f>
        <v>0</v>
      </c>
      <c r="BA245" s="476">
        <f>O245+AT245</f>
        <v>3.4299999999999997</v>
      </c>
      <c r="BB245" s="476">
        <f t="shared" si="567"/>
        <v>3.4299999999999997</v>
      </c>
      <c r="BC245" s="478">
        <f t="shared" si="567"/>
        <v>0</v>
      </c>
    </row>
    <row r="246" spans="1:55" ht="14.1" customHeight="1" x14ac:dyDescent="0.2">
      <c r="A246" s="68">
        <v>50</v>
      </c>
      <c r="B246" s="65">
        <v>2490</v>
      </c>
      <c r="C246" s="66">
        <v>600080005</v>
      </c>
      <c r="D246" s="65">
        <v>46746757</v>
      </c>
      <c r="E246" s="67" t="s">
        <v>666</v>
      </c>
      <c r="F246" s="68">
        <v>3141</v>
      </c>
      <c r="G246" s="67" t="s">
        <v>315</v>
      </c>
      <c r="H246" s="69" t="s">
        <v>278</v>
      </c>
      <c r="I246" s="477">
        <v>2173866</v>
      </c>
      <c r="J246" s="472">
        <v>1582405</v>
      </c>
      <c r="K246" s="472">
        <v>5000</v>
      </c>
      <c r="L246" s="472">
        <v>536543</v>
      </c>
      <c r="M246" s="472">
        <v>31648</v>
      </c>
      <c r="N246" s="472">
        <v>18270</v>
      </c>
      <c r="O246" s="473">
        <v>5</v>
      </c>
      <c r="P246" s="474">
        <v>0</v>
      </c>
      <c r="Q246" s="483">
        <v>5</v>
      </c>
      <c r="R246" s="485">
        <f t="shared" si="558"/>
        <v>0</v>
      </c>
      <c r="S246" s="475">
        <v>0</v>
      </c>
      <c r="T246" s="755">
        <v>-90318</v>
      </c>
      <c r="U246" s="475">
        <v>0</v>
      </c>
      <c r="V246" s="475">
        <v>0</v>
      </c>
      <c r="W246" s="475">
        <v>0</v>
      </c>
      <c r="X246" s="475">
        <f t="shared" si="559"/>
        <v>-90318</v>
      </c>
      <c r="Y246" s="475">
        <v>0</v>
      </c>
      <c r="Z246" s="475">
        <v>0</v>
      </c>
      <c r="AA246" s="475">
        <v>0</v>
      </c>
      <c r="AB246" s="475">
        <f t="shared" si="560"/>
        <v>0</v>
      </c>
      <c r="AC246" s="475">
        <f t="shared" si="561"/>
        <v>-90318</v>
      </c>
      <c r="AD246" s="70">
        <f t="shared" si="562"/>
        <v>-30527</v>
      </c>
      <c r="AE246" s="70">
        <f t="shared" si="563"/>
        <v>-1806</v>
      </c>
      <c r="AF246" s="475">
        <v>0</v>
      </c>
      <c r="AG246" s="475">
        <v>0</v>
      </c>
      <c r="AH246" s="475">
        <f t="shared" si="564"/>
        <v>0</v>
      </c>
      <c r="AI246" s="475">
        <f t="shared" si="565"/>
        <v>-122651</v>
      </c>
      <c r="AJ246" s="476">
        <v>0</v>
      </c>
      <c r="AK246" s="476">
        <v>0</v>
      </c>
      <c r="AL246" s="476">
        <v>0</v>
      </c>
      <c r="AM246" s="476">
        <v>0</v>
      </c>
      <c r="AN246" s="756">
        <v>-0.29000000000000004</v>
      </c>
      <c r="AO246" s="476">
        <v>0</v>
      </c>
      <c r="AP246" s="476">
        <v>0</v>
      </c>
      <c r="AQ246" s="476">
        <v>0</v>
      </c>
      <c r="AR246" s="476">
        <f t="shared" si="483"/>
        <v>0</v>
      </c>
      <c r="AS246" s="476">
        <f t="shared" si="484"/>
        <v>-0.29000000000000004</v>
      </c>
      <c r="AT246" s="478">
        <f t="shared" si="485"/>
        <v>-0.29000000000000004</v>
      </c>
      <c r="AU246" s="484">
        <f>I246+AI246</f>
        <v>2051215</v>
      </c>
      <c r="AV246" s="475">
        <f>J246+X246</f>
        <v>1492087</v>
      </c>
      <c r="AW246" s="475">
        <f>K246+AB246</f>
        <v>5000</v>
      </c>
      <c r="AX246" s="475">
        <f t="shared" si="566"/>
        <v>506016</v>
      </c>
      <c r="AY246" s="475">
        <f t="shared" si="566"/>
        <v>29842</v>
      </c>
      <c r="AZ246" s="475">
        <f>N246+AH246</f>
        <v>18270</v>
      </c>
      <c r="BA246" s="476">
        <f>O246+AT246</f>
        <v>4.71</v>
      </c>
      <c r="BB246" s="476">
        <f t="shared" si="567"/>
        <v>0</v>
      </c>
      <c r="BC246" s="478">
        <f t="shared" si="567"/>
        <v>4.71</v>
      </c>
    </row>
    <row r="247" spans="1:55" ht="14.1" customHeight="1" x14ac:dyDescent="0.2">
      <c r="A247" s="68">
        <v>50</v>
      </c>
      <c r="B247" s="65">
        <v>2490</v>
      </c>
      <c r="C247" s="66">
        <v>600080005</v>
      </c>
      <c r="D247" s="65">
        <v>46746757</v>
      </c>
      <c r="E247" s="67" t="s">
        <v>666</v>
      </c>
      <c r="F247" s="68">
        <v>3143</v>
      </c>
      <c r="G247" s="80" t="s">
        <v>626</v>
      </c>
      <c r="H247" s="69" t="s">
        <v>277</v>
      </c>
      <c r="I247" s="477">
        <v>2436559</v>
      </c>
      <c r="J247" s="472">
        <v>1789300</v>
      </c>
      <c r="K247" s="472">
        <v>5000</v>
      </c>
      <c r="L247" s="472">
        <v>606473</v>
      </c>
      <c r="M247" s="472">
        <v>35786</v>
      </c>
      <c r="N247" s="472">
        <v>0</v>
      </c>
      <c r="O247" s="473">
        <v>3.65</v>
      </c>
      <c r="P247" s="473">
        <v>3.65</v>
      </c>
      <c r="Q247" s="483">
        <v>0</v>
      </c>
      <c r="R247" s="485">
        <f t="shared" si="558"/>
        <v>0</v>
      </c>
      <c r="S247" s="475">
        <v>0</v>
      </c>
      <c r="T247" s="475">
        <v>0</v>
      </c>
      <c r="U247" s="475">
        <v>0</v>
      </c>
      <c r="V247" s="475">
        <v>0</v>
      </c>
      <c r="W247" s="475">
        <v>0</v>
      </c>
      <c r="X247" s="475">
        <f t="shared" si="559"/>
        <v>0</v>
      </c>
      <c r="Y247" s="475">
        <v>0</v>
      </c>
      <c r="Z247" s="475">
        <v>0</v>
      </c>
      <c r="AA247" s="475">
        <v>0</v>
      </c>
      <c r="AB247" s="475">
        <f t="shared" si="560"/>
        <v>0</v>
      </c>
      <c r="AC247" s="475">
        <f t="shared" si="561"/>
        <v>0</v>
      </c>
      <c r="AD247" s="70">
        <f t="shared" si="562"/>
        <v>0</v>
      </c>
      <c r="AE247" s="70">
        <f t="shared" si="563"/>
        <v>0</v>
      </c>
      <c r="AF247" s="475">
        <v>0</v>
      </c>
      <c r="AG247" s="475">
        <v>0</v>
      </c>
      <c r="AH247" s="475">
        <f t="shared" si="564"/>
        <v>0</v>
      </c>
      <c r="AI247" s="475">
        <f t="shared" si="565"/>
        <v>0</v>
      </c>
      <c r="AJ247" s="476">
        <v>0</v>
      </c>
      <c r="AK247" s="476">
        <v>0</v>
      </c>
      <c r="AL247" s="476">
        <v>0</v>
      </c>
      <c r="AM247" s="476">
        <v>0</v>
      </c>
      <c r="AN247" s="476">
        <v>0</v>
      </c>
      <c r="AO247" s="476">
        <v>0</v>
      </c>
      <c r="AP247" s="476">
        <v>0</v>
      </c>
      <c r="AQ247" s="476">
        <v>0</v>
      </c>
      <c r="AR247" s="476">
        <f t="shared" si="483"/>
        <v>0</v>
      </c>
      <c r="AS247" s="476">
        <f t="shared" si="484"/>
        <v>0</v>
      </c>
      <c r="AT247" s="478">
        <f t="shared" si="485"/>
        <v>0</v>
      </c>
      <c r="AU247" s="484">
        <f>I247+AI247</f>
        <v>2436559</v>
      </c>
      <c r="AV247" s="475">
        <f>J247+X247</f>
        <v>1789300</v>
      </c>
      <c r="AW247" s="475">
        <f>K247+AB247</f>
        <v>5000</v>
      </c>
      <c r="AX247" s="475">
        <f t="shared" si="566"/>
        <v>606473</v>
      </c>
      <c r="AY247" s="475">
        <f t="shared" si="566"/>
        <v>35786</v>
      </c>
      <c r="AZ247" s="475">
        <f>N247+AH247</f>
        <v>0</v>
      </c>
      <c r="BA247" s="476">
        <f>O247+AT247</f>
        <v>3.65</v>
      </c>
      <c r="BB247" s="476">
        <f t="shared" si="567"/>
        <v>3.65</v>
      </c>
      <c r="BC247" s="478">
        <f t="shared" si="567"/>
        <v>0</v>
      </c>
    </row>
    <row r="248" spans="1:55" ht="14.1" customHeight="1" x14ac:dyDescent="0.2">
      <c r="A248" s="68">
        <v>50</v>
      </c>
      <c r="B248" s="65">
        <v>2490</v>
      </c>
      <c r="C248" s="66">
        <v>600080005</v>
      </c>
      <c r="D248" s="65">
        <v>46746757</v>
      </c>
      <c r="E248" s="67" t="s">
        <v>666</v>
      </c>
      <c r="F248" s="68">
        <v>3143</v>
      </c>
      <c r="G248" s="80" t="s">
        <v>627</v>
      </c>
      <c r="H248" s="69" t="s">
        <v>278</v>
      </c>
      <c r="I248" s="477">
        <v>82403</v>
      </c>
      <c r="J248" s="472">
        <v>58272</v>
      </c>
      <c r="K248" s="472">
        <v>0</v>
      </c>
      <c r="L248" s="472">
        <v>19696</v>
      </c>
      <c r="M248" s="472">
        <v>1165</v>
      </c>
      <c r="N248" s="472">
        <v>3270</v>
      </c>
      <c r="O248" s="473">
        <v>0.23</v>
      </c>
      <c r="P248" s="474">
        <v>0</v>
      </c>
      <c r="Q248" s="483">
        <v>0.23</v>
      </c>
      <c r="R248" s="485">
        <f t="shared" si="558"/>
        <v>0</v>
      </c>
      <c r="S248" s="475">
        <v>0</v>
      </c>
      <c r="T248" s="475">
        <v>0</v>
      </c>
      <c r="U248" s="475">
        <v>0</v>
      </c>
      <c r="V248" s="475">
        <v>0</v>
      </c>
      <c r="W248" s="475">
        <v>0</v>
      </c>
      <c r="X248" s="475">
        <f t="shared" si="559"/>
        <v>0</v>
      </c>
      <c r="Y248" s="475">
        <v>0</v>
      </c>
      <c r="Z248" s="475">
        <v>0</v>
      </c>
      <c r="AA248" s="475">
        <v>0</v>
      </c>
      <c r="AB248" s="475">
        <f t="shared" si="560"/>
        <v>0</v>
      </c>
      <c r="AC248" s="475">
        <f t="shared" si="561"/>
        <v>0</v>
      </c>
      <c r="AD248" s="70">
        <f t="shared" si="562"/>
        <v>0</v>
      </c>
      <c r="AE248" s="70">
        <f t="shared" si="563"/>
        <v>0</v>
      </c>
      <c r="AF248" s="475">
        <v>0</v>
      </c>
      <c r="AG248" s="475">
        <v>0</v>
      </c>
      <c r="AH248" s="475">
        <f t="shared" si="564"/>
        <v>0</v>
      </c>
      <c r="AI248" s="475">
        <f t="shared" si="565"/>
        <v>0</v>
      </c>
      <c r="AJ248" s="476">
        <v>0</v>
      </c>
      <c r="AK248" s="476">
        <v>0</v>
      </c>
      <c r="AL248" s="476">
        <v>0</v>
      </c>
      <c r="AM248" s="476">
        <v>0</v>
      </c>
      <c r="AN248" s="476">
        <v>0</v>
      </c>
      <c r="AO248" s="476">
        <v>0</v>
      </c>
      <c r="AP248" s="476">
        <v>0</v>
      </c>
      <c r="AQ248" s="476">
        <v>0</v>
      </c>
      <c r="AR248" s="476">
        <f t="shared" si="483"/>
        <v>0</v>
      </c>
      <c r="AS248" s="476">
        <f t="shared" si="484"/>
        <v>0</v>
      </c>
      <c r="AT248" s="478">
        <f t="shared" si="485"/>
        <v>0</v>
      </c>
      <c r="AU248" s="484">
        <f>I248+AI248</f>
        <v>82403</v>
      </c>
      <c r="AV248" s="475">
        <f>J248+X248</f>
        <v>58272</v>
      </c>
      <c r="AW248" s="475">
        <f>K248+AB248</f>
        <v>0</v>
      </c>
      <c r="AX248" s="475">
        <f t="shared" si="566"/>
        <v>19696</v>
      </c>
      <c r="AY248" s="475">
        <f t="shared" si="566"/>
        <v>1165</v>
      </c>
      <c r="AZ248" s="475">
        <f>N248+AH248</f>
        <v>3270</v>
      </c>
      <c r="BA248" s="476">
        <f>O248+AT248</f>
        <v>0.23</v>
      </c>
      <c r="BB248" s="476">
        <f t="shared" si="567"/>
        <v>0</v>
      </c>
      <c r="BC248" s="478">
        <f t="shared" si="567"/>
        <v>0.23</v>
      </c>
    </row>
    <row r="249" spans="1:55" ht="14.1" customHeight="1" x14ac:dyDescent="0.2">
      <c r="A249" s="74">
        <v>50</v>
      </c>
      <c r="B249" s="71">
        <v>2490</v>
      </c>
      <c r="C249" s="72">
        <v>600080005</v>
      </c>
      <c r="D249" s="71">
        <v>46746757</v>
      </c>
      <c r="E249" s="73" t="s">
        <v>667</v>
      </c>
      <c r="F249" s="74"/>
      <c r="G249" s="73"/>
      <c r="H249" s="75"/>
      <c r="I249" s="76">
        <v>33305527</v>
      </c>
      <c r="J249" s="77">
        <v>23817201</v>
      </c>
      <c r="K249" s="77">
        <v>110000</v>
      </c>
      <c r="L249" s="77">
        <v>8087393</v>
      </c>
      <c r="M249" s="77">
        <v>476343</v>
      </c>
      <c r="N249" s="77">
        <v>814590</v>
      </c>
      <c r="O249" s="78">
        <v>45.137299999999996</v>
      </c>
      <c r="P249" s="78">
        <v>32.150700000000001</v>
      </c>
      <c r="Q249" s="718">
        <v>12.986600000000001</v>
      </c>
      <c r="R249" s="76">
        <f t="shared" ref="R249:BC249" si="568">SUM(R244:R248)</f>
        <v>0</v>
      </c>
      <c r="S249" s="77">
        <f t="shared" si="568"/>
        <v>40577</v>
      </c>
      <c r="T249" s="77">
        <f t="shared" si="568"/>
        <v>-90318</v>
      </c>
      <c r="U249" s="77">
        <f t="shared" si="568"/>
        <v>-152064</v>
      </c>
      <c r="V249" s="77">
        <f t="shared" si="568"/>
        <v>0</v>
      </c>
      <c r="W249" s="77">
        <f t="shared" si="568"/>
        <v>0</v>
      </c>
      <c r="X249" s="77">
        <f t="shared" si="568"/>
        <v>-201805</v>
      </c>
      <c r="Y249" s="77">
        <f t="shared" si="568"/>
        <v>0</v>
      </c>
      <c r="Z249" s="77">
        <f t="shared" si="568"/>
        <v>0</v>
      </c>
      <c r="AA249" s="77">
        <f t="shared" si="568"/>
        <v>0</v>
      </c>
      <c r="AB249" s="77">
        <f t="shared" si="568"/>
        <v>0</v>
      </c>
      <c r="AC249" s="77">
        <f t="shared" si="568"/>
        <v>-201805</v>
      </c>
      <c r="AD249" s="77">
        <f t="shared" si="568"/>
        <v>-68210</v>
      </c>
      <c r="AE249" s="77">
        <f t="shared" si="568"/>
        <v>-4035</v>
      </c>
      <c r="AF249" s="77">
        <f t="shared" si="568"/>
        <v>0</v>
      </c>
      <c r="AG249" s="77">
        <f t="shared" si="568"/>
        <v>0</v>
      </c>
      <c r="AH249" s="77">
        <f t="shared" si="568"/>
        <v>0</v>
      </c>
      <c r="AI249" s="77">
        <f t="shared" si="568"/>
        <v>-274050</v>
      </c>
      <c r="AJ249" s="78">
        <f t="shared" si="568"/>
        <v>0</v>
      </c>
      <c r="AK249" s="78">
        <f t="shared" si="568"/>
        <v>0</v>
      </c>
      <c r="AL249" s="78">
        <f t="shared" si="568"/>
        <v>0.16</v>
      </c>
      <c r="AM249" s="78">
        <f t="shared" si="568"/>
        <v>0</v>
      </c>
      <c r="AN249" s="78">
        <f t="shared" si="568"/>
        <v>-0.29000000000000004</v>
      </c>
      <c r="AO249" s="78">
        <f t="shared" si="568"/>
        <v>-0.24000000000000002</v>
      </c>
      <c r="AP249" s="78">
        <f t="shared" si="568"/>
        <v>0</v>
      </c>
      <c r="AQ249" s="78">
        <f t="shared" si="568"/>
        <v>0</v>
      </c>
      <c r="AR249" s="78">
        <f t="shared" si="568"/>
        <v>-8.0000000000000016E-2</v>
      </c>
      <c r="AS249" s="78">
        <f t="shared" si="568"/>
        <v>-0.29000000000000004</v>
      </c>
      <c r="AT249" s="79">
        <f t="shared" si="568"/>
        <v>-0.37000000000000005</v>
      </c>
      <c r="AU249" s="433">
        <f t="shared" si="568"/>
        <v>33031477</v>
      </c>
      <c r="AV249" s="77">
        <f t="shared" si="568"/>
        <v>23615396</v>
      </c>
      <c r="AW249" s="77">
        <f t="shared" si="568"/>
        <v>110000</v>
      </c>
      <c r="AX249" s="77">
        <f t="shared" si="568"/>
        <v>8019183</v>
      </c>
      <c r="AY249" s="77">
        <f t="shared" si="568"/>
        <v>472308</v>
      </c>
      <c r="AZ249" s="77">
        <f t="shared" si="568"/>
        <v>814590</v>
      </c>
      <c r="BA249" s="78">
        <f t="shared" si="568"/>
        <v>44.767299999999992</v>
      </c>
      <c r="BB249" s="78">
        <f t="shared" si="568"/>
        <v>32.070700000000002</v>
      </c>
      <c r="BC249" s="79">
        <f t="shared" si="568"/>
        <v>12.6966</v>
      </c>
    </row>
    <row r="250" spans="1:55" ht="14.1" customHeight="1" x14ac:dyDescent="0.2">
      <c r="A250" s="68">
        <v>51</v>
      </c>
      <c r="B250" s="65">
        <v>2310</v>
      </c>
      <c r="C250" s="66">
        <v>600080412</v>
      </c>
      <c r="D250" s="65">
        <v>72742038</v>
      </c>
      <c r="E250" s="67" t="s">
        <v>668</v>
      </c>
      <c r="F250" s="68">
        <v>3114</v>
      </c>
      <c r="G250" s="172" t="s">
        <v>556</v>
      </c>
      <c r="H250" s="69" t="s">
        <v>277</v>
      </c>
      <c r="I250" s="477">
        <v>27737142</v>
      </c>
      <c r="J250" s="472">
        <v>20188500</v>
      </c>
      <c r="K250" s="472">
        <v>20000</v>
      </c>
      <c r="L250" s="472">
        <v>6830473</v>
      </c>
      <c r="M250" s="472">
        <v>403769</v>
      </c>
      <c r="N250" s="472">
        <v>294400</v>
      </c>
      <c r="O250" s="473">
        <v>35.207499999999996</v>
      </c>
      <c r="P250" s="473">
        <v>26.818100000000001</v>
      </c>
      <c r="Q250" s="483">
        <v>8.3894000000000002</v>
      </c>
      <c r="R250" s="485">
        <f t="shared" ref="R250:R255" si="569">Y250*-1</f>
        <v>0</v>
      </c>
      <c r="S250" s="475">
        <v>0</v>
      </c>
      <c r="T250" s="475">
        <v>-197801</v>
      </c>
      <c r="U250" s="475">
        <v>0</v>
      </c>
      <c r="V250" s="475">
        <v>-294551</v>
      </c>
      <c r="W250" s="475">
        <v>0</v>
      </c>
      <c r="X250" s="475">
        <f t="shared" ref="X250:X255" si="570">SUM(R250:W250)</f>
        <v>-492352</v>
      </c>
      <c r="Y250" s="475">
        <v>0</v>
      </c>
      <c r="Z250" s="475">
        <v>0</v>
      </c>
      <c r="AA250" s="475">
        <v>0</v>
      </c>
      <c r="AB250" s="475">
        <f t="shared" ref="AB250:AB255" si="571">SUM(Y250:AA250)</f>
        <v>0</v>
      </c>
      <c r="AC250" s="475">
        <f t="shared" ref="AC250:AC255" si="572">X250+AB250</f>
        <v>-492352</v>
      </c>
      <c r="AD250" s="70">
        <f t="shared" ref="AD250:AD255" si="573">ROUND((X250+Y250+Z250)*33.8%,0)</f>
        <v>-166415</v>
      </c>
      <c r="AE250" s="70">
        <f t="shared" ref="AE250:AE255" si="574">ROUND(X250*2%,0)</f>
        <v>-9847</v>
      </c>
      <c r="AF250" s="475">
        <v>0</v>
      </c>
      <c r="AG250" s="475">
        <v>400000</v>
      </c>
      <c r="AH250" s="475">
        <f t="shared" ref="AH250:AH255" si="575">SUM(AF250:AG250)</f>
        <v>400000</v>
      </c>
      <c r="AI250" s="475">
        <f t="shared" ref="AI250:AI255" si="576">AC250+AD250+AE250+AH250</f>
        <v>-268614</v>
      </c>
      <c r="AJ250" s="476">
        <v>0</v>
      </c>
      <c r="AK250" s="476">
        <v>0</v>
      </c>
      <c r="AL250" s="476">
        <v>0</v>
      </c>
      <c r="AM250" s="476">
        <v>-0.3</v>
      </c>
      <c r="AN250" s="476">
        <v>0</v>
      </c>
      <c r="AO250" s="476">
        <v>0</v>
      </c>
      <c r="AP250" s="476">
        <v>0</v>
      </c>
      <c r="AQ250" s="476">
        <v>0</v>
      </c>
      <c r="AR250" s="476">
        <f t="shared" si="483"/>
        <v>-0.3</v>
      </c>
      <c r="AS250" s="476">
        <f t="shared" si="484"/>
        <v>0</v>
      </c>
      <c r="AT250" s="478">
        <f t="shared" si="485"/>
        <v>-0.3</v>
      </c>
      <c r="AU250" s="484">
        <f t="shared" ref="AU250:AU255" si="577">I250+AI250</f>
        <v>27468528</v>
      </c>
      <c r="AV250" s="475">
        <f t="shared" ref="AV250:AV255" si="578">J250+X250</f>
        <v>19696148</v>
      </c>
      <c r="AW250" s="475">
        <f t="shared" ref="AW250:AW255" si="579">K250+AB250</f>
        <v>20000</v>
      </c>
      <c r="AX250" s="475">
        <f t="shared" ref="AX250:AY255" si="580">L250+AD250</f>
        <v>6664058</v>
      </c>
      <c r="AY250" s="475">
        <f t="shared" si="580"/>
        <v>393922</v>
      </c>
      <c r="AZ250" s="475">
        <f t="shared" ref="AZ250:AZ255" si="581">N250+AH250</f>
        <v>694400</v>
      </c>
      <c r="BA250" s="476">
        <f t="shared" ref="BA250:BA255" si="582">O250+AT250</f>
        <v>34.907499999999999</v>
      </c>
      <c r="BB250" s="476">
        <f t="shared" ref="BB250:BC255" si="583">P250+AR250</f>
        <v>26.5181</v>
      </c>
      <c r="BC250" s="478">
        <f t="shared" si="583"/>
        <v>8.3894000000000002</v>
      </c>
    </row>
    <row r="251" spans="1:55" ht="14.1" customHeight="1" x14ac:dyDescent="0.2">
      <c r="A251" s="68">
        <v>51</v>
      </c>
      <c r="B251" s="65">
        <v>2310</v>
      </c>
      <c r="C251" s="66">
        <v>600080412</v>
      </c>
      <c r="D251" s="65">
        <v>72742038</v>
      </c>
      <c r="E251" s="67" t="s">
        <v>668</v>
      </c>
      <c r="F251" s="68">
        <v>3114</v>
      </c>
      <c r="G251" s="44" t="s">
        <v>313</v>
      </c>
      <c r="H251" s="69" t="s">
        <v>277</v>
      </c>
      <c r="I251" s="477">
        <v>10948103</v>
      </c>
      <c r="J251" s="472">
        <v>8061931</v>
      </c>
      <c r="K251" s="472">
        <v>0</v>
      </c>
      <c r="L251" s="472">
        <v>2724933</v>
      </c>
      <c r="M251" s="472">
        <v>161239</v>
      </c>
      <c r="N251" s="472">
        <v>0</v>
      </c>
      <c r="O251" s="473">
        <v>20.7502</v>
      </c>
      <c r="P251" s="473">
        <v>20.7502</v>
      </c>
      <c r="Q251" s="483">
        <v>0</v>
      </c>
      <c r="R251" s="485">
        <f t="shared" si="569"/>
        <v>0</v>
      </c>
      <c r="S251" s="475">
        <v>0</v>
      </c>
      <c r="T251" s="475">
        <v>68639</v>
      </c>
      <c r="U251" s="475">
        <v>0</v>
      </c>
      <c r="V251" s="475">
        <v>0</v>
      </c>
      <c r="W251" s="475">
        <v>0</v>
      </c>
      <c r="X251" s="475">
        <f t="shared" si="570"/>
        <v>68639</v>
      </c>
      <c r="Y251" s="475">
        <v>0</v>
      </c>
      <c r="Z251" s="475">
        <v>0</v>
      </c>
      <c r="AA251" s="475">
        <v>0</v>
      </c>
      <c r="AB251" s="475">
        <f t="shared" si="571"/>
        <v>0</v>
      </c>
      <c r="AC251" s="475">
        <f t="shared" si="572"/>
        <v>68639</v>
      </c>
      <c r="AD251" s="70">
        <f t="shared" si="573"/>
        <v>23200</v>
      </c>
      <c r="AE251" s="70">
        <f t="shared" si="574"/>
        <v>1373</v>
      </c>
      <c r="AF251" s="475">
        <v>0</v>
      </c>
      <c r="AG251" s="475">
        <v>0</v>
      </c>
      <c r="AH251" s="475">
        <f t="shared" si="575"/>
        <v>0</v>
      </c>
      <c r="AI251" s="475">
        <f t="shared" si="576"/>
        <v>93212</v>
      </c>
      <c r="AJ251" s="476">
        <v>0</v>
      </c>
      <c r="AK251" s="476">
        <v>0</v>
      </c>
      <c r="AL251" s="476">
        <v>0</v>
      </c>
      <c r="AM251" s="476">
        <v>0.18</v>
      </c>
      <c r="AN251" s="476">
        <v>0</v>
      </c>
      <c r="AO251" s="476">
        <v>0</v>
      </c>
      <c r="AP251" s="476">
        <v>0</v>
      </c>
      <c r="AQ251" s="476">
        <v>0</v>
      </c>
      <c r="AR251" s="476">
        <f t="shared" si="483"/>
        <v>0.18</v>
      </c>
      <c r="AS251" s="476">
        <f t="shared" si="484"/>
        <v>0</v>
      </c>
      <c r="AT251" s="478">
        <f t="shared" si="485"/>
        <v>0.18</v>
      </c>
      <c r="AU251" s="484">
        <f t="shared" si="577"/>
        <v>11041315</v>
      </c>
      <c r="AV251" s="475">
        <f t="shared" si="578"/>
        <v>8130570</v>
      </c>
      <c r="AW251" s="475">
        <f t="shared" si="579"/>
        <v>0</v>
      </c>
      <c r="AX251" s="475">
        <f t="shared" si="580"/>
        <v>2748133</v>
      </c>
      <c r="AY251" s="475">
        <f t="shared" si="580"/>
        <v>162612</v>
      </c>
      <c r="AZ251" s="475">
        <f t="shared" si="581"/>
        <v>0</v>
      </c>
      <c r="BA251" s="476">
        <f t="shared" si="582"/>
        <v>20.930199999999999</v>
      </c>
      <c r="BB251" s="476">
        <f t="shared" si="583"/>
        <v>20.930199999999999</v>
      </c>
      <c r="BC251" s="478">
        <f t="shared" si="583"/>
        <v>0</v>
      </c>
    </row>
    <row r="252" spans="1:55" ht="14.1" customHeight="1" x14ac:dyDescent="0.2">
      <c r="A252" s="68">
        <v>51</v>
      </c>
      <c r="B252" s="65">
        <v>2310</v>
      </c>
      <c r="C252" s="66">
        <v>600080412</v>
      </c>
      <c r="D252" s="65">
        <v>72742038</v>
      </c>
      <c r="E252" s="67" t="s">
        <v>668</v>
      </c>
      <c r="F252" s="68">
        <v>3114</v>
      </c>
      <c r="G252" s="80" t="s">
        <v>312</v>
      </c>
      <c r="H252" s="69" t="s">
        <v>278</v>
      </c>
      <c r="I252" s="477">
        <v>0</v>
      </c>
      <c r="J252" s="472">
        <v>0</v>
      </c>
      <c r="K252" s="472">
        <v>0</v>
      </c>
      <c r="L252" s="472">
        <v>0</v>
      </c>
      <c r="M252" s="472">
        <v>0</v>
      </c>
      <c r="N252" s="472">
        <v>0</v>
      </c>
      <c r="O252" s="473">
        <v>0</v>
      </c>
      <c r="P252" s="474">
        <v>0</v>
      </c>
      <c r="Q252" s="483">
        <v>0</v>
      </c>
      <c r="R252" s="485">
        <f t="shared" si="569"/>
        <v>0</v>
      </c>
      <c r="S252" s="475">
        <v>0</v>
      </c>
      <c r="T252" s="475">
        <v>0</v>
      </c>
      <c r="U252" s="475">
        <v>0</v>
      </c>
      <c r="V252" s="475">
        <v>0</v>
      </c>
      <c r="W252" s="475">
        <v>0</v>
      </c>
      <c r="X252" s="475">
        <f t="shared" si="570"/>
        <v>0</v>
      </c>
      <c r="Y252" s="475">
        <v>0</v>
      </c>
      <c r="Z252" s="475">
        <v>0</v>
      </c>
      <c r="AA252" s="475">
        <v>0</v>
      </c>
      <c r="AB252" s="475">
        <f t="shared" si="571"/>
        <v>0</v>
      </c>
      <c r="AC252" s="475">
        <f t="shared" si="572"/>
        <v>0</v>
      </c>
      <c r="AD252" s="70">
        <f t="shared" si="573"/>
        <v>0</v>
      </c>
      <c r="AE252" s="70">
        <f t="shared" si="574"/>
        <v>0</v>
      </c>
      <c r="AF252" s="475">
        <v>0</v>
      </c>
      <c r="AG252" s="475">
        <v>0</v>
      </c>
      <c r="AH252" s="475">
        <f t="shared" si="575"/>
        <v>0</v>
      </c>
      <c r="AI252" s="475">
        <f t="shared" si="576"/>
        <v>0</v>
      </c>
      <c r="AJ252" s="476">
        <v>0</v>
      </c>
      <c r="AK252" s="476">
        <v>0</v>
      </c>
      <c r="AL252" s="476">
        <v>0</v>
      </c>
      <c r="AM252" s="476">
        <v>0</v>
      </c>
      <c r="AN252" s="476">
        <v>0</v>
      </c>
      <c r="AO252" s="476">
        <v>0</v>
      </c>
      <c r="AP252" s="476">
        <v>0</v>
      </c>
      <c r="AQ252" s="476">
        <v>0</v>
      </c>
      <c r="AR252" s="476">
        <f t="shared" si="483"/>
        <v>0</v>
      </c>
      <c r="AS252" s="476">
        <f t="shared" si="484"/>
        <v>0</v>
      </c>
      <c r="AT252" s="478">
        <f t="shared" si="485"/>
        <v>0</v>
      </c>
      <c r="AU252" s="484">
        <f t="shared" si="577"/>
        <v>0</v>
      </c>
      <c r="AV252" s="475">
        <f t="shared" si="578"/>
        <v>0</v>
      </c>
      <c r="AW252" s="475">
        <f t="shared" si="579"/>
        <v>0</v>
      </c>
      <c r="AX252" s="475">
        <f t="shared" si="580"/>
        <v>0</v>
      </c>
      <c r="AY252" s="475">
        <f t="shared" si="580"/>
        <v>0</v>
      </c>
      <c r="AZ252" s="475">
        <f t="shared" si="581"/>
        <v>0</v>
      </c>
      <c r="BA252" s="476">
        <f t="shared" si="582"/>
        <v>0</v>
      </c>
      <c r="BB252" s="476">
        <f t="shared" si="583"/>
        <v>0</v>
      </c>
      <c r="BC252" s="478">
        <f t="shared" si="583"/>
        <v>0</v>
      </c>
    </row>
    <row r="253" spans="1:55" ht="14.1" customHeight="1" x14ac:dyDescent="0.2">
      <c r="A253" s="68">
        <v>51</v>
      </c>
      <c r="B253" s="65">
        <v>2310</v>
      </c>
      <c r="C253" s="66">
        <v>600080412</v>
      </c>
      <c r="D253" s="65">
        <v>72742038</v>
      </c>
      <c r="E253" s="67" t="s">
        <v>668</v>
      </c>
      <c r="F253" s="68">
        <v>3141</v>
      </c>
      <c r="G253" s="67" t="s">
        <v>315</v>
      </c>
      <c r="H253" s="69" t="s">
        <v>278</v>
      </c>
      <c r="I253" s="477">
        <v>92302</v>
      </c>
      <c r="J253" s="472">
        <v>67437</v>
      </c>
      <c r="K253" s="472">
        <v>0</v>
      </c>
      <c r="L253" s="472">
        <v>22794</v>
      </c>
      <c r="M253" s="472">
        <v>1349</v>
      </c>
      <c r="N253" s="472">
        <v>722</v>
      </c>
      <c r="O253" s="473">
        <v>0.21</v>
      </c>
      <c r="P253" s="474">
        <v>0</v>
      </c>
      <c r="Q253" s="483">
        <v>0.21</v>
      </c>
      <c r="R253" s="485">
        <f t="shared" si="569"/>
        <v>0</v>
      </c>
      <c r="S253" s="475">
        <v>0</v>
      </c>
      <c r="T253" s="755">
        <v>-2366</v>
      </c>
      <c r="U253" s="475">
        <v>0</v>
      </c>
      <c r="V253" s="475">
        <v>0</v>
      </c>
      <c r="W253" s="475">
        <v>0</v>
      </c>
      <c r="X253" s="475">
        <f t="shared" si="570"/>
        <v>-2366</v>
      </c>
      <c r="Y253" s="475">
        <v>0</v>
      </c>
      <c r="Z253" s="475">
        <v>0</v>
      </c>
      <c r="AA253" s="475">
        <v>0</v>
      </c>
      <c r="AB253" s="475">
        <f t="shared" si="571"/>
        <v>0</v>
      </c>
      <c r="AC253" s="475">
        <f t="shared" si="572"/>
        <v>-2366</v>
      </c>
      <c r="AD253" s="70">
        <f t="shared" si="573"/>
        <v>-800</v>
      </c>
      <c r="AE253" s="70">
        <f t="shared" si="574"/>
        <v>-47</v>
      </c>
      <c r="AF253" s="475">
        <v>0</v>
      </c>
      <c r="AG253" s="475">
        <v>0</v>
      </c>
      <c r="AH253" s="475">
        <f t="shared" si="575"/>
        <v>0</v>
      </c>
      <c r="AI253" s="475">
        <f t="shared" si="576"/>
        <v>-3213</v>
      </c>
      <c r="AJ253" s="476">
        <v>0</v>
      </c>
      <c r="AK253" s="476">
        <v>0</v>
      </c>
      <c r="AL253" s="476">
        <v>0</v>
      </c>
      <c r="AM253" s="476">
        <v>0</v>
      </c>
      <c r="AN253" s="756">
        <v>-1.0000000000000009E-2</v>
      </c>
      <c r="AO253" s="476">
        <v>0</v>
      </c>
      <c r="AP253" s="476">
        <v>0</v>
      </c>
      <c r="AQ253" s="476">
        <v>0</v>
      </c>
      <c r="AR253" s="476">
        <f t="shared" si="483"/>
        <v>0</v>
      </c>
      <c r="AS253" s="476">
        <f t="shared" si="484"/>
        <v>-1.0000000000000009E-2</v>
      </c>
      <c r="AT253" s="478">
        <f t="shared" si="485"/>
        <v>-1.0000000000000009E-2</v>
      </c>
      <c r="AU253" s="484">
        <f t="shared" si="577"/>
        <v>89089</v>
      </c>
      <c r="AV253" s="475">
        <f t="shared" si="578"/>
        <v>65071</v>
      </c>
      <c r="AW253" s="475">
        <f t="shared" si="579"/>
        <v>0</v>
      </c>
      <c r="AX253" s="475">
        <f t="shared" si="580"/>
        <v>21994</v>
      </c>
      <c r="AY253" s="475">
        <f t="shared" si="580"/>
        <v>1302</v>
      </c>
      <c r="AZ253" s="475">
        <f t="shared" si="581"/>
        <v>722</v>
      </c>
      <c r="BA253" s="476">
        <f t="shared" si="582"/>
        <v>0.19999999999999998</v>
      </c>
      <c r="BB253" s="476">
        <f t="shared" si="583"/>
        <v>0</v>
      </c>
      <c r="BC253" s="478">
        <f t="shared" si="583"/>
        <v>0.19999999999999998</v>
      </c>
    </row>
    <row r="254" spans="1:55" ht="14.1" customHeight="1" x14ac:dyDescent="0.2">
      <c r="A254" s="68">
        <v>51</v>
      </c>
      <c r="B254" s="65">
        <v>2310</v>
      </c>
      <c r="C254" s="66">
        <v>600080412</v>
      </c>
      <c r="D254" s="65">
        <v>72742038</v>
      </c>
      <c r="E254" s="67" t="s">
        <v>668</v>
      </c>
      <c r="F254" s="68">
        <v>3143</v>
      </c>
      <c r="G254" s="80" t="s">
        <v>626</v>
      </c>
      <c r="H254" s="69" t="s">
        <v>277</v>
      </c>
      <c r="I254" s="477">
        <v>1601408</v>
      </c>
      <c r="J254" s="472">
        <v>1179240</v>
      </c>
      <c r="K254" s="472">
        <v>0</v>
      </c>
      <c r="L254" s="472">
        <v>398583</v>
      </c>
      <c r="M254" s="472">
        <v>23585</v>
      </c>
      <c r="N254" s="472">
        <v>0</v>
      </c>
      <c r="O254" s="473">
        <v>2.5</v>
      </c>
      <c r="P254" s="473">
        <v>2.5</v>
      </c>
      <c r="Q254" s="483">
        <v>0</v>
      </c>
      <c r="R254" s="485">
        <f t="shared" si="569"/>
        <v>0</v>
      </c>
      <c r="S254" s="475">
        <v>0</v>
      </c>
      <c r="T254" s="475">
        <v>0</v>
      </c>
      <c r="U254" s="475">
        <v>0</v>
      </c>
      <c r="V254" s="475">
        <v>0</v>
      </c>
      <c r="W254" s="475">
        <v>0</v>
      </c>
      <c r="X254" s="475">
        <f t="shared" si="570"/>
        <v>0</v>
      </c>
      <c r="Y254" s="475">
        <v>0</v>
      </c>
      <c r="Z254" s="475">
        <v>0</v>
      </c>
      <c r="AA254" s="475">
        <v>0</v>
      </c>
      <c r="AB254" s="475">
        <f t="shared" si="571"/>
        <v>0</v>
      </c>
      <c r="AC254" s="475">
        <f t="shared" si="572"/>
        <v>0</v>
      </c>
      <c r="AD254" s="70">
        <f t="shared" si="573"/>
        <v>0</v>
      </c>
      <c r="AE254" s="70">
        <f t="shared" si="574"/>
        <v>0</v>
      </c>
      <c r="AF254" s="475">
        <v>0</v>
      </c>
      <c r="AG254" s="475">
        <v>0</v>
      </c>
      <c r="AH254" s="475">
        <f t="shared" si="575"/>
        <v>0</v>
      </c>
      <c r="AI254" s="475">
        <f t="shared" si="576"/>
        <v>0</v>
      </c>
      <c r="AJ254" s="476">
        <v>0</v>
      </c>
      <c r="AK254" s="476">
        <v>0</v>
      </c>
      <c r="AL254" s="476">
        <v>0</v>
      </c>
      <c r="AM254" s="476">
        <v>0</v>
      </c>
      <c r="AN254" s="476">
        <v>0</v>
      </c>
      <c r="AO254" s="476">
        <v>0</v>
      </c>
      <c r="AP254" s="476">
        <v>0</v>
      </c>
      <c r="AQ254" s="476">
        <v>0</v>
      </c>
      <c r="AR254" s="476">
        <f t="shared" si="483"/>
        <v>0</v>
      </c>
      <c r="AS254" s="476">
        <f t="shared" si="484"/>
        <v>0</v>
      </c>
      <c r="AT254" s="478">
        <f t="shared" si="485"/>
        <v>0</v>
      </c>
      <c r="AU254" s="484">
        <f t="shared" si="577"/>
        <v>1601408</v>
      </c>
      <c r="AV254" s="475">
        <f t="shared" si="578"/>
        <v>1179240</v>
      </c>
      <c r="AW254" s="475">
        <f t="shared" si="579"/>
        <v>0</v>
      </c>
      <c r="AX254" s="475">
        <f t="shared" si="580"/>
        <v>398583</v>
      </c>
      <c r="AY254" s="475">
        <f t="shared" si="580"/>
        <v>23585</v>
      </c>
      <c r="AZ254" s="475">
        <f t="shared" si="581"/>
        <v>0</v>
      </c>
      <c r="BA254" s="476">
        <f t="shared" si="582"/>
        <v>2.5</v>
      </c>
      <c r="BB254" s="476">
        <f t="shared" si="583"/>
        <v>2.5</v>
      </c>
      <c r="BC254" s="478">
        <f t="shared" si="583"/>
        <v>0</v>
      </c>
    </row>
    <row r="255" spans="1:55" ht="14.1" customHeight="1" x14ac:dyDescent="0.2">
      <c r="A255" s="68">
        <v>51</v>
      </c>
      <c r="B255" s="65">
        <v>2310</v>
      </c>
      <c r="C255" s="66">
        <v>600080412</v>
      </c>
      <c r="D255" s="65">
        <v>72742038</v>
      </c>
      <c r="E255" s="67" t="s">
        <v>668</v>
      </c>
      <c r="F255" s="68">
        <v>3143</v>
      </c>
      <c r="G255" s="80" t="s">
        <v>627</v>
      </c>
      <c r="H255" s="69" t="s">
        <v>278</v>
      </c>
      <c r="I255" s="477">
        <v>37800</v>
      </c>
      <c r="J255" s="472">
        <v>26730</v>
      </c>
      <c r="K255" s="472">
        <v>0</v>
      </c>
      <c r="L255" s="472">
        <v>9035</v>
      </c>
      <c r="M255" s="472">
        <v>535</v>
      </c>
      <c r="N255" s="472">
        <v>1500</v>
      </c>
      <c r="O255" s="473">
        <v>0.1</v>
      </c>
      <c r="P255" s="474">
        <v>0</v>
      </c>
      <c r="Q255" s="483">
        <v>0.1</v>
      </c>
      <c r="R255" s="485">
        <f t="shared" si="569"/>
        <v>0</v>
      </c>
      <c r="S255" s="475">
        <v>0</v>
      </c>
      <c r="T255" s="475">
        <v>0</v>
      </c>
      <c r="U255" s="475">
        <v>0</v>
      </c>
      <c r="V255" s="475">
        <v>0</v>
      </c>
      <c r="W255" s="475">
        <v>0</v>
      </c>
      <c r="X255" s="475">
        <f t="shared" si="570"/>
        <v>0</v>
      </c>
      <c r="Y255" s="475">
        <v>0</v>
      </c>
      <c r="Z255" s="475">
        <v>0</v>
      </c>
      <c r="AA255" s="475">
        <v>0</v>
      </c>
      <c r="AB255" s="475">
        <f t="shared" si="571"/>
        <v>0</v>
      </c>
      <c r="AC255" s="475">
        <f t="shared" si="572"/>
        <v>0</v>
      </c>
      <c r="AD255" s="70">
        <f t="shared" si="573"/>
        <v>0</v>
      </c>
      <c r="AE255" s="70">
        <f t="shared" si="574"/>
        <v>0</v>
      </c>
      <c r="AF255" s="475">
        <v>0</v>
      </c>
      <c r="AG255" s="475">
        <v>0</v>
      </c>
      <c r="AH255" s="475">
        <f t="shared" si="575"/>
        <v>0</v>
      </c>
      <c r="AI255" s="475">
        <f t="shared" si="576"/>
        <v>0</v>
      </c>
      <c r="AJ255" s="476">
        <v>0</v>
      </c>
      <c r="AK255" s="476">
        <v>0</v>
      </c>
      <c r="AL255" s="476">
        <v>0</v>
      </c>
      <c r="AM255" s="476">
        <v>0</v>
      </c>
      <c r="AN255" s="476">
        <v>0</v>
      </c>
      <c r="AO255" s="476">
        <v>0</v>
      </c>
      <c r="AP255" s="476">
        <v>0</v>
      </c>
      <c r="AQ255" s="476">
        <v>0</v>
      </c>
      <c r="AR255" s="476">
        <f t="shared" si="483"/>
        <v>0</v>
      </c>
      <c r="AS255" s="476">
        <f t="shared" si="484"/>
        <v>0</v>
      </c>
      <c r="AT255" s="478">
        <f t="shared" si="485"/>
        <v>0</v>
      </c>
      <c r="AU255" s="484">
        <f t="shared" si="577"/>
        <v>37800</v>
      </c>
      <c r="AV255" s="475">
        <f t="shared" si="578"/>
        <v>26730</v>
      </c>
      <c r="AW255" s="475">
        <f t="shared" si="579"/>
        <v>0</v>
      </c>
      <c r="AX255" s="475">
        <f t="shared" si="580"/>
        <v>9035</v>
      </c>
      <c r="AY255" s="475">
        <f t="shared" si="580"/>
        <v>535</v>
      </c>
      <c r="AZ255" s="475">
        <f t="shared" si="581"/>
        <v>1500</v>
      </c>
      <c r="BA255" s="476">
        <f t="shared" si="582"/>
        <v>0.1</v>
      </c>
      <c r="BB255" s="476">
        <f t="shared" si="583"/>
        <v>0</v>
      </c>
      <c r="BC255" s="478">
        <f t="shared" si="583"/>
        <v>0.1</v>
      </c>
    </row>
    <row r="256" spans="1:55" ht="14.1" customHeight="1" x14ac:dyDescent="0.2">
      <c r="A256" s="74">
        <v>51</v>
      </c>
      <c r="B256" s="71">
        <v>2310</v>
      </c>
      <c r="C256" s="72">
        <v>600080412</v>
      </c>
      <c r="D256" s="71">
        <v>72742038</v>
      </c>
      <c r="E256" s="73" t="s">
        <v>669</v>
      </c>
      <c r="F256" s="74"/>
      <c r="G256" s="73"/>
      <c r="H256" s="75"/>
      <c r="I256" s="76">
        <v>40416755</v>
      </c>
      <c r="J256" s="77">
        <v>29523838</v>
      </c>
      <c r="K256" s="77">
        <v>20000</v>
      </c>
      <c r="L256" s="77">
        <v>9985818</v>
      </c>
      <c r="M256" s="77">
        <v>590477</v>
      </c>
      <c r="N256" s="77">
        <v>296622</v>
      </c>
      <c r="O256" s="78">
        <v>58.767699999999998</v>
      </c>
      <c r="P256" s="78">
        <v>50.068300000000001</v>
      </c>
      <c r="Q256" s="718">
        <v>8.6994000000000007</v>
      </c>
      <c r="R256" s="76">
        <f t="shared" ref="R256:BC256" si="584">SUM(R250:R255)</f>
        <v>0</v>
      </c>
      <c r="S256" s="77">
        <f t="shared" si="584"/>
        <v>0</v>
      </c>
      <c r="T256" s="77">
        <f t="shared" si="584"/>
        <v>-131528</v>
      </c>
      <c r="U256" s="77">
        <f t="shared" si="584"/>
        <v>0</v>
      </c>
      <c r="V256" s="77">
        <f t="shared" si="584"/>
        <v>-294551</v>
      </c>
      <c r="W256" s="77">
        <f t="shared" si="584"/>
        <v>0</v>
      </c>
      <c r="X256" s="77">
        <f t="shared" si="584"/>
        <v>-426079</v>
      </c>
      <c r="Y256" s="77">
        <f t="shared" si="584"/>
        <v>0</v>
      </c>
      <c r="Z256" s="77">
        <f t="shared" si="584"/>
        <v>0</v>
      </c>
      <c r="AA256" s="77">
        <f t="shared" si="584"/>
        <v>0</v>
      </c>
      <c r="AB256" s="77">
        <f t="shared" si="584"/>
        <v>0</v>
      </c>
      <c r="AC256" s="77">
        <f t="shared" si="584"/>
        <v>-426079</v>
      </c>
      <c r="AD256" s="77">
        <f t="shared" si="584"/>
        <v>-144015</v>
      </c>
      <c r="AE256" s="77">
        <f t="shared" si="584"/>
        <v>-8521</v>
      </c>
      <c r="AF256" s="77">
        <f t="shared" si="584"/>
        <v>0</v>
      </c>
      <c r="AG256" s="77">
        <f t="shared" si="584"/>
        <v>400000</v>
      </c>
      <c r="AH256" s="77">
        <f t="shared" si="584"/>
        <v>400000</v>
      </c>
      <c r="AI256" s="77">
        <f t="shared" si="584"/>
        <v>-178615</v>
      </c>
      <c r="AJ256" s="78">
        <f t="shared" si="584"/>
        <v>0</v>
      </c>
      <c r="AK256" s="78">
        <f t="shared" si="584"/>
        <v>0</v>
      </c>
      <c r="AL256" s="78">
        <f t="shared" si="584"/>
        <v>0</v>
      </c>
      <c r="AM256" s="78">
        <f t="shared" si="584"/>
        <v>-0.12</v>
      </c>
      <c r="AN256" s="78">
        <f t="shared" si="584"/>
        <v>-1.0000000000000009E-2</v>
      </c>
      <c r="AO256" s="78">
        <f t="shared" si="584"/>
        <v>0</v>
      </c>
      <c r="AP256" s="78">
        <f t="shared" si="584"/>
        <v>0</v>
      </c>
      <c r="AQ256" s="78">
        <f t="shared" si="584"/>
        <v>0</v>
      </c>
      <c r="AR256" s="78">
        <f t="shared" si="584"/>
        <v>-0.12</v>
      </c>
      <c r="AS256" s="78">
        <f t="shared" si="584"/>
        <v>-1.0000000000000009E-2</v>
      </c>
      <c r="AT256" s="79">
        <f t="shared" si="584"/>
        <v>-0.13</v>
      </c>
      <c r="AU256" s="433">
        <f t="shared" si="584"/>
        <v>40238140</v>
      </c>
      <c r="AV256" s="77">
        <f t="shared" si="584"/>
        <v>29097759</v>
      </c>
      <c r="AW256" s="77">
        <f t="shared" si="584"/>
        <v>20000</v>
      </c>
      <c r="AX256" s="77">
        <f t="shared" si="584"/>
        <v>9841803</v>
      </c>
      <c r="AY256" s="77">
        <f t="shared" si="584"/>
        <v>581956</v>
      </c>
      <c r="AZ256" s="77">
        <f t="shared" si="584"/>
        <v>696622</v>
      </c>
      <c r="BA256" s="78">
        <f t="shared" si="584"/>
        <v>58.637700000000002</v>
      </c>
      <c r="BB256" s="78">
        <f t="shared" si="584"/>
        <v>49.948300000000003</v>
      </c>
      <c r="BC256" s="79">
        <f t="shared" si="584"/>
        <v>8.6893999999999991</v>
      </c>
    </row>
    <row r="257" spans="1:55" ht="14.1" customHeight="1" x14ac:dyDescent="0.2">
      <c r="A257" s="68">
        <v>52</v>
      </c>
      <c r="B257" s="65">
        <v>2313</v>
      </c>
      <c r="C257" s="66">
        <v>600080323</v>
      </c>
      <c r="D257" s="65">
        <v>64040445</v>
      </c>
      <c r="E257" s="67" t="s">
        <v>670</v>
      </c>
      <c r="F257" s="68">
        <v>3231</v>
      </c>
      <c r="G257" s="67" t="s">
        <v>316</v>
      </c>
      <c r="H257" s="69" t="s">
        <v>277</v>
      </c>
      <c r="I257" s="477">
        <v>53582848</v>
      </c>
      <c r="J257" s="472">
        <v>39290102</v>
      </c>
      <c r="K257" s="472">
        <v>40000</v>
      </c>
      <c r="L257" s="472">
        <v>13293574</v>
      </c>
      <c r="M257" s="472">
        <v>785802</v>
      </c>
      <c r="N257" s="472">
        <v>173370</v>
      </c>
      <c r="O257" s="473">
        <v>73.026499999999999</v>
      </c>
      <c r="P257" s="474">
        <v>64.933199999999999</v>
      </c>
      <c r="Q257" s="483">
        <v>8.0932999999999993</v>
      </c>
      <c r="R257" s="485">
        <f t="shared" ref="R257" si="585">Y257*-1</f>
        <v>0</v>
      </c>
      <c r="S257" s="475">
        <v>0</v>
      </c>
      <c r="T257" s="475">
        <v>0</v>
      </c>
      <c r="U257" s="475">
        <v>0</v>
      </c>
      <c r="V257" s="475">
        <v>0</v>
      </c>
      <c r="W257" s="475">
        <v>0</v>
      </c>
      <c r="X257" s="475">
        <f>SUM(R257:W257)</f>
        <v>0</v>
      </c>
      <c r="Y257" s="475">
        <v>0</v>
      </c>
      <c r="Z257" s="475">
        <v>0</v>
      </c>
      <c r="AA257" s="475">
        <v>0</v>
      </c>
      <c r="AB257" s="475">
        <f t="shared" ref="AB257" si="586">SUM(Y257:AA257)</f>
        <v>0</v>
      </c>
      <c r="AC257" s="475">
        <f t="shared" ref="AC257" si="587">X257+AB257</f>
        <v>0</v>
      </c>
      <c r="AD257" s="70">
        <f t="shared" ref="AD257" si="588">ROUND((X257+Y257+Z257)*33.8%,0)</f>
        <v>0</v>
      </c>
      <c r="AE257" s="70">
        <f t="shared" ref="AE257" si="589">ROUND(X257*2%,0)</f>
        <v>0</v>
      </c>
      <c r="AF257" s="475">
        <v>0</v>
      </c>
      <c r="AG257" s="475">
        <v>0</v>
      </c>
      <c r="AH257" s="475">
        <f t="shared" ref="AH257" si="590">SUM(AF257:AG257)</f>
        <v>0</v>
      </c>
      <c r="AI257" s="475">
        <f t="shared" ref="AI257" si="591">AC257+AD257+AE257+AH257</f>
        <v>0</v>
      </c>
      <c r="AJ257" s="476">
        <v>0</v>
      </c>
      <c r="AK257" s="476">
        <v>0</v>
      </c>
      <c r="AL257" s="476">
        <v>0</v>
      </c>
      <c r="AM257" s="476">
        <v>0</v>
      </c>
      <c r="AN257" s="476">
        <v>0</v>
      </c>
      <c r="AO257" s="476">
        <v>0</v>
      </c>
      <c r="AP257" s="476">
        <v>0</v>
      </c>
      <c r="AQ257" s="476">
        <v>0</v>
      </c>
      <c r="AR257" s="476">
        <f t="shared" si="483"/>
        <v>0</v>
      </c>
      <c r="AS257" s="476">
        <f t="shared" si="484"/>
        <v>0</v>
      </c>
      <c r="AT257" s="478">
        <f t="shared" si="485"/>
        <v>0</v>
      </c>
      <c r="AU257" s="484">
        <f>I257+AI257</f>
        <v>53582848</v>
      </c>
      <c r="AV257" s="475">
        <f>J257+X257</f>
        <v>39290102</v>
      </c>
      <c r="AW257" s="475">
        <f>K257+AB257</f>
        <v>40000</v>
      </c>
      <c r="AX257" s="475">
        <f>L257+AD257</f>
        <v>13293574</v>
      </c>
      <c r="AY257" s="475">
        <f>M257+AE257</f>
        <v>785802</v>
      </c>
      <c r="AZ257" s="475">
        <f>N257+AH257</f>
        <v>173370</v>
      </c>
      <c r="BA257" s="476">
        <f>O257+AT257</f>
        <v>73.026499999999999</v>
      </c>
      <c r="BB257" s="476">
        <f>P257+AR257</f>
        <v>64.933199999999999</v>
      </c>
      <c r="BC257" s="478">
        <f>Q257+AS257</f>
        <v>8.0932999999999993</v>
      </c>
    </row>
    <row r="258" spans="1:55" ht="14.1" customHeight="1" x14ac:dyDescent="0.2">
      <c r="A258" s="74">
        <v>52</v>
      </c>
      <c r="B258" s="71">
        <v>2313</v>
      </c>
      <c r="C258" s="72">
        <v>600080323</v>
      </c>
      <c r="D258" s="71">
        <v>64040445</v>
      </c>
      <c r="E258" s="73" t="s">
        <v>671</v>
      </c>
      <c r="F258" s="74"/>
      <c r="G258" s="73"/>
      <c r="H258" s="75"/>
      <c r="I258" s="81">
        <v>53582848</v>
      </c>
      <c r="J258" s="82">
        <v>39290102</v>
      </c>
      <c r="K258" s="82">
        <v>40000</v>
      </c>
      <c r="L258" s="82">
        <v>13293574</v>
      </c>
      <c r="M258" s="82">
        <v>785802</v>
      </c>
      <c r="N258" s="82">
        <v>173370</v>
      </c>
      <c r="O258" s="83">
        <v>73.026499999999999</v>
      </c>
      <c r="P258" s="83">
        <v>64.933199999999999</v>
      </c>
      <c r="Q258" s="719">
        <v>8.0932999999999993</v>
      </c>
      <c r="R258" s="81">
        <f t="shared" ref="R258:BC258" si="592">SUM(R257)</f>
        <v>0</v>
      </c>
      <c r="S258" s="82">
        <f t="shared" si="592"/>
        <v>0</v>
      </c>
      <c r="T258" s="82">
        <f t="shared" si="592"/>
        <v>0</v>
      </c>
      <c r="U258" s="82">
        <f t="shared" si="592"/>
        <v>0</v>
      </c>
      <c r="V258" s="82">
        <f t="shared" si="592"/>
        <v>0</v>
      </c>
      <c r="W258" s="82">
        <f t="shared" si="592"/>
        <v>0</v>
      </c>
      <c r="X258" s="82">
        <f t="shared" si="592"/>
        <v>0</v>
      </c>
      <c r="Y258" s="82">
        <f t="shared" si="592"/>
        <v>0</v>
      </c>
      <c r="Z258" s="82">
        <f t="shared" si="592"/>
        <v>0</v>
      </c>
      <c r="AA258" s="82">
        <f t="shared" si="592"/>
        <v>0</v>
      </c>
      <c r="AB258" s="82">
        <f t="shared" si="592"/>
        <v>0</v>
      </c>
      <c r="AC258" s="82">
        <f t="shared" si="592"/>
        <v>0</v>
      </c>
      <c r="AD258" s="82">
        <f t="shared" si="592"/>
        <v>0</v>
      </c>
      <c r="AE258" s="82">
        <f t="shared" si="592"/>
        <v>0</v>
      </c>
      <c r="AF258" s="82">
        <f t="shared" si="592"/>
        <v>0</v>
      </c>
      <c r="AG258" s="82">
        <f t="shared" si="592"/>
        <v>0</v>
      </c>
      <c r="AH258" s="82">
        <f t="shared" si="592"/>
        <v>0</v>
      </c>
      <c r="AI258" s="82">
        <f t="shared" si="592"/>
        <v>0</v>
      </c>
      <c r="AJ258" s="83">
        <f t="shared" si="592"/>
        <v>0</v>
      </c>
      <c r="AK258" s="83">
        <f t="shared" si="592"/>
        <v>0</v>
      </c>
      <c r="AL258" s="83">
        <f t="shared" si="592"/>
        <v>0</v>
      </c>
      <c r="AM258" s="83">
        <f t="shared" si="592"/>
        <v>0</v>
      </c>
      <c r="AN258" s="83">
        <f t="shared" si="592"/>
        <v>0</v>
      </c>
      <c r="AO258" s="83">
        <f t="shared" si="592"/>
        <v>0</v>
      </c>
      <c r="AP258" s="83">
        <f t="shared" si="592"/>
        <v>0</v>
      </c>
      <c r="AQ258" s="83">
        <f t="shared" si="592"/>
        <v>0</v>
      </c>
      <c r="AR258" s="83">
        <f t="shared" si="592"/>
        <v>0</v>
      </c>
      <c r="AS258" s="83">
        <f t="shared" si="592"/>
        <v>0</v>
      </c>
      <c r="AT258" s="84">
        <f t="shared" si="592"/>
        <v>0</v>
      </c>
      <c r="AU258" s="434">
        <f t="shared" si="592"/>
        <v>53582848</v>
      </c>
      <c r="AV258" s="82">
        <f t="shared" si="592"/>
        <v>39290102</v>
      </c>
      <c r="AW258" s="82">
        <f t="shared" si="592"/>
        <v>40000</v>
      </c>
      <c r="AX258" s="82">
        <f t="shared" si="592"/>
        <v>13293574</v>
      </c>
      <c r="AY258" s="82">
        <f t="shared" si="592"/>
        <v>785802</v>
      </c>
      <c r="AZ258" s="82">
        <f t="shared" si="592"/>
        <v>173370</v>
      </c>
      <c r="BA258" s="83">
        <f t="shared" si="592"/>
        <v>73.026499999999999</v>
      </c>
      <c r="BB258" s="83">
        <f t="shared" si="592"/>
        <v>64.933199999999999</v>
      </c>
      <c r="BC258" s="84">
        <f t="shared" si="592"/>
        <v>8.0932999999999993</v>
      </c>
    </row>
    <row r="259" spans="1:55" ht="14.1" customHeight="1" x14ac:dyDescent="0.2">
      <c r="A259" s="68">
        <v>53</v>
      </c>
      <c r="B259" s="65">
        <v>2431</v>
      </c>
      <c r="C259" s="66">
        <v>600079228</v>
      </c>
      <c r="D259" s="65">
        <v>46746234</v>
      </c>
      <c r="E259" s="67" t="s">
        <v>672</v>
      </c>
      <c r="F259" s="68">
        <v>3111</v>
      </c>
      <c r="G259" s="67" t="s">
        <v>311</v>
      </c>
      <c r="H259" s="69" t="s">
        <v>277</v>
      </c>
      <c r="I259" s="477">
        <v>7294172</v>
      </c>
      <c r="J259" s="643">
        <v>5311998</v>
      </c>
      <c r="K259" s="643">
        <v>11568</v>
      </c>
      <c r="L259" s="472">
        <v>1799366</v>
      </c>
      <c r="M259" s="472">
        <v>106240</v>
      </c>
      <c r="N259" s="472">
        <v>65000</v>
      </c>
      <c r="O259" s="473">
        <v>11.289699999999998</v>
      </c>
      <c r="P259" s="473">
        <v>8.4214999999999982</v>
      </c>
      <c r="Q259" s="483">
        <v>2.8681999999999999</v>
      </c>
      <c r="R259" s="485">
        <f t="shared" ref="R259:R261" si="593">Y259*-1</f>
        <v>0</v>
      </c>
      <c r="S259" s="475">
        <v>0</v>
      </c>
      <c r="T259" s="475">
        <v>0</v>
      </c>
      <c r="U259" s="475">
        <v>0</v>
      </c>
      <c r="V259" s="475">
        <v>0</v>
      </c>
      <c r="W259" s="475">
        <v>0</v>
      </c>
      <c r="X259" s="475">
        <f t="shared" ref="X259:X261" si="594">SUM(R259:W259)</f>
        <v>0</v>
      </c>
      <c r="Y259" s="475">
        <v>0</v>
      </c>
      <c r="Z259" s="475">
        <v>0</v>
      </c>
      <c r="AA259" s="475">
        <v>0</v>
      </c>
      <c r="AB259" s="475">
        <f t="shared" ref="AB259:AB261" si="595">SUM(Y259:AA259)</f>
        <v>0</v>
      </c>
      <c r="AC259" s="475">
        <f t="shared" ref="AC259:AC261" si="596">X259+AB259</f>
        <v>0</v>
      </c>
      <c r="AD259" s="70">
        <f t="shared" ref="AD259:AD261" si="597">ROUND((X259+Y259+Z259)*33.8%,0)</f>
        <v>0</v>
      </c>
      <c r="AE259" s="70">
        <f t="shared" ref="AE259:AE261" si="598">ROUND(X259*2%,0)</f>
        <v>0</v>
      </c>
      <c r="AF259" s="475">
        <v>0</v>
      </c>
      <c r="AG259" s="475">
        <v>0</v>
      </c>
      <c r="AH259" s="475">
        <f t="shared" ref="AH259:AH261" si="599">SUM(AF259:AG259)</f>
        <v>0</v>
      </c>
      <c r="AI259" s="475">
        <f t="shared" ref="AI259:AI261" si="600">AC259+AD259+AE259+AH259</f>
        <v>0</v>
      </c>
      <c r="AJ259" s="476">
        <v>0</v>
      </c>
      <c r="AK259" s="476">
        <v>0</v>
      </c>
      <c r="AL259" s="476">
        <v>0</v>
      </c>
      <c r="AM259" s="476">
        <v>0</v>
      </c>
      <c r="AN259" s="476">
        <v>0</v>
      </c>
      <c r="AO259" s="476">
        <v>0</v>
      </c>
      <c r="AP259" s="476">
        <v>0</v>
      </c>
      <c r="AQ259" s="476">
        <v>0</v>
      </c>
      <c r="AR259" s="476">
        <f t="shared" si="483"/>
        <v>0</v>
      </c>
      <c r="AS259" s="476">
        <f t="shared" si="484"/>
        <v>0</v>
      </c>
      <c r="AT259" s="478">
        <f t="shared" si="485"/>
        <v>0</v>
      </c>
      <c r="AU259" s="484">
        <f>I259+AI259</f>
        <v>7294172</v>
      </c>
      <c r="AV259" s="475">
        <f>J259+X259</f>
        <v>5311998</v>
      </c>
      <c r="AW259" s="475">
        <f>K259+AB259</f>
        <v>11568</v>
      </c>
      <c r="AX259" s="475">
        <f t="shared" ref="AX259:AY261" si="601">L259+AD259</f>
        <v>1799366</v>
      </c>
      <c r="AY259" s="475">
        <f t="shared" si="601"/>
        <v>106240</v>
      </c>
      <c r="AZ259" s="475">
        <f>N259+AH259</f>
        <v>65000</v>
      </c>
      <c r="BA259" s="476">
        <f>O259+AT259</f>
        <v>11.289699999999998</v>
      </c>
      <c r="BB259" s="476">
        <f t="shared" ref="BB259:BC261" si="602">P259+AR259</f>
        <v>8.4214999999999982</v>
      </c>
      <c r="BC259" s="478">
        <f t="shared" si="602"/>
        <v>2.8681999999999999</v>
      </c>
    </row>
    <row r="260" spans="1:55" ht="14.1" customHeight="1" x14ac:dyDescent="0.2">
      <c r="A260" s="68">
        <v>53</v>
      </c>
      <c r="B260" s="65">
        <v>2431</v>
      </c>
      <c r="C260" s="66">
        <v>600079228</v>
      </c>
      <c r="D260" s="65">
        <v>46746234</v>
      </c>
      <c r="E260" s="67" t="s">
        <v>672</v>
      </c>
      <c r="F260" s="68">
        <v>3111</v>
      </c>
      <c r="G260" s="80" t="s">
        <v>312</v>
      </c>
      <c r="H260" s="69" t="s">
        <v>278</v>
      </c>
      <c r="I260" s="477">
        <v>15710</v>
      </c>
      <c r="J260" s="472">
        <v>11568</v>
      </c>
      <c r="K260" s="472">
        <v>0</v>
      </c>
      <c r="L260" s="472">
        <v>3910</v>
      </c>
      <c r="M260" s="472">
        <v>232</v>
      </c>
      <c r="N260" s="472">
        <v>0</v>
      </c>
      <c r="O260" s="473">
        <v>2.0000000000000004E-2</v>
      </c>
      <c r="P260" s="474">
        <v>2.0000000000000004E-2</v>
      </c>
      <c r="Q260" s="483">
        <v>0</v>
      </c>
      <c r="R260" s="485">
        <f t="shared" si="593"/>
        <v>0</v>
      </c>
      <c r="S260" s="475">
        <v>0</v>
      </c>
      <c r="T260" s="475">
        <v>0</v>
      </c>
      <c r="U260" s="475">
        <v>0</v>
      </c>
      <c r="V260" s="475">
        <v>0</v>
      </c>
      <c r="W260" s="475">
        <v>0</v>
      </c>
      <c r="X260" s="475">
        <f t="shared" si="594"/>
        <v>0</v>
      </c>
      <c r="Y260" s="475">
        <v>0</v>
      </c>
      <c r="Z260" s="475">
        <v>0</v>
      </c>
      <c r="AA260" s="475">
        <v>0</v>
      </c>
      <c r="AB260" s="475">
        <f t="shared" si="595"/>
        <v>0</v>
      </c>
      <c r="AC260" s="475">
        <f t="shared" si="596"/>
        <v>0</v>
      </c>
      <c r="AD260" s="70">
        <f t="shared" si="597"/>
        <v>0</v>
      </c>
      <c r="AE260" s="70">
        <f t="shared" si="598"/>
        <v>0</v>
      </c>
      <c r="AF260" s="475">
        <v>0</v>
      </c>
      <c r="AG260" s="475">
        <v>0</v>
      </c>
      <c r="AH260" s="475">
        <f t="shared" si="599"/>
        <v>0</v>
      </c>
      <c r="AI260" s="475">
        <f t="shared" si="600"/>
        <v>0</v>
      </c>
      <c r="AJ260" s="476">
        <v>0</v>
      </c>
      <c r="AK260" s="476">
        <v>0</v>
      </c>
      <c r="AL260" s="476">
        <v>0</v>
      </c>
      <c r="AM260" s="476">
        <v>0</v>
      </c>
      <c r="AN260" s="476">
        <v>0</v>
      </c>
      <c r="AO260" s="476">
        <v>0</v>
      </c>
      <c r="AP260" s="476">
        <v>0</v>
      </c>
      <c r="AQ260" s="476">
        <v>0</v>
      </c>
      <c r="AR260" s="476">
        <f t="shared" si="483"/>
        <v>0</v>
      </c>
      <c r="AS260" s="476">
        <f t="shared" si="484"/>
        <v>0</v>
      </c>
      <c r="AT260" s="478">
        <f t="shared" si="485"/>
        <v>0</v>
      </c>
      <c r="AU260" s="484">
        <f>I260+AI260</f>
        <v>15710</v>
      </c>
      <c r="AV260" s="475">
        <f>J260+X260</f>
        <v>11568</v>
      </c>
      <c r="AW260" s="475">
        <f>K260+AB260</f>
        <v>0</v>
      </c>
      <c r="AX260" s="475">
        <f t="shared" si="601"/>
        <v>3910</v>
      </c>
      <c r="AY260" s="475">
        <f t="shared" si="601"/>
        <v>232</v>
      </c>
      <c r="AZ260" s="475">
        <f>N260+AH260</f>
        <v>0</v>
      </c>
      <c r="BA260" s="476">
        <f>O260+AT260</f>
        <v>2.0000000000000004E-2</v>
      </c>
      <c r="BB260" s="476">
        <f t="shared" si="602"/>
        <v>2.0000000000000004E-2</v>
      </c>
      <c r="BC260" s="478">
        <f t="shared" si="602"/>
        <v>0</v>
      </c>
    </row>
    <row r="261" spans="1:55" ht="14.1" customHeight="1" x14ac:dyDescent="0.2">
      <c r="A261" s="68">
        <v>53</v>
      </c>
      <c r="B261" s="65">
        <v>2431</v>
      </c>
      <c r="C261" s="66">
        <v>600079228</v>
      </c>
      <c r="D261" s="65">
        <v>46746234</v>
      </c>
      <c r="E261" s="67" t="s">
        <v>672</v>
      </c>
      <c r="F261" s="68">
        <v>3141</v>
      </c>
      <c r="G261" s="67" t="s">
        <v>315</v>
      </c>
      <c r="H261" s="69" t="s">
        <v>278</v>
      </c>
      <c r="I261" s="477">
        <v>1105389</v>
      </c>
      <c r="J261" s="472">
        <v>788504</v>
      </c>
      <c r="K261" s="472">
        <v>21525</v>
      </c>
      <c r="L261" s="472">
        <v>273790</v>
      </c>
      <c r="M261" s="472">
        <v>15770</v>
      </c>
      <c r="N261" s="472">
        <v>5800</v>
      </c>
      <c r="O261" s="473">
        <v>2.5499999999999998</v>
      </c>
      <c r="P261" s="474">
        <v>0</v>
      </c>
      <c r="Q261" s="483">
        <v>2.5499999999999998</v>
      </c>
      <c r="R261" s="485">
        <f t="shared" si="593"/>
        <v>0</v>
      </c>
      <c r="S261" s="475">
        <v>0</v>
      </c>
      <c r="T261" s="755">
        <v>-33162</v>
      </c>
      <c r="U261" s="475">
        <v>0</v>
      </c>
      <c r="V261" s="475">
        <v>0</v>
      </c>
      <c r="W261" s="475">
        <v>0</v>
      </c>
      <c r="X261" s="475">
        <f t="shared" si="594"/>
        <v>-33162</v>
      </c>
      <c r="Y261" s="475">
        <v>0</v>
      </c>
      <c r="Z261" s="475">
        <v>0</v>
      </c>
      <c r="AA261" s="475">
        <v>0</v>
      </c>
      <c r="AB261" s="475">
        <f t="shared" si="595"/>
        <v>0</v>
      </c>
      <c r="AC261" s="475">
        <f t="shared" si="596"/>
        <v>-33162</v>
      </c>
      <c r="AD261" s="70">
        <f t="shared" si="597"/>
        <v>-11209</v>
      </c>
      <c r="AE261" s="70">
        <f t="shared" si="598"/>
        <v>-663</v>
      </c>
      <c r="AF261" s="475">
        <v>0</v>
      </c>
      <c r="AG261" s="475">
        <v>0</v>
      </c>
      <c r="AH261" s="475">
        <f t="shared" si="599"/>
        <v>0</v>
      </c>
      <c r="AI261" s="475">
        <f t="shared" si="600"/>
        <v>-45034</v>
      </c>
      <c r="AJ261" s="476">
        <v>0</v>
      </c>
      <c r="AK261" s="476">
        <v>0</v>
      </c>
      <c r="AL261" s="476">
        <v>0</v>
      </c>
      <c r="AM261" s="476">
        <v>0</v>
      </c>
      <c r="AN261" s="756">
        <v>-9.9999999999999978E-2</v>
      </c>
      <c r="AO261" s="476">
        <v>0</v>
      </c>
      <c r="AP261" s="476">
        <v>0</v>
      </c>
      <c r="AQ261" s="476">
        <v>0</v>
      </c>
      <c r="AR261" s="476">
        <f t="shared" si="483"/>
        <v>0</v>
      </c>
      <c r="AS261" s="476">
        <f t="shared" si="484"/>
        <v>-9.9999999999999978E-2</v>
      </c>
      <c r="AT261" s="478">
        <f t="shared" si="485"/>
        <v>-9.9999999999999978E-2</v>
      </c>
      <c r="AU261" s="484">
        <f>I261+AI261</f>
        <v>1060355</v>
      </c>
      <c r="AV261" s="475">
        <f>J261+X261</f>
        <v>755342</v>
      </c>
      <c r="AW261" s="475">
        <f>K261+AB261</f>
        <v>21525</v>
      </c>
      <c r="AX261" s="475">
        <f t="shared" si="601"/>
        <v>262581</v>
      </c>
      <c r="AY261" s="475">
        <f t="shared" si="601"/>
        <v>15107</v>
      </c>
      <c r="AZ261" s="475">
        <f>N261+AH261</f>
        <v>5800</v>
      </c>
      <c r="BA261" s="476">
        <f>O261+AT261</f>
        <v>2.4499999999999997</v>
      </c>
      <c r="BB261" s="476">
        <f t="shared" si="602"/>
        <v>0</v>
      </c>
      <c r="BC261" s="478">
        <f t="shared" si="602"/>
        <v>2.4499999999999997</v>
      </c>
    </row>
    <row r="262" spans="1:55" ht="14.1" customHeight="1" x14ac:dyDescent="0.2">
      <c r="A262" s="74">
        <v>53</v>
      </c>
      <c r="B262" s="71">
        <v>2431</v>
      </c>
      <c r="C262" s="72">
        <v>600079228</v>
      </c>
      <c r="D262" s="71">
        <v>46746234</v>
      </c>
      <c r="E262" s="73" t="s">
        <v>673</v>
      </c>
      <c r="F262" s="74"/>
      <c r="G262" s="73"/>
      <c r="H262" s="75"/>
      <c r="I262" s="76">
        <v>8415271</v>
      </c>
      <c r="J262" s="77">
        <v>6112070</v>
      </c>
      <c r="K262" s="77">
        <v>33093</v>
      </c>
      <c r="L262" s="77">
        <v>2077066</v>
      </c>
      <c r="M262" s="77">
        <v>122242</v>
      </c>
      <c r="N262" s="77">
        <v>70800</v>
      </c>
      <c r="O262" s="78">
        <v>13.859699999999997</v>
      </c>
      <c r="P262" s="78">
        <v>8.4414999999999978</v>
      </c>
      <c r="Q262" s="718">
        <v>5.4181999999999997</v>
      </c>
      <c r="R262" s="76">
        <f t="shared" ref="R262:BC262" si="603">SUM(R259:R261)</f>
        <v>0</v>
      </c>
      <c r="S262" s="77">
        <f t="shared" si="603"/>
        <v>0</v>
      </c>
      <c r="T262" s="77">
        <f t="shared" si="603"/>
        <v>-33162</v>
      </c>
      <c r="U262" s="77">
        <f t="shared" si="603"/>
        <v>0</v>
      </c>
      <c r="V262" s="77">
        <f t="shared" si="603"/>
        <v>0</v>
      </c>
      <c r="W262" s="77">
        <f t="shared" si="603"/>
        <v>0</v>
      </c>
      <c r="X262" s="77">
        <f t="shared" si="603"/>
        <v>-33162</v>
      </c>
      <c r="Y262" s="77">
        <f t="shared" si="603"/>
        <v>0</v>
      </c>
      <c r="Z262" s="77">
        <f t="shared" si="603"/>
        <v>0</v>
      </c>
      <c r="AA262" s="77">
        <f t="shared" si="603"/>
        <v>0</v>
      </c>
      <c r="AB262" s="77">
        <f t="shared" si="603"/>
        <v>0</v>
      </c>
      <c r="AC262" s="77">
        <f t="shared" si="603"/>
        <v>-33162</v>
      </c>
      <c r="AD262" s="77">
        <f t="shared" si="603"/>
        <v>-11209</v>
      </c>
      <c r="AE262" s="77">
        <f t="shared" si="603"/>
        <v>-663</v>
      </c>
      <c r="AF262" s="77">
        <f t="shared" si="603"/>
        <v>0</v>
      </c>
      <c r="AG262" s="77">
        <f t="shared" si="603"/>
        <v>0</v>
      </c>
      <c r="AH262" s="77">
        <f t="shared" si="603"/>
        <v>0</v>
      </c>
      <c r="AI262" s="77">
        <f t="shared" si="603"/>
        <v>-45034</v>
      </c>
      <c r="AJ262" s="78">
        <f t="shared" si="603"/>
        <v>0</v>
      </c>
      <c r="AK262" s="78">
        <f t="shared" si="603"/>
        <v>0</v>
      </c>
      <c r="AL262" s="78">
        <f t="shared" si="603"/>
        <v>0</v>
      </c>
      <c r="AM262" s="78">
        <f t="shared" si="603"/>
        <v>0</v>
      </c>
      <c r="AN262" s="78">
        <f t="shared" si="603"/>
        <v>-9.9999999999999978E-2</v>
      </c>
      <c r="AO262" s="78">
        <f t="shared" si="603"/>
        <v>0</v>
      </c>
      <c r="AP262" s="78">
        <f t="shared" si="603"/>
        <v>0</v>
      </c>
      <c r="AQ262" s="78">
        <f t="shared" si="603"/>
        <v>0</v>
      </c>
      <c r="AR262" s="78">
        <f t="shared" si="603"/>
        <v>0</v>
      </c>
      <c r="AS262" s="78">
        <f t="shared" si="603"/>
        <v>-9.9999999999999978E-2</v>
      </c>
      <c r="AT262" s="79">
        <f t="shared" si="603"/>
        <v>-9.9999999999999978E-2</v>
      </c>
      <c r="AU262" s="433">
        <f t="shared" si="603"/>
        <v>8370237</v>
      </c>
      <c r="AV262" s="77">
        <f t="shared" si="603"/>
        <v>6078908</v>
      </c>
      <c r="AW262" s="77">
        <f t="shared" si="603"/>
        <v>33093</v>
      </c>
      <c r="AX262" s="77">
        <f t="shared" si="603"/>
        <v>2065857</v>
      </c>
      <c r="AY262" s="77">
        <f t="shared" si="603"/>
        <v>121579</v>
      </c>
      <c r="AZ262" s="77">
        <f t="shared" si="603"/>
        <v>70800</v>
      </c>
      <c r="BA262" s="78">
        <f t="shared" si="603"/>
        <v>13.759699999999997</v>
      </c>
      <c r="BB262" s="78">
        <f t="shared" si="603"/>
        <v>8.4414999999999978</v>
      </c>
      <c r="BC262" s="79">
        <f t="shared" si="603"/>
        <v>5.3181999999999992</v>
      </c>
    </row>
    <row r="263" spans="1:55" ht="14.1" customHeight="1" x14ac:dyDescent="0.2">
      <c r="A263" s="68">
        <v>54</v>
      </c>
      <c r="B263" s="65">
        <v>2434</v>
      </c>
      <c r="C263" s="66">
        <v>600079317</v>
      </c>
      <c r="D263" s="65">
        <v>46746480</v>
      </c>
      <c r="E263" s="67" t="s">
        <v>674</v>
      </c>
      <c r="F263" s="68">
        <v>3111</v>
      </c>
      <c r="G263" s="67" t="s">
        <v>311</v>
      </c>
      <c r="H263" s="69" t="s">
        <v>277</v>
      </c>
      <c r="I263" s="477">
        <v>13829042</v>
      </c>
      <c r="J263" s="643">
        <v>10098430</v>
      </c>
      <c r="K263" s="643">
        <v>23000</v>
      </c>
      <c r="L263" s="472">
        <v>3421043</v>
      </c>
      <c r="M263" s="472">
        <v>201969</v>
      </c>
      <c r="N263" s="472">
        <v>84600</v>
      </c>
      <c r="O263" s="473">
        <v>22.6496</v>
      </c>
      <c r="P263" s="473">
        <v>16</v>
      </c>
      <c r="Q263" s="483">
        <v>6.6495999999999995</v>
      </c>
      <c r="R263" s="485">
        <f t="shared" ref="R263:R265" si="604">Y263*-1</f>
        <v>0</v>
      </c>
      <c r="S263" s="475">
        <v>0</v>
      </c>
      <c r="T263" s="475">
        <v>0</v>
      </c>
      <c r="U263" s="475">
        <v>0</v>
      </c>
      <c r="V263" s="475">
        <v>0</v>
      </c>
      <c r="W263" s="475">
        <v>0</v>
      </c>
      <c r="X263" s="475">
        <f t="shared" ref="X263:X265" si="605">SUM(R263:W263)</f>
        <v>0</v>
      </c>
      <c r="Y263" s="475">
        <v>0</v>
      </c>
      <c r="Z263" s="475">
        <v>0</v>
      </c>
      <c r="AA263" s="475">
        <v>0</v>
      </c>
      <c r="AB263" s="475">
        <f t="shared" ref="AB263:AB265" si="606">SUM(Y263:AA263)</f>
        <v>0</v>
      </c>
      <c r="AC263" s="475">
        <f t="shared" ref="AC263:AC265" si="607">X263+AB263</f>
        <v>0</v>
      </c>
      <c r="AD263" s="70">
        <f t="shared" ref="AD263:AD265" si="608">ROUND((X263+Y263+Z263)*33.8%,0)</f>
        <v>0</v>
      </c>
      <c r="AE263" s="70">
        <f t="shared" ref="AE263:AE265" si="609">ROUND(X263*2%,0)</f>
        <v>0</v>
      </c>
      <c r="AF263" s="475">
        <v>0</v>
      </c>
      <c r="AG263" s="475">
        <v>0</v>
      </c>
      <c r="AH263" s="475">
        <f t="shared" ref="AH263:AH265" si="610">SUM(AF263:AG263)</f>
        <v>0</v>
      </c>
      <c r="AI263" s="475">
        <f t="shared" ref="AI263:AI265" si="611">AC263+AD263+AE263+AH263</f>
        <v>0</v>
      </c>
      <c r="AJ263" s="476">
        <v>0</v>
      </c>
      <c r="AK263" s="476">
        <v>0</v>
      </c>
      <c r="AL263" s="476">
        <v>0</v>
      </c>
      <c r="AM263" s="476">
        <v>0</v>
      </c>
      <c r="AN263" s="476">
        <v>0</v>
      </c>
      <c r="AO263" s="476">
        <v>0</v>
      </c>
      <c r="AP263" s="476">
        <v>0</v>
      </c>
      <c r="AQ263" s="476">
        <v>0</v>
      </c>
      <c r="AR263" s="476">
        <f t="shared" si="483"/>
        <v>0</v>
      </c>
      <c r="AS263" s="476">
        <f t="shared" si="484"/>
        <v>0</v>
      </c>
      <c r="AT263" s="478">
        <f t="shared" si="485"/>
        <v>0</v>
      </c>
      <c r="AU263" s="484">
        <f>I263+AI263</f>
        <v>13829042</v>
      </c>
      <c r="AV263" s="475">
        <f>J263+X263</f>
        <v>10098430</v>
      </c>
      <c r="AW263" s="475">
        <f>K263+AB263</f>
        <v>23000</v>
      </c>
      <c r="AX263" s="475">
        <f t="shared" ref="AX263:AY265" si="612">L263+AD263</f>
        <v>3421043</v>
      </c>
      <c r="AY263" s="475">
        <f t="shared" si="612"/>
        <v>201969</v>
      </c>
      <c r="AZ263" s="475">
        <f>N263+AH263</f>
        <v>84600</v>
      </c>
      <c r="BA263" s="476">
        <f>O263+AT263</f>
        <v>22.6496</v>
      </c>
      <c r="BB263" s="476">
        <f t="shared" ref="BB263:BC265" si="613">P263+AR263</f>
        <v>16</v>
      </c>
      <c r="BC263" s="478">
        <f t="shared" si="613"/>
        <v>6.6495999999999995</v>
      </c>
    </row>
    <row r="264" spans="1:55" ht="14.1" customHeight="1" x14ac:dyDescent="0.2">
      <c r="A264" s="68">
        <v>54</v>
      </c>
      <c r="B264" s="65">
        <v>2434</v>
      </c>
      <c r="C264" s="66">
        <v>600079317</v>
      </c>
      <c r="D264" s="65">
        <v>46746480</v>
      </c>
      <c r="E264" s="67" t="s">
        <v>674</v>
      </c>
      <c r="F264" s="68">
        <v>3111</v>
      </c>
      <c r="G264" s="80" t="s">
        <v>312</v>
      </c>
      <c r="H264" s="69" t="s">
        <v>278</v>
      </c>
      <c r="I264" s="477">
        <v>1300680</v>
      </c>
      <c r="J264" s="472">
        <v>946929</v>
      </c>
      <c r="K264" s="472">
        <v>0</v>
      </c>
      <c r="L264" s="472">
        <v>320062</v>
      </c>
      <c r="M264" s="472">
        <v>18939</v>
      </c>
      <c r="N264" s="472">
        <v>14750</v>
      </c>
      <c r="O264" s="473">
        <v>3</v>
      </c>
      <c r="P264" s="474">
        <v>3</v>
      </c>
      <c r="Q264" s="483">
        <v>0</v>
      </c>
      <c r="R264" s="485">
        <f t="shared" si="604"/>
        <v>0</v>
      </c>
      <c r="S264" s="475">
        <v>-86611</v>
      </c>
      <c r="T264" s="475">
        <v>0</v>
      </c>
      <c r="U264" s="475">
        <v>0</v>
      </c>
      <c r="V264" s="475">
        <v>0</v>
      </c>
      <c r="W264" s="475">
        <v>0</v>
      </c>
      <c r="X264" s="475">
        <f t="shared" si="605"/>
        <v>-86611</v>
      </c>
      <c r="Y264" s="475">
        <v>0</v>
      </c>
      <c r="Z264" s="475">
        <v>0</v>
      </c>
      <c r="AA264" s="475">
        <v>0</v>
      </c>
      <c r="AB264" s="475">
        <f t="shared" si="606"/>
        <v>0</v>
      </c>
      <c r="AC264" s="475">
        <f t="shared" si="607"/>
        <v>-86611</v>
      </c>
      <c r="AD264" s="70">
        <f t="shared" si="608"/>
        <v>-29275</v>
      </c>
      <c r="AE264" s="70">
        <f t="shared" si="609"/>
        <v>-1732</v>
      </c>
      <c r="AF264" s="475">
        <v>0</v>
      </c>
      <c r="AG264" s="475">
        <v>0</v>
      </c>
      <c r="AH264" s="475">
        <f t="shared" si="610"/>
        <v>0</v>
      </c>
      <c r="AI264" s="475">
        <f t="shared" si="611"/>
        <v>-117618</v>
      </c>
      <c r="AJ264" s="476">
        <v>0</v>
      </c>
      <c r="AK264" s="476">
        <v>0</v>
      </c>
      <c r="AL264" s="476">
        <v>-0.25</v>
      </c>
      <c r="AM264" s="476">
        <v>0</v>
      </c>
      <c r="AN264" s="476">
        <v>0</v>
      </c>
      <c r="AO264" s="476">
        <v>0</v>
      </c>
      <c r="AP264" s="476">
        <v>0</v>
      </c>
      <c r="AQ264" s="476">
        <v>0</v>
      </c>
      <c r="AR264" s="476">
        <f t="shared" si="483"/>
        <v>-0.25</v>
      </c>
      <c r="AS264" s="476">
        <f t="shared" si="484"/>
        <v>0</v>
      </c>
      <c r="AT264" s="478">
        <f t="shared" si="485"/>
        <v>-0.25</v>
      </c>
      <c r="AU264" s="484">
        <f>I264+AI264</f>
        <v>1183062</v>
      </c>
      <c r="AV264" s="475">
        <f>J264+X264</f>
        <v>860318</v>
      </c>
      <c r="AW264" s="475">
        <f>K264+AB264</f>
        <v>0</v>
      </c>
      <c r="AX264" s="475">
        <f t="shared" si="612"/>
        <v>290787</v>
      </c>
      <c r="AY264" s="475">
        <f t="shared" si="612"/>
        <v>17207</v>
      </c>
      <c r="AZ264" s="475">
        <f>N264+AH264</f>
        <v>14750</v>
      </c>
      <c r="BA264" s="476">
        <f>O264+AT264</f>
        <v>2.75</v>
      </c>
      <c r="BB264" s="476">
        <f t="shared" si="613"/>
        <v>2.75</v>
      </c>
      <c r="BC264" s="478">
        <f t="shared" si="613"/>
        <v>0</v>
      </c>
    </row>
    <row r="265" spans="1:55" ht="14.1" customHeight="1" x14ac:dyDescent="0.2">
      <c r="A265" s="68">
        <v>54</v>
      </c>
      <c r="B265" s="65">
        <v>2434</v>
      </c>
      <c r="C265" s="66">
        <v>600079317</v>
      </c>
      <c r="D265" s="65">
        <v>46746480</v>
      </c>
      <c r="E265" s="67" t="s">
        <v>674</v>
      </c>
      <c r="F265" s="68">
        <v>3141</v>
      </c>
      <c r="G265" s="67" t="s">
        <v>315</v>
      </c>
      <c r="H265" s="69" t="s">
        <v>278</v>
      </c>
      <c r="I265" s="477">
        <v>2215117</v>
      </c>
      <c r="J265" s="472">
        <v>1623723</v>
      </c>
      <c r="K265" s="472">
        <v>0</v>
      </c>
      <c r="L265" s="472">
        <v>548818</v>
      </c>
      <c r="M265" s="472">
        <v>32474</v>
      </c>
      <c r="N265" s="472">
        <v>10102</v>
      </c>
      <c r="O265" s="473">
        <v>5.12</v>
      </c>
      <c r="P265" s="474">
        <v>0</v>
      </c>
      <c r="Q265" s="483">
        <v>5.12</v>
      </c>
      <c r="R265" s="485">
        <f t="shared" si="604"/>
        <v>0</v>
      </c>
      <c r="S265" s="475">
        <v>0</v>
      </c>
      <c r="T265" s="755">
        <v>-28451</v>
      </c>
      <c r="U265" s="475">
        <v>0</v>
      </c>
      <c r="V265" s="475">
        <v>0</v>
      </c>
      <c r="W265" s="475">
        <v>0</v>
      </c>
      <c r="X265" s="475">
        <f t="shared" si="605"/>
        <v>-28451</v>
      </c>
      <c r="Y265" s="475">
        <v>0</v>
      </c>
      <c r="Z265" s="475">
        <v>0</v>
      </c>
      <c r="AA265" s="475">
        <v>0</v>
      </c>
      <c r="AB265" s="475">
        <f t="shared" si="606"/>
        <v>0</v>
      </c>
      <c r="AC265" s="475">
        <f t="shared" si="607"/>
        <v>-28451</v>
      </c>
      <c r="AD265" s="70">
        <f t="shared" si="608"/>
        <v>-9616</v>
      </c>
      <c r="AE265" s="70">
        <f t="shared" si="609"/>
        <v>-569</v>
      </c>
      <c r="AF265" s="475">
        <v>0</v>
      </c>
      <c r="AG265" s="475">
        <v>0</v>
      </c>
      <c r="AH265" s="475">
        <f t="shared" si="610"/>
        <v>0</v>
      </c>
      <c r="AI265" s="475">
        <f t="shared" si="611"/>
        <v>-38636</v>
      </c>
      <c r="AJ265" s="476">
        <v>0</v>
      </c>
      <c r="AK265" s="476">
        <v>0</v>
      </c>
      <c r="AL265" s="476">
        <v>0</v>
      </c>
      <c r="AM265" s="476">
        <v>0</v>
      </c>
      <c r="AN265" s="756">
        <v>-8.9999999999999969E-2</v>
      </c>
      <c r="AO265" s="476">
        <v>0</v>
      </c>
      <c r="AP265" s="476">
        <v>0</v>
      </c>
      <c r="AQ265" s="476">
        <v>0</v>
      </c>
      <c r="AR265" s="476">
        <f t="shared" si="483"/>
        <v>0</v>
      </c>
      <c r="AS265" s="476">
        <f t="shared" si="484"/>
        <v>-8.9999999999999969E-2</v>
      </c>
      <c r="AT265" s="478">
        <f t="shared" si="485"/>
        <v>-8.9999999999999969E-2</v>
      </c>
      <c r="AU265" s="484">
        <f>I265+AI265</f>
        <v>2176481</v>
      </c>
      <c r="AV265" s="475">
        <f>J265+X265</f>
        <v>1595272</v>
      </c>
      <c r="AW265" s="475">
        <f>K265+AB265</f>
        <v>0</v>
      </c>
      <c r="AX265" s="475">
        <f t="shared" si="612"/>
        <v>539202</v>
      </c>
      <c r="AY265" s="475">
        <f t="shared" si="612"/>
        <v>31905</v>
      </c>
      <c r="AZ265" s="475">
        <f>N265+AH265</f>
        <v>10102</v>
      </c>
      <c r="BA265" s="476">
        <f>O265+AT265</f>
        <v>5.03</v>
      </c>
      <c r="BB265" s="476">
        <f t="shared" si="613"/>
        <v>0</v>
      </c>
      <c r="BC265" s="478">
        <f t="shared" si="613"/>
        <v>5.03</v>
      </c>
    </row>
    <row r="266" spans="1:55" ht="14.1" customHeight="1" x14ac:dyDescent="0.2">
      <c r="A266" s="74">
        <v>54</v>
      </c>
      <c r="B266" s="71">
        <v>2434</v>
      </c>
      <c r="C266" s="72">
        <v>600079317</v>
      </c>
      <c r="D266" s="71">
        <v>46746480</v>
      </c>
      <c r="E266" s="73" t="s">
        <v>675</v>
      </c>
      <c r="F266" s="74"/>
      <c r="G266" s="73"/>
      <c r="H266" s="75"/>
      <c r="I266" s="76">
        <v>17344839</v>
      </c>
      <c r="J266" s="77">
        <v>12669082</v>
      </c>
      <c r="K266" s="77">
        <v>23000</v>
      </c>
      <c r="L266" s="77">
        <v>4289923</v>
      </c>
      <c r="M266" s="77">
        <v>253382</v>
      </c>
      <c r="N266" s="77">
        <v>109452</v>
      </c>
      <c r="O266" s="78">
        <v>30.769600000000001</v>
      </c>
      <c r="P266" s="78">
        <v>19</v>
      </c>
      <c r="Q266" s="718">
        <v>11.769600000000001</v>
      </c>
      <c r="R266" s="76">
        <f t="shared" ref="R266:BC266" si="614">SUM(R263:R265)</f>
        <v>0</v>
      </c>
      <c r="S266" s="77">
        <f t="shared" si="614"/>
        <v>-86611</v>
      </c>
      <c r="T266" s="77">
        <f t="shared" si="614"/>
        <v>-28451</v>
      </c>
      <c r="U266" s="77">
        <f t="shared" si="614"/>
        <v>0</v>
      </c>
      <c r="V266" s="77">
        <f t="shared" si="614"/>
        <v>0</v>
      </c>
      <c r="W266" s="77">
        <f t="shared" si="614"/>
        <v>0</v>
      </c>
      <c r="X266" s="77">
        <f t="shared" si="614"/>
        <v>-115062</v>
      </c>
      <c r="Y266" s="77">
        <f t="shared" si="614"/>
        <v>0</v>
      </c>
      <c r="Z266" s="77">
        <f t="shared" si="614"/>
        <v>0</v>
      </c>
      <c r="AA266" s="77">
        <f t="shared" si="614"/>
        <v>0</v>
      </c>
      <c r="AB266" s="77">
        <f t="shared" si="614"/>
        <v>0</v>
      </c>
      <c r="AC266" s="77">
        <f t="shared" si="614"/>
        <v>-115062</v>
      </c>
      <c r="AD266" s="77">
        <f t="shared" si="614"/>
        <v>-38891</v>
      </c>
      <c r="AE266" s="77">
        <f t="shared" si="614"/>
        <v>-2301</v>
      </c>
      <c r="AF266" s="77">
        <f t="shared" si="614"/>
        <v>0</v>
      </c>
      <c r="AG266" s="77">
        <f t="shared" si="614"/>
        <v>0</v>
      </c>
      <c r="AH266" s="77">
        <f t="shared" si="614"/>
        <v>0</v>
      </c>
      <c r="AI266" s="77">
        <f t="shared" si="614"/>
        <v>-156254</v>
      </c>
      <c r="AJ266" s="78">
        <f t="shared" si="614"/>
        <v>0</v>
      </c>
      <c r="AK266" s="78">
        <f t="shared" si="614"/>
        <v>0</v>
      </c>
      <c r="AL266" s="78">
        <f t="shared" si="614"/>
        <v>-0.25</v>
      </c>
      <c r="AM266" s="78">
        <f t="shared" si="614"/>
        <v>0</v>
      </c>
      <c r="AN266" s="78">
        <f t="shared" si="614"/>
        <v>-8.9999999999999969E-2</v>
      </c>
      <c r="AO266" s="78">
        <f t="shared" si="614"/>
        <v>0</v>
      </c>
      <c r="AP266" s="78">
        <f t="shared" si="614"/>
        <v>0</v>
      </c>
      <c r="AQ266" s="78">
        <f t="shared" si="614"/>
        <v>0</v>
      </c>
      <c r="AR266" s="78">
        <f t="shared" si="614"/>
        <v>-0.25</v>
      </c>
      <c r="AS266" s="78">
        <f t="shared" si="614"/>
        <v>-8.9999999999999969E-2</v>
      </c>
      <c r="AT266" s="79">
        <f t="shared" si="614"/>
        <v>-0.33999999999999997</v>
      </c>
      <c r="AU266" s="433">
        <f t="shared" si="614"/>
        <v>17188585</v>
      </c>
      <c r="AV266" s="77">
        <f t="shared" si="614"/>
        <v>12554020</v>
      </c>
      <c r="AW266" s="77">
        <f t="shared" si="614"/>
        <v>23000</v>
      </c>
      <c r="AX266" s="77">
        <f t="shared" si="614"/>
        <v>4251032</v>
      </c>
      <c r="AY266" s="77">
        <f t="shared" si="614"/>
        <v>251081</v>
      </c>
      <c r="AZ266" s="77">
        <f t="shared" si="614"/>
        <v>109452</v>
      </c>
      <c r="BA266" s="78">
        <f t="shared" si="614"/>
        <v>30.429600000000001</v>
      </c>
      <c r="BB266" s="78">
        <f t="shared" si="614"/>
        <v>18.75</v>
      </c>
      <c r="BC266" s="79">
        <f t="shared" si="614"/>
        <v>11.679600000000001</v>
      </c>
    </row>
    <row r="267" spans="1:55" ht="14.1" customHeight="1" x14ac:dyDescent="0.2">
      <c r="A267" s="68">
        <v>55</v>
      </c>
      <c r="B267" s="65">
        <v>2484</v>
      </c>
      <c r="C267" s="66">
        <v>600079864</v>
      </c>
      <c r="D267" s="65">
        <v>46746145</v>
      </c>
      <c r="E267" s="67" t="s">
        <v>676</v>
      </c>
      <c r="F267" s="68">
        <v>3113</v>
      </c>
      <c r="G267" s="67" t="s">
        <v>314</v>
      </c>
      <c r="H267" s="69" t="s">
        <v>277</v>
      </c>
      <c r="I267" s="477">
        <v>42878634</v>
      </c>
      <c r="J267" s="472">
        <v>30517205</v>
      </c>
      <c r="K267" s="472">
        <v>250000</v>
      </c>
      <c r="L267" s="472">
        <v>10399316</v>
      </c>
      <c r="M267" s="472">
        <v>610343</v>
      </c>
      <c r="N267" s="472">
        <v>1101770</v>
      </c>
      <c r="O267" s="473">
        <v>54.528699999999994</v>
      </c>
      <c r="P267" s="473">
        <v>42.789200000000001</v>
      </c>
      <c r="Q267" s="483">
        <v>11.7395</v>
      </c>
      <c r="R267" s="485">
        <f t="shared" ref="R267:R271" si="615">Y267*-1</f>
        <v>0</v>
      </c>
      <c r="S267" s="475">
        <v>0</v>
      </c>
      <c r="T267" s="475">
        <v>0</v>
      </c>
      <c r="U267" s="475">
        <v>0</v>
      </c>
      <c r="V267" s="475">
        <v>0</v>
      </c>
      <c r="W267" s="475">
        <v>0</v>
      </c>
      <c r="X267" s="475">
        <f t="shared" ref="X267:X271" si="616">SUM(R267:W267)</f>
        <v>0</v>
      </c>
      <c r="Y267" s="475">
        <v>0</v>
      </c>
      <c r="Z267" s="475">
        <v>0</v>
      </c>
      <c r="AA267" s="475">
        <v>0</v>
      </c>
      <c r="AB267" s="475">
        <f t="shared" ref="AB267:AB271" si="617">SUM(Y267:AA267)</f>
        <v>0</v>
      </c>
      <c r="AC267" s="475">
        <f t="shared" ref="AC267:AC271" si="618">X267+AB267</f>
        <v>0</v>
      </c>
      <c r="AD267" s="70">
        <f t="shared" ref="AD267:AD271" si="619">ROUND((X267+Y267+Z267)*33.8%,0)</f>
        <v>0</v>
      </c>
      <c r="AE267" s="70">
        <f t="shared" ref="AE267:AE271" si="620">ROUND(X267*2%,0)</f>
        <v>0</v>
      </c>
      <c r="AF267" s="475">
        <v>0</v>
      </c>
      <c r="AG267" s="475">
        <v>0</v>
      </c>
      <c r="AH267" s="475">
        <f t="shared" ref="AH267:AH271" si="621">SUM(AF267:AG267)</f>
        <v>0</v>
      </c>
      <c r="AI267" s="475">
        <f t="shared" ref="AI267:AI271" si="622">AC267+AD267+AE267+AH267</f>
        <v>0</v>
      </c>
      <c r="AJ267" s="476">
        <v>0</v>
      </c>
      <c r="AK267" s="476">
        <v>0</v>
      </c>
      <c r="AL267" s="476">
        <v>0</v>
      </c>
      <c r="AM267" s="476">
        <v>0</v>
      </c>
      <c r="AN267" s="476">
        <v>0</v>
      </c>
      <c r="AO267" s="476">
        <v>0</v>
      </c>
      <c r="AP267" s="476">
        <v>0</v>
      </c>
      <c r="AQ267" s="476">
        <v>0</v>
      </c>
      <c r="AR267" s="476">
        <f t="shared" si="483"/>
        <v>0</v>
      </c>
      <c r="AS267" s="476">
        <f t="shared" si="484"/>
        <v>0</v>
      </c>
      <c r="AT267" s="478">
        <f t="shared" si="485"/>
        <v>0</v>
      </c>
      <c r="AU267" s="484">
        <f>I267+AI267</f>
        <v>42878634</v>
      </c>
      <c r="AV267" s="475">
        <f>J267+X267</f>
        <v>30517205</v>
      </c>
      <c r="AW267" s="475">
        <f>K267+AB267</f>
        <v>250000</v>
      </c>
      <c r="AX267" s="475">
        <f t="shared" ref="AX267:AY271" si="623">L267+AD267</f>
        <v>10399316</v>
      </c>
      <c r="AY267" s="475">
        <f t="shared" si="623"/>
        <v>610343</v>
      </c>
      <c r="AZ267" s="475">
        <f>N267+AH267</f>
        <v>1101770</v>
      </c>
      <c r="BA267" s="476">
        <f>O267+AT267</f>
        <v>54.528699999999994</v>
      </c>
      <c r="BB267" s="476">
        <f t="shared" ref="BB267:BC271" si="624">P267+AR267</f>
        <v>42.789200000000001</v>
      </c>
      <c r="BC267" s="478">
        <f t="shared" si="624"/>
        <v>11.7395</v>
      </c>
    </row>
    <row r="268" spans="1:55" ht="14.1" customHeight="1" x14ac:dyDescent="0.2">
      <c r="A268" s="68">
        <v>55</v>
      </c>
      <c r="B268" s="65">
        <v>2484</v>
      </c>
      <c r="C268" s="66">
        <v>600079864</v>
      </c>
      <c r="D268" s="65">
        <v>46746145</v>
      </c>
      <c r="E268" s="67" t="s">
        <v>676</v>
      </c>
      <c r="F268" s="68">
        <v>3113</v>
      </c>
      <c r="G268" s="80" t="s">
        <v>312</v>
      </c>
      <c r="H268" s="69" t="s">
        <v>278</v>
      </c>
      <c r="I268" s="477">
        <v>3790221</v>
      </c>
      <c r="J268" s="472">
        <v>2789191</v>
      </c>
      <c r="K268" s="472">
        <v>0</v>
      </c>
      <c r="L268" s="472">
        <v>942747</v>
      </c>
      <c r="M268" s="472">
        <v>55783</v>
      </c>
      <c r="N268" s="472">
        <v>2500</v>
      </c>
      <c r="O268" s="473">
        <v>8.0100000000000016</v>
      </c>
      <c r="P268" s="474">
        <v>8.0100000000000016</v>
      </c>
      <c r="Q268" s="483">
        <v>0</v>
      </c>
      <c r="R268" s="485">
        <f t="shared" si="615"/>
        <v>0</v>
      </c>
      <c r="S268" s="475">
        <v>0</v>
      </c>
      <c r="T268" s="475">
        <v>0</v>
      </c>
      <c r="U268" s="475">
        <v>0</v>
      </c>
      <c r="V268" s="475">
        <v>0</v>
      </c>
      <c r="W268" s="475">
        <v>0</v>
      </c>
      <c r="X268" s="475">
        <f t="shared" si="616"/>
        <v>0</v>
      </c>
      <c r="Y268" s="475">
        <v>0</v>
      </c>
      <c r="Z268" s="475">
        <v>0</v>
      </c>
      <c r="AA268" s="475">
        <v>0</v>
      </c>
      <c r="AB268" s="475">
        <f t="shared" si="617"/>
        <v>0</v>
      </c>
      <c r="AC268" s="475">
        <f t="shared" si="618"/>
        <v>0</v>
      </c>
      <c r="AD268" s="70">
        <f t="shared" si="619"/>
        <v>0</v>
      </c>
      <c r="AE268" s="70">
        <f t="shared" si="620"/>
        <v>0</v>
      </c>
      <c r="AF268" s="475">
        <v>0</v>
      </c>
      <c r="AG268" s="475">
        <v>0</v>
      </c>
      <c r="AH268" s="475">
        <f t="shared" si="621"/>
        <v>0</v>
      </c>
      <c r="AI268" s="475">
        <f t="shared" si="622"/>
        <v>0</v>
      </c>
      <c r="AJ268" s="476">
        <v>0</v>
      </c>
      <c r="AK268" s="476">
        <v>0</v>
      </c>
      <c r="AL268" s="476">
        <v>0</v>
      </c>
      <c r="AM268" s="476">
        <v>0</v>
      </c>
      <c r="AN268" s="476">
        <v>0</v>
      </c>
      <c r="AO268" s="476">
        <v>0</v>
      </c>
      <c r="AP268" s="476">
        <v>0</v>
      </c>
      <c r="AQ268" s="476">
        <v>0</v>
      </c>
      <c r="AR268" s="476">
        <f t="shared" si="483"/>
        <v>0</v>
      </c>
      <c r="AS268" s="476">
        <f t="shared" si="484"/>
        <v>0</v>
      </c>
      <c r="AT268" s="478">
        <f t="shared" si="485"/>
        <v>0</v>
      </c>
      <c r="AU268" s="484">
        <f>I268+AI268</f>
        <v>3790221</v>
      </c>
      <c r="AV268" s="475">
        <f>J268+X268</f>
        <v>2789191</v>
      </c>
      <c r="AW268" s="475">
        <f>K268+AB268</f>
        <v>0</v>
      </c>
      <c r="AX268" s="475">
        <f t="shared" si="623"/>
        <v>942747</v>
      </c>
      <c r="AY268" s="475">
        <f t="shared" si="623"/>
        <v>55783</v>
      </c>
      <c r="AZ268" s="475">
        <f>N268+AH268</f>
        <v>2500</v>
      </c>
      <c r="BA268" s="476">
        <f>O268+AT268</f>
        <v>8.0100000000000016</v>
      </c>
      <c r="BB268" s="476">
        <f t="shared" si="624"/>
        <v>8.0100000000000016</v>
      </c>
      <c r="BC268" s="478">
        <f t="shared" si="624"/>
        <v>0</v>
      </c>
    </row>
    <row r="269" spans="1:55" ht="14.1" customHeight="1" x14ac:dyDescent="0.2">
      <c r="A269" s="68">
        <v>55</v>
      </c>
      <c r="B269" s="65">
        <v>2484</v>
      </c>
      <c r="C269" s="66">
        <v>600079864</v>
      </c>
      <c r="D269" s="65">
        <v>46746145</v>
      </c>
      <c r="E269" s="67" t="s">
        <v>676</v>
      </c>
      <c r="F269" s="68">
        <v>3141</v>
      </c>
      <c r="G269" s="67" t="s">
        <v>315</v>
      </c>
      <c r="H269" s="69" t="s">
        <v>278</v>
      </c>
      <c r="I269" s="477">
        <v>3873219</v>
      </c>
      <c r="J269" s="472">
        <v>2745694</v>
      </c>
      <c r="K269" s="472">
        <v>80000</v>
      </c>
      <c r="L269" s="472">
        <v>955085</v>
      </c>
      <c r="M269" s="472">
        <v>54914</v>
      </c>
      <c r="N269" s="472">
        <v>37526</v>
      </c>
      <c r="O269" s="473">
        <v>8.75</v>
      </c>
      <c r="P269" s="474">
        <v>0</v>
      </c>
      <c r="Q269" s="483">
        <v>8.75</v>
      </c>
      <c r="R269" s="485">
        <f t="shared" si="615"/>
        <v>0</v>
      </c>
      <c r="S269" s="475">
        <v>0</v>
      </c>
      <c r="T269" s="755">
        <v>8161</v>
      </c>
      <c r="U269" s="475">
        <v>0</v>
      </c>
      <c r="V269" s="475">
        <v>0</v>
      </c>
      <c r="W269" s="475">
        <v>0</v>
      </c>
      <c r="X269" s="475">
        <f t="shared" si="616"/>
        <v>8161</v>
      </c>
      <c r="Y269" s="475">
        <v>0</v>
      </c>
      <c r="Z269" s="475">
        <v>0</v>
      </c>
      <c r="AA269" s="475">
        <v>0</v>
      </c>
      <c r="AB269" s="475">
        <f t="shared" si="617"/>
        <v>0</v>
      </c>
      <c r="AC269" s="475">
        <f t="shared" si="618"/>
        <v>8161</v>
      </c>
      <c r="AD269" s="70">
        <f t="shared" si="619"/>
        <v>2758</v>
      </c>
      <c r="AE269" s="70">
        <f t="shared" si="620"/>
        <v>163</v>
      </c>
      <c r="AF269" s="475">
        <v>0</v>
      </c>
      <c r="AG269" s="475">
        <v>0</v>
      </c>
      <c r="AH269" s="475">
        <f t="shared" si="621"/>
        <v>0</v>
      </c>
      <c r="AI269" s="475">
        <f t="shared" si="622"/>
        <v>11082</v>
      </c>
      <c r="AJ269" s="476">
        <v>0</v>
      </c>
      <c r="AK269" s="476">
        <v>0</v>
      </c>
      <c r="AL269" s="476">
        <v>0</v>
      </c>
      <c r="AM269" s="476">
        <v>0</v>
      </c>
      <c r="AN269" s="756">
        <v>2.0000000000000018E-2</v>
      </c>
      <c r="AO269" s="476">
        <v>0</v>
      </c>
      <c r="AP269" s="476">
        <v>0</v>
      </c>
      <c r="AQ269" s="476">
        <v>0</v>
      </c>
      <c r="AR269" s="476">
        <f t="shared" ref="AR269:AR331" si="625">AJ269+AL269+AM269+AO269+AP269</f>
        <v>0</v>
      </c>
      <c r="AS269" s="476">
        <f t="shared" ref="AS269:AS331" si="626">AK269+AN269+AQ269</f>
        <v>2.0000000000000018E-2</v>
      </c>
      <c r="AT269" s="478">
        <f t="shared" ref="AT269:AT331" si="627">SUM(AR269:AS269)</f>
        <v>2.0000000000000018E-2</v>
      </c>
      <c r="AU269" s="484">
        <f>I269+AI269</f>
        <v>3884301</v>
      </c>
      <c r="AV269" s="475">
        <f>J269+X269</f>
        <v>2753855</v>
      </c>
      <c r="AW269" s="475">
        <f>K269+AB269</f>
        <v>80000</v>
      </c>
      <c r="AX269" s="475">
        <f t="shared" si="623"/>
        <v>957843</v>
      </c>
      <c r="AY269" s="475">
        <f t="shared" si="623"/>
        <v>55077</v>
      </c>
      <c r="AZ269" s="475">
        <f>N269+AH269</f>
        <v>37526</v>
      </c>
      <c r="BA269" s="476">
        <f>O269+AT269</f>
        <v>8.77</v>
      </c>
      <c r="BB269" s="476">
        <f t="shared" si="624"/>
        <v>0</v>
      </c>
      <c r="BC269" s="478">
        <f t="shared" si="624"/>
        <v>8.77</v>
      </c>
    </row>
    <row r="270" spans="1:55" ht="14.1" customHeight="1" x14ac:dyDescent="0.2">
      <c r="A270" s="68">
        <v>55</v>
      </c>
      <c r="B270" s="65">
        <v>2484</v>
      </c>
      <c r="C270" s="66">
        <v>600079864</v>
      </c>
      <c r="D270" s="65">
        <v>46746145</v>
      </c>
      <c r="E270" s="67" t="s">
        <v>676</v>
      </c>
      <c r="F270" s="68">
        <v>3143</v>
      </c>
      <c r="G270" s="80" t="s">
        <v>626</v>
      </c>
      <c r="H270" s="69" t="s">
        <v>277</v>
      </c>
      <c r="I270" s="477">
        <v>4284639</v>
      </c>
      <c r="J270" s="472">
        <v>3076288</v>
      </c>
      <c r="K270" s="472">
        <v>80000</v>
      </c>
      <c r="L270" s="472">
        <v>1066825</v>
      </c>
      <c r="M270" s="472">
        <v>61526</v>
      </c>
      <c r="N270" s="472">
        <v>0</v>
      </c>
      <c r="O270" s="473">
        <v>6.3791000000000002</v>
      </c>
      <c r="P270" s="473">
        <v>6.3791000000000002</v>
      </c>
      <c r="Q270" s="483">
        <v>0</v>
      </c>
      <c r="R270" s="485">
        <f t="shared" si="615"/>
        <v>0</v>
      </c>
      <c r="S270" s="475">
        <v>0</v>
      </c>
      <c r="T270" s="475">
        <v>0</v>
      </c>
      <c r="U270" s="475">
        <v>0</v>
      </c>
      <c r="V270" s="475">
        <v>0</v>
      </c>
      <c r="W270" s="475">
        <v>0</v>
      </c>
      <c r="X270" s="475">
        <f t="shared" si="616"/>
        <v>0</v>
      </c>
      <c r="Y270" s="475">
        <v>0</v>
      </c>
      <c r="Z270" s="475">
        <v>0</v>
      </c>
      <c r="AA270" s="475">
        <v>0</v>
      </c>
      <c r="AB270" s="475">
        <f t="shared" si="617"/>
        <v>0</v>
      </c>
      <c r="AC270" s="475">
        <f t="shared" si="618"/>
        <v>0</v>
      </c>
      <c r="AD270" s="70">
        <f t="shared" si="619"/>
        <v>0</v>
      </c>
      <c r="AE270" s="70">
        <f t="shared" si="620"/>
        <v>0</v>
      </c>
      <c r="AF270" s="475">
        <v>0</v>
      </c>
      <c r="AG270" s="475">
        <v>0</v>
      </c>
      <c r="AH270" s="475">
        <f t="shared" si="621"/>
        <v>0</v>
      </c>
      <c r="AI270" s="475">
        <f t="shared" si="622"/>
        <v>0</v>
      </c>
      <c r="AJ270" s="476">
        <v>0</v>
      </c>
      <c r="AK270" s="476">
        <v>0</v>
      </c>
      <c r="AL270" s="476">
        <v>0</v>
      </c>
      <c r="AM270" s="476">
        <v>0</v>
      </c>
      <c r="AN270" s="476">
        <v>0</v>
      </c>
      <c r="AO270" s="476">
        <v>0</v>
      </c>
      <c r="AP270" s="476">
        <v>0</v>
      </c>
      <c r="AQ270" s="476">
        <v>0</v>
      </c>
      <c r="AR270" s="476">
        <f t="shared" si="625"/>
        <v>0</v>
      </c>
      <c r="AS270" s="476">
        <f t="shared" si="626"/>
        <v>0</v>
      </c>
      <c r="AT270" s="478">
        <f t="shared" si="627"/>
        <v>0</v>
      </c>
      <c r="AU270" s="484">
        <f>I270+AI270</f>
        <v>4284639</v>
      </c>
      <c r="AV270" s="475">
        <f>J270+X270</f>
        <v>3076288</v>
      </c>
      <c r="AW270" s="475">
        <f>K270+AB270</f>
        <v>80000</v>
      </c>
      <c r="AX270" s="475">
        <f t="shared" si="623"/>
        <v>1066825</v>
      </c>
      <c r="AY270" s="475">
        <f t="shared" si="623"/>
        <v>61526</v>
      </c>
      <c r="AZ270" s="475">
        <f>N270+AH270</f>
        <v>0</v>
      </c>
      <c r="BA270" s="476">
        <f>O270+AT270</f>
        <v>6.3791000000000002</v>
      </c>
      <c r="BB270" s="476">
        <f t="shared" si="624"/>
        <v>6.3791000000000002</v>
      </c>
      <c r="BC270" s="478">
        <f t="shared" si="624"/>
        <v>0</v>
      </c>
    </row>
    <row r="271" spans="1:55" ht="14.1" customHeight="1" x14ac:dyDescent="0.2">
      <c r="A271" s="68">
        <v>55</v>
      </c>
      <c r="B271" s="65">
        <v>2484</v>
      </c>
      <c r="C271" s="66">
        <v>600079864</v>
      </c>
      <c r="D271" s="65">
        <v>46746145</v>
      </c>
      <c r="E271" s="67" t="s">
        <v>676</v>
      </c>
      <c r="F271" s="68">
        <v>3143</v>
      </c>
      <c r="G271" s="80" t="s">
        <v>627</v>
      </c>
      <c r="H271" s="69" t="s">
        <v>278</v>
      </c>
      <c r="I271" s="477">
        <v>143641</v>
      </c>
      <c r="J271" s="472">
        <v>101576</v>
      </c>
      <c r="K271" s="472">
        <v>0</v>
      </c>
      <c r="L271" s="472">
        <v>34333</v>
      </c>
      <c r="M271" s="472">
        <v>2032</v>
      </c>
      <c r="N271" s="472">
        <v>5700</v>
      </c>
      <c r="O271" s="473">
        <v>0.39</v>
      </c>
      <c r="P271" s="474">
        <v>0</v>
      </c>
      <c r="Q271" s="483">
        <v>0.39</v>
      </c>
      <c r="R271" s="485">
        <f t="shared" si="615"/>
        <v>0</v>
      </c>
      <c r="S271" s="475">
        <v>0</v>
      </c>
      <c r="T271" s="475">
        <v>0</v>
      </c>
      <c r="U271" s="475">
        <v>0</v>
      </c>
      <c r="V271" s="475">
        <v>0</v>
      </c>
      <c r="W271" s="475">
        <v>0</v>
      </c>
      <c r="X271" s="475">
        <f t="shared" si="616"/>
        <v>0</v>
      </c>
      <c r="Y271" s="475">
        <v>0</v>
      </c>
      <c r="Z271" s="475">
        <v>0</v>
      </c>
      <c r="AA271" s="475">
        <v>0</v>
      </c>
      <c r="AB271" s="475">
        <f t="shared" si="617"/>
        <v>0</v>
      </c>
      <c r="AC271" s="475">
        <f t="shared" si="618"/>
        <v>0</v>
      </c>
      <c r="AD271" s="70">
        <f t="shared" si="619"/>
        <v>0</v>
      </c>
      <c r="AE271" s="70">
        <f t="shared" si="620"/>
        <v>0</v>
      </c>
      <c r="AF271" s="475">
        <v>0</v>
      </c>
      <c r="AG271" s="475">
        <v>0</v>
      </c>
      <c r="AH271" s="475">
        <f t="shared" si="621"/>
        <v>0</v>
      </c>
      <c r="AI271" s="475">
        <f t="shared" si="622"/>
        <v>0</v>
      </c>
      <c r="AJ271" s="476">
        <v>0</v>
      </c>
      <c r="AK271" s="476">
        <v>0</v>
      </c>
      <c r="AL271" s="476">
        <v>0</v>
      </c>
      <c r="AM271" s="476">
        <v>0</v>
      </c>
      <c r="AN271" s="476">
        <v>0</v>
      </c>
      <c r="AO271" s="476">
        <v>0</v>
      </c>
      <c r="AP271" s="476">
        <v>0</v>
      </c>
      <c r="AQ271" s="476">
        <v>0</v>
      </c>
      <c r="AR271" s="476">
        <f t="shared" si="625"/>
        <v>0</v>
      </c>
      <c r="AS271" s="476">
        <f t="shared" si="626"/>
        <v>0</v>
      </c>
      <c r="AT271" s="478">
        <f t="shared" si="627"/>
        <v>0</v>
      </c>
      <c r="AU271" s="484">
        <f>I271+AI271</f>
        <v>143641</v>
      </c>
      <c r="AV271" s="475">
        <f>J271+X271</f>
        <v>101576</v>
      </c>
      <c r="AW271" s="475">
        <f>K271+AB271</f>
        <v>0</v>
      </c>
      <c r="AX271" s="475">
        <f t="shared" si="623"/>
        <v>34333</v>
      </c>
      <c r="AY271" s="475">
        <f t="shared" si="623"/>
        <v>2032</v>
      </c>
      <c r="AZ271" s="475">
        <f>N271+AH271</f>
        <v>5700</v>
      </c>
      <c r="BA271" s="476">
        <f>O271+AT271</f>
        <v>0.39</v>
      </c>
      <c r="BB271" s="476">
        <f t="shared" si="624"/>
        <v>0</v>
      </c>
      <c r="BC271" s="478">
        <f t="shared" si="624"/>
        <v>0.39</v>
      </c>
    </row>
    <row r="272" spans="1:55" ht="14.1" customHeight="1" x14ac:dyDescent="0.2">
      <c r="A272" s="74">
        <v>55</v>
      </c>
      <c r="B272" s="71">
        <v>2484</v>
      </c>
      <c r="C272" s="72">
        <v>600079864</v>
      </c>
      <c r="D272" s="71">
        <v>46746145</v>
      </c>
      <c r="E272" s="73" t="s">
        <v>677</v>
      </c>
      <c r="F272" s="74"/>
      <c r="G272" s="73"/>
      <c r="H272" s="75"/>
      <c r="I272" s="76">
        <v>54970354</v>
      </c>
      <c r="J272" s="77">
        <v>39229954</v>
      </c>
      <c r="K272" s="77">
        <v>410000</v>
      </c>
      <c r="L272" s="77">
        <v>13398306</v>
      </c>
      <c r="M272" s="77">
        <v>784598</v>
      </c>
      <c r="N272" s="77">
        <v>1147496</v>
      </c>
      <c r="O272" s="78">
        <v>78.057799999999986</v>
      </c>
      <c r="P272" s="78">
        <v>57.1783</v>
      </c>
      <c r="Q272" s="718">
        <v>20.8795</v>
      </c>
      <c r="R272" s="76">
        <f t="shared" ref="R272:BC272" si="628">SUM(R267:R271)</f>
        <v>0</v>
      </c>
      <c r="S272" s="77">
        <f t="shared" si="628"/>
        <v>0</v>
      </c>
      <c r="T272" s="77">
        <f t="shared" si="628"/>
        <v>8161</v>
      </c>
      <c r="U272" s="77">
        <f t="shared" si="628"/>
        <v>0</v>
      </c>
      <c r="V272" s="77">
        <f t="shared" si="628"/>
        <v>0</v>
      </c>
      <c r="W272" s="77">
        <f t="shared" si="628"/>
        <v>0</v>
      </c>
      <c r="X272" s="77">
        <f t="shared" si="628"/>
        <v>8161</v>
      </c>
      <c r="Y272" s="77">
        <f t="shared" si="628"/>
        <v>0</v>
      </c>
      <c r="Z272" s="77">
        <f t="shared" si="628"/>
        <v>0</v>
      </c>
      <c r="AA272" s="77">
        <f t="shared" si="628"/>
        <v>0</v>
      </c>
      <c r="AB272" s="77">
        <f t="shared" si="628"/>
        <v>0</v>
      </c>
      <c r="AC272" s="77">
        <f t="shared" si="628"/>
        <v>8161</v>
      </c>
      <c r="AD272" s="77">
        <f t="shared" si="628"/>
        <v>2758</v>
      </c>
      <c r="AE272" s="77">
        <f t="shared" si="628"/>
        <v>163</v>
      </c>
      <c r="AF272" s="77">
        <f t="shared" si="628"/>
        <v>0</v>
      </c>
      <c r="AG272" s="77">
        <f t="shared" si="628"/>
        <v>0</v>
      </c>
      <c r="AH272" s="77">
        <f t="shared" si="628"/>
        <v>0</v>
      </c>
      <c r="AI272" s="77">
        <f t="shared" si="628"/>
        <v>11082</v>
      </c>
      <c r="AJ272" s="78">
        <f t="shared" si="628"/>
        <v>0</v>
      </c>
      <c r="AK272" s="78">
        <f t="shared" si="628"/>
        <v>0</v>
      </c>
      <c r="AL272" s="78">
        <f t="shared" si="628"/>
        <v>0</v>
      </c>
      <c r="AM272" s="78">
        <f t="shared" si="628"/>
        <v>0</v>
      </c>
      <c r="AN272" s="78">
        <f t="shared" si="628"/>
        <v>2.0000000000000018E-2</v>
      </c>
      <c r="AO272" s="78">
        <f t="shared" si="628"/>
        <v>0</v>
      </c>
      <c r="AP272" s="78">
        <f t="shared" si="628"/>
        <v>0</v>
      </c>
      <c r="AQ272" s="78">
        <f t="shared" si="628"/>
        <v>0</v>
      </c>
      <c r="AR272" s="78">
        <f t="shared" si="628"/>
        <v>0</v>
      </c>
      <c r="AS272" s="78">
        <f t="shared" si="628"/>
        <v>2.0000000000000018E-2</v>
      </c>
      <c r="AT272" s="79">
        <f t="shared" si="628"/>
        <v>2.0000000000000018E-2</v>
      </c>
      <c r="AU272" s="433">
        <f t="shared" si="628"/>
        <v>54981436</v>
      </c>
      <c r="AV272" s="77">
        <f t="shared" si="628"/>
        <v>39238115</v>
      </c>
      <c r="AW272" s="77">
        <f t="shared" si="628"/>
        <v>410000</v>
      </c>
      <c r="AX272" s="77">
        <f t="shared" si="628"/>
        <v>13401064</v>
      </c>
      <c r="AY272" s="77">
        <f t="shared" si="628"/>
        <v>784761</v>
      </c>
      <c r="AZ272" s="77">
        <f t="shared" si="628"/>
        <v>1147496</v>
      </c>
      <c r="BA272" s="78">
        <f t="shared" si="628"/>
        <v>78.077799999999982</v>
      </c>
      <c r="BB272" s="78">
        <f t="shared" si="628"/>
        <v>57.1783</v>
      </c>
      <c r="BC272" s="79">
        <f t="shared" si="628"/>
        <v>20.8995</v>
      </c>
    </row>
    <row r="273" spans="1:55" ht="14.1" customHeight="1" x14ac:dyDescent="0.2">
      <c r="A273" s="68">
        <v>56</v>
      </c>
      <c r="B273" s="65">
        <v>2401</v>
      </c>
      <c r="C273" s="66">
        <v>600079597</v>
      </c>
      <c r="D273" s="65">
        <v>72741538</v>
      </c>
      <c r="E273" s="67" t="s">
        <v>678</v>
      </c>
      <c r="F273" s="68">
        <v>3111</v>
      </c>
      <c r="G273" s="67" t="s">
        <v>311</v>
      </c>
      <c r="H273" s="69" t="s">
        <v>277</v>
      </c>
      <c r="I273" s="477">
        <v>3434871</v>
      </c>
      <c r="J273" s="643">
        <v>2416584</v>
      </c>
      <c r="K273" s="643">
        <v>100000</v>
      </c>
      <c r="L273" s="472">
        <v>850605</v>
      </c>
      <c r="M273" s="472">
        <v>48332</v>
      </c>
      <c r="N273" s="472">
        <v>19350</v>
      </c>
      <c r="O273" s="473">
        <v>5.1798000000000002</v>
      </c>
      <c r="P273" s="473">
        <v>3.8400000000000003</v>
      </c>
      <c r="Q273" s="483">
        <v>1.3397999999999999</v>
      </c>
      <c r="R273" s="485">
        <f t="shared" ref="R273:R275" si="629">Y273*-1</f>
        <v>0</v>
      </c>
      <c r="S273" s="475">
        <v>0</v>
      </c>
      <c r="T273" s="475">
        <v>0</v>
      </c>
      <c r="U273" s="475">
        <v>0</v>
      </c>
      <c r="V273" s="475">
        <v>0</v>
      </c>
      <c r="W273" s="475">
        <v>0</v>
      </c>
      <c r="X273" s="475">
        <f t="shared" ref="X273:X275" si="630">SUM(R273:W273)</f>
        <v>0</v>
      </c>
      <c r="Y273" s="475">
        <v>0</v>
      </c>
      <c r="Z273" s="475">
        <v>0</v>
      </c>
      <c r="AA273" s="475">
        <v>0</v>
      </c>
      <c r="AB273" s="475">
        <f t="shared" ref="AB273:AB275" si="631">SUM(Y273:AA273)</f>
        <v>0</v>
      </c>
      <c r="AC273" s="475">
        <f t="shared" ref="AC273:AC275" si="632">X273+AB273</f>
        <v>0</v>
      </c>
      <c r="AD273" s="70">
        <f t="shared" ref="AD273:AD275" si="633">ROUND((X273+Y273+Z273)*33.8%,0)</f>
        <v>0</v>
      </c>
      <c r="AE273" s="70">
        <f t="shared" ref="AE273:AE275" si="634">ROUND(X273*2%,0)</f>
        <v>0</v>
      </c>
      <c r="AF273" s="475">
        <v>0</v>
      </c>
      <c r="AG273" s="475">
        <v>0</v>
      </c>
      <c r="AH273" s="475">
        <f t="shared" ref="AH273:AH275" si="635">SUM(AF273:AG273)</f>
        <v>0</v>
      </c>
      <c r="AI273" s="475">
        <f t="shared" ref="AI273:AI275" si="636">AC273+AD273+AE273+AH273</f>
        <v>0</v>
      </c>
      <c r="AJ273" s="476">
        <v>0</v>
      </c>
      <c r="AK273" s="476">
        <v>0</v>
      </c>
      <c r="AL273" s="476">
        <v>0</v>
      </c>
      <c r="AM273" s="476">
        <v>0</v>
      </c>
      <c r="AN273" s="476">
        <v>0</v>
      </c>
      <c r="AO273" s="476">
        <v>0</v>
      </c>
      <c r="AP273" s="476">
        <v>0</v>
      </c>
      <c r="AQ273" s="476">
        <v>0</v>
      </c>
      <c r="AR273" s="476">
        <f t="shared" si="625"/>
        <v>0</v>
      </c>
      <c r="AS273" s="476">
        <f t="shared" si="626"/>
        <v>0</v>
      </c>
      <c r="AT273" s="478">
        <f t="shared" si="627"/>
        <v>0</v>
      </c>
      <c r="AU273" s="484">
        <f>I273+AI273</f>
        <v>3434871</v>
      </c>
      <c r="AV273" s="475">
        <f>J273+X273</f>
        <v>2416584</v>
      </c>
      <c r="AW273" s="475">
        <f>K273+AB273</f>
        <v>100000</v>
      </c>
      <c r="AX273" s="475">
        <f t="shared" ref="AX273:AY275" si="637">L273+AD273</f>
        <v>850605</v>
      </c>
      <c r="AY273" s="475">
        <f t="shared" si="637"/>
        <v>48332</v>
      </c>
      <c r="AZ273" s="475">
        <f>N273+AH273</f>
        <v>19350</v>
      </c>
      <c r="BA273" s="476">
        <f>O273+AT273</f>
        <v>5.1798000000000002</v>
      </c>
      <c r="BB273" s="476">
        <f t="shared" ref="BB273:BC275" si="638">P273+AR273</f>
        <v>3.8400000000000003</v>
      </c>
      <c r="BC273" s="478">
        <f t="shared" si="638"/>
        <v>1.3397999999999999</v>
      </c>
    </row>
    <row r="274" spans="1:55" ht="14.1" customHeight="1" x14ac:dyDescent="0.2">
      <c r="A274" s="68">
        <v>56</v>
      </c>
      <c r="B274" s="65">
        <v>2401</v>
      </c>
      <c r="C274" s="66">
        <v>600079597</v>
      </c>
      <c r="D274" s="65">
        <v>72741538</v>
      </c>
      <c r="E274" s="67" t="s">
        <v>678</v>
      </c>
      <c r="F274" s="68">
        <v>3111</v>
      </c>
      <c r="G274" s="67" t="s">
        <v>312</v>
      </c>
      <c r="H274" s="69" t="s">
        <v>278</v>
      </c>
      <c r="I274" s="477">
        <v>873772</v>
      </c>
      <c r="J274" s="472">
        <v>643057</v>
      </c>
      <c r="K274" s="472">
        <v>0</v>
      </c>
      <c r="L274" s="472">
        <v>217354</v>
      </c>
      <c r="M274" s="472">
        <v>12861</v>
      </c>
      <c r="N274" s="472">
        <v>500</v>
      </c>
      <c r="O274" s="473">
        <v>1.76</v>
      </c>
      <c r="P274" s="474">
        <v>1.76</v>
      </c>
      <c r="Q274" s="483">
        <v>0</v>
      </c>
      <c r="R274" s="485">
        <f t="shared" si="629"/>
        <v>0</v>
      </c>
      <c r="S274" s="475">
        <v>0</v>
      </c>
      <c r="T274" s="475">
        <v>0</v>
      </c>
      <c r="U274" s="475">
        <v>0</v>
      </c>
      <c r="V274" s="475">
        <v>0</v>
      </c>
      <c r="W274" s="475">
        <v>0</v>
      </c>
      <c r="X274" s="475">
        <f t="shared" si="630"/>
        <v>0</v>
      </c>
      <c r="Y274" s="475">
        <v>0</v>
      </c>
      <c r="Z274" s="475">
        <v>0</v>
      </c>
      <c r="AA274" s="475">
        <v>0</v>
      </c>
      <c r="AB274" s="475">
        <f t="shared" si="631"/>
        <v>0</v>
      </c>
      <c r="AC274" s="475">
        <f t="shared" si="632"/>
        <v>0</v>
      </c>
      <c r="AD274" s="70">
        <f t="shared" si="633"/>
        <v>0</v>
      </c>
      <c r="AE274" s="70">
        <f t="shared" si="634"/>
        <v>0</v>
      </c>
      <c r="AF274" s="475">
        <v>0</v>
      </c>
      <c r="AG274" s="475">
        <v>0</v>
      </c>
      <c r="AH274" s="475">
        <f t="shared" si="635"/>
        <v>0</v>
      </c>
      <c r="AI274" s="475">
        <f t="shared" si="636"/>
        <v>0</v>
      </c>
      <c r="AJ274" s="476">
        <v>0</v>
      </c>
      <c r="AK274" s="476">
        <v>0</v>
      </c>
      <c r="AL274" s="476">
        <v>0</v>
      </c>
      <c r="AM274" s="476">
        <v>0</v>
      </c>
      <c r="AN274" s="476">
        <v>0</v>
      </c>
      <c r="AO274" s="476">
        <v>0</v>
      </c>
      <c r="AP274" s="476">
        <v>0</v>
      </c>
      <c r="AQ274" s="476">
        <v>0</v>
      </c>
      <c r="AR274" s="476">
        <f t="shared" si="625"/>
        <v>0</v>
      </c>
      <c r="AS274" s="476">
        <f t="shared" si="626"/>
        <v>0</v>
      </c>
      <c r="AT274" s="478">
        <f t="shared" si="627"/>
        <v>0</v>
      </c>
      <c r="AU274" s="484">
        <f>I274+AI274</f>
        <v>873772</v>
      </c>
      <c r="AV274" s="475">
        <f>J274+X274</f>
        <v>643057</v>
      </c>
      <c r="AW274" s="475">
        <f>K274+AB274</f>
        <v>0</v>
      </c>
      <c r="AX274" s="475">
        <f t="shared" si="637"/>
        <v>217354</v>
      </c>
      <c r="AY274" s="475">
        <f t="shared" si="637"/>
        <v>12861</v>
      </c>
      <c r="AZ274" s="475">
        <f>N274+AH274</f>
        <v>500</v>
      </c>
      <c r="BA274" s="476">
        <f>O274+AT274</f>
        <v>1.76</v>
      </c>
      <c r="BB274" s="476">
        <f t="shared" si="638"/>
        <v>1.76</v>
      </c>
      <c r="BC274" s="478">
        <f t="shared" si="638"/>
        <v>0</v>
      </c>
    </row>
    <row r="275" spans="1:55" ht="14.1" customHeight="1" x14ac:dyDescent="0.2">
      <c r="A275" s="68">
        <v>56</v>
      </c>
      <c r="B275" s="65">
        <v>2401</v>
      </c>
      <c r="C275" s="66">
        <v>600079597</v>
      </c>
      <c r="D275" s="65">
        <v>72741538</v>
      </c>
      <c r="E275" s="67" t="s">
        <v>678</v>
      </c>
      <c r="F275" s="68">
        <v>3141</v>
      </c>
      <c r="G275" s="67" t="s">
        <v>315</v>
      </c>
      <c r="H275" s="69" t="s">
        <v>278</v>
      </c>
      <c r="I275" s="477">
        <v>619801</v>
      </c>
      <c r="J275" s="472">
        <v>454571</v>
      </c>
      <c r="K275" s="472">
        <v>0</v>
      </c>
      <c r="L275" s="472">
        <v>153645</v>
      </c>
      <c r="M275" s="472">
        <v>9091</v>
      </c>
      <c r="N275" s="472">
        <v>2494</v>
      </c>
      <c r="O275" s="473">
        <v>1.43</v>
      </c>
      <c r="P275" s="474">
        <v>0</v>
      </c>
      <c r="Q275" s="483">
        <v>1.43</v>
      </c>
      <c r="R275" s="485">
        <f t="shared" si="629"/>
        <v>0</v>
      </c>
      <c r="S275" s="475">
        <v>0</v>
      </c>
      <c r="T275" s="755">
        <v>-10011</v>
      </c>
      <c r="U275" s="475">
        <v>0</v>
      </c>
      <c r="V275" s="475">
        <v>0</v>
      </c>
      <c r="W275" s="475">
        <v>0</v>
      </c>
      <c r="X275" s="475">
        <f t="shared" si="630"/>
        <v>-10011</v>
      </c>
      <c r="Y275" s="475">
        <v>0</v>
      </c>
      <c r="Z275" s="475">
        <v>0</v>
      </c>
      <c r="AA275" s="475">
        <v>0</v>
      </c>
      <c r="AB275" s="475">
        <f t="shared" si="631"/>
        <v>0</v>
      </c>
      <c r="AC275" s="475">
        <f t="shared" si="632"/>
        <v>-10011</v>
      </c>
      <c r="AD275" s="70">
        <f t="shared" si="633"/>
        <v>-3384</v>
      </c>
      <c r="AE275" s="70">
        <f t="shared" si="634"/>
        <v>-200</v>
      </c>
      <c r="AF275" s="475">
        <v>0</v>
      </c>
      <c r="AG275" s="475">
        <v>0</v>
      </c>
      <c r="AH275" s="475">
        <f t="shared" si="635"/>
        <v>0</v>
      </c>
      <c r="AI275" s="475">
        <f t="shared" si="636"/>
        <v>-13595</v>
      </c>
      <c r="AJ275" s="476">
        <v>0</v>
      </c>
      <c r="AK275" s="476">
        <v>0</v>
      </c>
      <c r="AL275" s="476">
        <v>0</v>
      </c>
      <c r="AM275" s="476">
        <v>0</v>
      </c>
      <c r="AN275" s="756">
        <v>-2.9999999999999971E-2</v>
      </c>
      <c r="AO275" s="476">
        <v>0</v>
      </c>
      <c r="AP275" s="476">
        <v>0</v>
      </c>
      <c r="AQ275" s="476">
        <v>0</v>
      </c>
      <c r="AR275" s="476">
        <f t="shared" si="625"/>
        <v>0</v>
      </c>
      <c r="AS275" s="476">
        <f t="shared" si="626"/>
        <v>-2.9999999999999971E-2</v>
      </c>
      <c r="AT275" s="478">
        <f t="shared" si="627"/>
        <v>-2.9999999999999971E-2</v>
      </c>
      <c r="AU275" s="484">
        <f>I275+AI275</f>
        <v>606206</v>
      </c>
      <c r="AV275" s="475">
        <f>J275+X275</f>
        <v>444560</v>
      </c>
      <c r="AW275" s="475">
        <f>K275+AB275</f>
        <v>0</v>
      </c>
      <c r="AX275" s="475">
        <f t="shared" si="637"/>
        <v>150261</v>
      </c>
      <c r="AY275" s="475">
        <f t="shared" si="637"/>
        <v>8891</v>
      </c>
      <c r="AZ275" s="475">
        <f>N275+AH275</f>
        <v>2494</v>
      </c>
      <c r="BA275" s="476">
        <f>O275+AT275</f>
        <v>1.4</v>
      </c>
      <c r="BB275" s="476">
        <f t="shared" si="638"/>
        <v>0</v>
      </c>
      <c r="BC275" s="478">
        <f t="shared" si="638"/>
        <v>1.4</v>
      </c>
    </row>
    <row r="276" spans="1:55" ht="14.1" customHeight="1" x14ac:dyDescent="0.2">
      <c r="A276" s="74">
        <v>56</v>
      </c>
      <c r="B276" s="71">
        <v>2401</v>
      </c>
      <c r="C276" s="72">
        <v>600079597</v>
      </c>
      <c r="D276" s="71">
        <v>72741538</v>
      </c>
      <c r="E276" s="73" t="s">
        <v>679</v>
      </c>
      <c r="F276" s="74"/>
      <c r="G276" s="73"/>
      <c r="H276" s="75"/>
      <c r="I276" s="76">
        <v>4928444</v>
      </c>
      <c r="J276" s="77">
        <v>3514212</v>
      </c>
      <c r="K276" s="77">
        <v>100000</v>
      </c>
      <c r="L276" s="77">
        <v>1221604</v>
      </c>
      <c r="M276" s="77">
        <v>70284</v>
      </c>
      <c r="N276" s="77">
        <v>22344</v>
      </c>
      <c r="O276" s="78">
        <v>8.3697999999999997</v>
      </c>
      <c r="P276" s="78">
        <v>5.6000000000000005</v>
      </c>
      <c r="Q276" s="718">
        <v>2.7698</v>
      </c>
      <c r="R276" s="76">
        <f t="shared" ref="R276:BC276" si="639">SUM(R273:R275)</f>
        <v>0</v>
      </c>
      <c r="S276" s="77">
        <f t="shared" si="639"/>
        <v>0</v>
      </c>
      <c r="T276" s="77">
        <f t="shared" si="639"/>
        <v>-10011</v>
      </c>
      <c r="U276" s="77">
        <f t="shared" si="639"/>
        <v>0</v>
      </c>
      <c r="V276" s="77">
        <f t="shared" si="639"/>
        <v>0</v>
      </c>
      <c r="W276" s="77">
        <f t="shared" si="639"/>
        <v>0</v>
      </c>
      <c r="X276" s="77">
        <f t="shared" si="639"/>
        <v>-10011</v>
      </c>
      <c r="Y276" s="77">
        <f t="shared" si="639"/>
        <v>0</v>
      </c>
      <c r="Z276" s="77">
        <f t="shared" si="639"/>
        <v>0</v>
      </c>
      <c r="AA276" s="77">
        <f t="shared" si="639"/>
        <v>0</v>
      </c>
      <c r="AB276" s="77">
        <f t="shared" si="639"/>
        <v>0</v>
      </c>
      <c r="AC276" s="77">
        <f t="shared" si="639"/>
        <v>-10011</v>
      </c>
      <c r="AD276" s="77">
        <f t="shared" si="639"/>
        <v>-3384</v>
      </c>
      <c r="AE276" s="77">
        <f t="shared" si="639"/>
        <v>-200</v>
      </c>
      <c r="AF276" s="77">
        <f t="shared" si="639"/>
        <v>0</v>
      </c>
      <c r="AG276" s="77">
        <f t="shared" si="639"/>
        <v>0</v>
      </c>
      <c r="AH276" s="77">
        <f t="shared" si="639"/>
        <v>0</v>
      </c>
      <c r="AI276" s="77">
        <f t="shared" si="639"/>
        <v>-13595</v>
      </c>
      <c r="AJ276" s="78">
        <f t="shared" si="639"/>
        <v>0</v>
      </c>
      <c r="AK276" s="78">
        <f t="shared" si="639"/>
        <v>0</v>
      </c>
      <c r="AL276" s="78">
        <f t="shared" si="639"/>
        <v>0</v>
      </c>
      <c r="AM276" s="78">
        <f t="shared" si="639"/>
        <v>0</v>
      </c>
      <c r="AN276" s="78">
        <f t="shared" si="639"/>
        <v>-2.9999999999999971E-2</v>
      </c>
      <c r="AO276" s="78">
        <f t="shared" si="639"/>
        <v>0</v>
      </c>
      <c r="AP276" s="78">
        <f t="shared" si="639"/>
        <v>0</v>
      </c>
      <c r="AQ276" s="78">
        <f t="shared" si="639"/>
        <v>0</v>
      </c>
      <c r="AR276" s="78">
        <f t="shared" si="639"/>
        <v>0</v>
      </c>
      <c r="AS276" s="78">
        <f t="shared" si="639"/>
        <v>-2.9999999999999971E-2</v>
      </c>
      <c r="AT276" s="79">
        <f t="shared" si="639"/>
        <v>-2.9999999999999971E-2</v>
      </c>
      <c r="AU276" s="433">
        <f t="shared" si="639"/>
        <v>4914849</v>
      </c>
      <c r="AV276" s="77">
        <f t="shared" si="639"/>
        <v>3504201</v>
      </c>
      <c r="AW276" s="77">
        <f t="shared" si="639"/>
        <v>100000</v>
      </c>
      <c r="AX276" s="77">
        <f t="shared" si="639"/>
        <v>1218220</v>
      </c>
      <c r="AY276" s="77">
        <f t="shared" si="639"/>
        <v>70084</v>
      </c>
      <c r="AZ276" s="77">
        <f t="shared" si="639"/>
        <v>22344</v>
      </c>
      <c r="BA276" s="78">
        <f t="shared" si="639"/>
        <v>8.3398000000000003</v>
      </c>
      <c r="BB276" s="78">
        <f t="shared" si="639"/>
        <v>5.6000000000000005</v>
      </c>
      <c r="BC276" s="79">
        <f t="shared" si="639"/>
        <v>2.7397999999999998</v>
      </c>
    </row>
    <row r="277" spans="1:55" ht="14.1" customHeight="1" x14ac:dyDescent="0.2">
      <c r="A277" s="68">
        <v>57</v>
      </c>
      <c r="B277" s="65">
        <v>2449</v>
      </c>
      <c r="C277" s="66">
        <v>650029348</v>
      </c>
      <c r="D277" s="65">
        <v>72742071</v>
      </c>
      <c r="E277" s="67" t="s">
        <v>680</v>
      </c>
      <c r="F277" s="68">
        <v>3111</v>
      </c>
      <c r="G277" s="67" t="s">
        <v>311</v>
      </c>
      <c r="H277" s="69" t="s">
        <v>277</v>
      </c>
      <c r="I277" s="477">
        <v>3213032</v>
      </c>
      <c r="J277" s="472">
        <v>2310566</v>
      </c>
      <c r="K277" s="472">
        <v>39450</v>
      </c>
      <c r="L277" s="472">
        <v>794305</v>
      </c>
      <c r="M277" s="472">
        <v>46211</v>
      </c>
      <c r="N277" s="472">
        <v>22500</v>
      </c>
      <c r="O277" s="473">
        <v>5.0217999999999998</v>
      </c>
      <c r="P277" s="473">
        <v>4</v>
      </c>
      <c r="Q277" s="483">
        <v>1.0218</v>
      </c>
      <c r="R277" s="485">
        <f t="shared" ref="R277:R282" si="640">Y277*-1</f>
        <v>0</v>
      </c>
      <c r="S277" s="475">
        <v>0</v>
      </c>
      <c r="T277" s="475">
        <v>0</v>
      </c>
      <c r="U277" s="475">
        <v>0</v>
      </c>
      <c r="V277" s="475">
        <v>0</v>
      </c>
      <c r="W277" s="475">
        <v>0</v>
      </c>
      <c r="X277" s="475">
        <f t="shared" ref="X277:X282" si="641">SUM(R277:W277)</f>
        <v>0</v>
      </c>
      <c r="Y277" s="475">
        <v>0</v>
      </c>
      <c r="Z277" s="475">
        <v>0</v>
      </c>
      <c r="AA277" s="475">
        <v>0</v>
      </c>
      <c r="AB277" s="475">
        <f t="shared" ref="AB277:AB282" si="642">SUM(Y277:AA277)</f>
        <v>0</v>
      </c>
      <c r="AC277" s="475">
        <f t="shared" ref="AC277:AC282" si="643">X277+AB277</f>
        <v>0</v>
      </c>
      <c r="AD277" s="70">
        <f t="shared" ref="AD277:AD282" si="644">ROUND((X277+Y277+Z277)*33.8%,0)</f>
        <v>0</v>
      </c>
      <c r="AE277" s="70">
        <f t="shared" ref="AE277:AE282" si="645">ROUND(X277*2%,0)</f>
        <v>0</v>
      </c>
      <c r="AF277" s="475">
        <v>0</v>
      </c>
      <c r="AG277" s="475">
        <v>0</v>
      </c>
      <c r="AH277" s="475">
        <f t="shared" ref="AH277:AH282" si="646">SUM(AF277:AG277)</f>
        <v>0</v>
      </c>
      <c r="AI277" s="475">
        <f t="shared" ref="AI277:AI282" si="647">AC277+AD277+AE277+AH277</f>
        <v>0</v>
      </c>
      <c r="AJ277" s="476">
        <v>0</v>
      </c>
      <c r="AK277" s="476">
        <v>0</v>
      </c>
      <c r="AL277" s="476">
        <v>0</v>
      </c>
      <c r="AM277" s="476">
        <v>0</v>
      </c>
      <c r="AN277" s="476">
        <v>0</v>
      </c>
      <c r="AO277" s="476">
        <v>0</v>
      </c>
      <c r="AP277" s="476">
        <v>0</v>
      </c>
      <c r="AQ277" s="476">
        <v>0</v>
      </c>
      <c r="AR277" s="476">
        <f t="shared" si="625"/>
        <v>0</v>
      </c>
      <c r="AS277" s="476">
        <f t="shared" si="626"/>
        <v>0</v>
      </c>
      <c r="AT277" s="478">
        <f t="shared" si="627"/>
        <v>0</v>
      </c>
      <c r="AU277" s="484">
        <f t="shared" ref="AU277:AU282" si="648">I277+AI277</f>
        <v>3213032</v>
      </c>
      <c r="AV277" s="475">
        <f t="shared" ref="AV277:AV282" si="649">J277+X277</f>
        <v>2310566</v>
      </c>
      <c r="AW277" s="475">
        <f t="shared" ref="AW277:AW282" si="650">K277+AB277</f>
        <v>39450</v>
      </c>
      <c r="AX277" s="475">
        <f t="shared" ref="AX277:AY282" si="651">L277+AD277</f>
        <v>794305</v>
      </c>
      <c r="AY277" s="475">
        <f t="shared" si="651"/>
        <v>46211</v>
      </c>
      <c r="AZ277" s="475">
        <f t="shared" ref="AZ277:AZ282" si="652">N277+AH277</f>
        <v>22500</v>
      </c>
      <c r="BA277" s="476">
        <f t="shared" ref="BA277:BA282" si="653">O277+AT277</f>
        <v>5.0217999999999998</v>
      </c>
      <c r="BB277" s="476">
        <f t="shared" ref="BB277:BC282" si="654">P277+AR277</f>
        <v>4</v>
      </c>
      <c r="BC277" s="478">
        <f t="shared" si="654"/>
        <v>1.0218</v>
      </c>
    </row>
    <row r="278" spans="1:55" ht="14.1" customHeight="1" x14ac:dyDescent="0.2">
      <c r="A278" s="68">
        <v>57</v>
      </c>
      <c r="B278" s="65">
        <v>2449</v>
      </c>
      <c r="C278" s="66">
        <v>650029348</v>
      </c>
      <c r="D278" s="65">
        <v>72742071</v>
      </c>
      <c r="E278" s="67" t="s">
        <v>680</v>
      </c>
      <c r="F278" s="68">
        <v>3117</v>
      </c>
      <c r="G278" s="67" t="s">
        <v>314</v>
      </c>
      <c r="H278" s="69" t="s">
        <v>277</v>
      </c>
      <c r="I278" s="477">
        <v>4318525</v>
      </c>
      <c r="J278" s="472">
        <v>3084523</v>
      </c>
      <c r="K278" s="472">
        <v>36900</v>
      </c>
      <c r="L278" s="472">
        <v>1055041</v>
      </c>
      <c r="M278" s="472">
        <v>61691</v>
      </c>
      <c r="N278" s="472">
        <v>80370</v>
      </c>
      <c r="O278" s="473">
        <v>6.2304999999999993</v>
      </c>
      <c r="P278" s="473">
        <v>4</v>
      </c>
      <c r="Q278" s="483">
        <v>2.2304999999999997</v>
      </c>
      <c r="R278" s="485">
        <f t="shared" si="640"/>
        <v>0</v>
      </c>
      <c r="S278" s="475">
        <v>0</v>
      </c>
      <c r="T278" s="475">
        <v>100923</v>
      </c>
      <c r="U278" s="475">
        <v>0</v>
      </c>
      <c r="V278" s="475">
        <v>-51546</v>
      </c>
      <c r="W278" s="475">
        <v>0</v>
      </c>
      <c r="X278" s="475">
        <f t="shared" si="641"/>
        <v>49377</v>
      </c>
      <c r="Y278" s="475">
        <v>0</v>
      </c>
      <c r="Z278" s="475">
        <v>0</v>
      </c>
      <c r="AA278" s="475">
        <v>0</v>
      </c>
      <c r="AB278" s="475">
        <f t="shared" si="642"/>
        <v>0</v>
      </c>
      <c r="AC278" s="475">
        <f t="shared" si="643"/>
        <v>49377</v>
      </c>
      <c r="AD278" s="70">
        <f t="shared" si="644"/>
        <v>16689</v>
      </c>
      <c r="AE278" s="70">
        <f t="shared" si="645"/>
        <v>988</v>
      </c>
      <c r="AF278" s="475">
        <v>0</v>
      </c>
      <c r="AG278" s="475">
        <v>70000</v>
      </c>
      <c r="AH278" s="475">
        <f t="shared" si="646"/>
        <v>70000</v>
      </c>
      <c r="AI278" s="475">
        <f t="shared" si="647"/>
        <v>137054</v>
      </c>
      <c r="AJ278" s="476">
        <v>0</v>
      </c>
      <c r="AK278" s="476">
        <v>0</v>
      </c>
      <c r="AL278" s="476">
        <v>0</v>
      </c>
      <c r="AM278" s="476">
        <v>0.21</v>
      </c>
      <c r="AN278" s="476">
        <v>0</v>
      </c>
      <c r="AO278" s="476">
        <v>0</v>
      </c>
      <c r="AP278" s="476">
        <v>0</v>
      </c>
      <c r="AQ278" s="476">
        <v>0</v>
      </c>
      <c r="AR278" s="476">
        <f t="shared" si="625"/>
        <v>0.21</v>
      </c>
      <c r="AS278" s="476">
        <f t="shared" si="626"/>
        <v>0</v>
      </c>
      <c r="AT278" s="478">
        <f t="shared" si="627"/>
        <v>0.21</v>
      </c>
      <c r="AU278" s="484">
        <f t="shared" si="648"/>
        <v>4455579</v>
      </c>
      <c r="AV278" s="475">
        <f t="shared" si="649"/>
        <v>3133900</v>
      </c>
      <c r="AW278" s="475">
        <f t="shared" si="650"/>
        <v>36900</v>
      </c>
      <c r="AX278" s="475">
        <f t="shared" si="651"/>
        <v>1071730</v>
      </c>
      <c r="AY278" s="475">
        <f t="shared" si="651"/>
        <v>62679</v>
      </c>
      <c r="AZ278" s="475">
        <f t="shared" si="652"/>
        <v>150370</v>
      </c>
      <c r="BA278" s="476">
        <f t="shared" si="653"/>
        <v>6.4404999999999992</v>
      </c>
      <c r="BB278" s="476">
        <f t="shared" si="654"/>
        <v>4.21</v>
      </c>
      <c r="BC278" s="478">
        <f t="shared" si="654"/>
        <v>2.2304999999999997</v>
      </c>
    </row>
    <row r="279" spans="1:55" ht="14.1" customHeight="1" x14ac:dyDescent="0.2">
      <c r="A279" s="68">
        <v>57</v>
      </c>
      <c r="B279" s="65">
        <v>2449</v>
      </c>
      <c r="C279" s="66">
        <v>650029348</v>
      </c>
      <c r="D279" s="65">
        <v>72742071</v>
      </c>
      <c r="E279" s="67" t="s">
        <v>680</v>
      </c>
      <c r="F279" s="68">
        <v>3117</v>
      </c>
      <c r="G279" s="80" t="s">
        <v>312</v>
      </c>
      <c r="H279" s="69" t="s">
        <v>278</v>
      </c>
      <c r="I279" s="477">
        <v>828655</v>
      </c>
      <c r="J279" s="472">
        <v>610203</v>
      </c>
      <c r="K279" s="472">
        <v>0</v>
      </c>
      <c r="L279" s="472">
        <v>206248</v>
      </c>
      <c r="M279" s="472">
        <v>12204</v>
      </c>
      <c r="N279" s="472">
        <v>0</v>
      </c>
      <c r="O279" s="473">
        <v>1.86</v>
      </c>
      <c r="P279" s="474">
        <v>1.86</v>
      </c>
      <c r="Q279" s="483">
        <v>0</v>
      </c>
      <c r="R279" s="485">
        <f t="shared" si="640"/>
        <v>0</v>
      </c>
      <c r="S279" s="475">
        <v>0</v>
      </c>
      <c r="T279" s="475">
        <v>0</v>
      </c>
      <c r="U279" s="475">
        <v>0</v>
      </c>
      <c r="V279" s="475">
        <v>0</v>
      </c>
      <c r="W279" s="475">
        <v>0</v>
      </c>
      <c r="X279" s="475">
        <f t="shared" si="641"/>
        <v>0</v>
      </c>
      <c r="Y279" s="475">
        <v>0</v>
      </c>
      <c r="Z279" s="475">
        <v>0</v>
      </c>
      <c r="AA279" s="475">
        <v>0</v>
      </c>
      <c r="AB279" s="475">
        <f t="shared" si="642"/>
        <v>0</v>
      </c>
      <c r="AC279" s="475">
        <f t="shared" si="643"/>
        <v>0</v>
      </c>
      <c r="AD279" s="70">
        <f t="shared" si="644"/>
        <v>0</v>
      </c>
      <c r="AE279" s="70">
        <f t="shared" si="645"/>
        <v>0</v>
      </c>
      <c r="AF279" s="475">
        <v>0</v>
      </c>
      <c r="AG279" s="475">
        <v>0</v>
      </c>
      <c r="AH279" s="475">
        <f t="shared" si="646"/>
        <v>0</v>
      </c>
      <c r="AI279" s="475">
        <f t="shared" si="647"/>
        <v>0</v>
      </c>
      <c r="AJ279" s="476">
        <v>0</v>
      </c>
      <c r="AK279" s="476">
        <v>0</v>
      </c>
      <c r="AL279" s="476">
        <v>0</v>
      </c>
      <c r="AM279" s="476">
        <v>0</v>
      </c>
      <c r="AN279" s="476">
        <v>0</v>
      </c>
      <c r="AO279" s="476">
        <v>0</v>
      </c>
      <c r="AP279" s="476">
        <v>0</v>
      </c>
      <c r="AQ279" s="476">
        <v>0</v>
      </c>
      <c r="AR279" s="476">
        <f t="shared" si="625"/>
        <v>0</v>
      </c>
      <c r="AS279" s="476">
        <f t="shared" si="626"/>
        <v>0</v>
      </c>
      <c r="AT279" s="478">
        <f t="shared" si="627"/>
        <v>0</v>
      </c>
      <c r="AU279" s="484">
        <f t="shared" si="648"/>
        <v>828655</v>
      </c>
      <c r="AV279" s="475">
        <f t="shared" si="649"/>
        <v>610203</v>
      </c>
      <c r="AW279" s="475">
        <f t="shared" si="650"/>
        <v>0</v>
      </c>
      <c r="AX279" s="475">
        <f t="shared" si="651"/>
        <v>206248</v>
      </c>
      <c r="AY279" s="475">
        <f t="shared" si="651"/>
        <v>12204</v>
      </c>
      <c r="AZ279" s="475">
        <f t="shared" si="652"/>
        <v>0</v>
      </c>
      <c r="BA279" s="476">
        <f t="shared" si="653"/>
        <v>1.86</v>
      </c>
      <c r="BB279" s="476">
        <f t="shared" si="654"/>
        <v>1.86</v>
      </c>
      <c r="BC279" s="478">
        <f t="shared" si="654"/>
        <v>0</v>
      </c>
    </row>
    <row r="280" spans="1:55" ht="14.1" customHeight="1" x14ac:dyDescent="0.2">
      <c r="A280" s="68">
        <v>57</v>
      </c>
      <c r="B280" s="65">
        <v>2449</v>
      </c>
      <c r="C280" s="66">
        <v>650029348</v>
      </c>
      <c r="D280" s="65">
        <v>72742071</v>
      </c>
      <c r="E280" s="67" t="s">
        <v>680</v>
      </c>
      <c r="F280" s="68">
        <v>3141</v>
      </c>
      <c r="G280" s="67" t="s">
        <v>315</v>
      </c>
      <c r="H280" s="69" t="s">
        <v>278</v>
      </c>
      <c r="I280" s="477">
        <v>1227938</v>
      </c>
      <c r="J280" s="472">
        <v>899912</v>
      </c>
      <c r="K280" s="472">
        <v>0</v>
      </c>
      <c r="L280" s="472">
        <v>304170</v>
      </c>
      <c r="M280" s="472">
        <v>17998</v>
      </c>
      <c r="N280" s="472">
        <v>5858</v>
      </c>
      <c r="O280" s="473">
        <v>2.83</v>
      </c>
      <c r="P280" s="474">
        <v>0</v>
      </c>
      <c r="Q280" s="483">
        <v>2.83</v>
      </c>
      <c r="R280" s="485">
        <f t="shared" si="640"/>
        <v>0</v>
      </c>
      <c r="S280" s="475">
        <v>0</v>
      </c>
      <c r="T280" s="755">
        <v>-23718</v>
      </c>
      <c r="U280" s="475">
        <v>0</v>
      </c>
      <c r="V280" s="475">
        <v>0</v>
      </c>
      <c r="W280" s="475">
        <v>0</v>
      </c>
      <c r="X280" s="475">
        <f t="shared" si="641"/>
        <v>-23718</v>
      </c>
      <c r="Y280" s="475">
        <v>0</v>
      </c>
      <c r="Z280" s="475">
        <v>0</v>
      </c>
      <c r="AA280" s="475">
        <v>0</v>
      </c>
      <c r="AB280" s="475">
        <f t="shared" si="642"/>
        <v>0</v>
      </c>
      <c r="AC280" s="475">
        <f t="shared" si="643"/>
        <v>-23718</v>
      </c>
      <c r="AD280" s="70">
        <f t="shared" si="644"/>
        <v>-8017</v>
      </c>
      <c r="AE280" s="70">
        <f t="shared" si="645"/>
        <v>-474</v>
      </c>
      <c r="AF280" s="475">
        <v>0</v>
      </c>
      <c r="AG280" s="475">
        <v>0</v>
      </c>
      <c r="AH280" s="475">
        <f t="shared" si="646"/>
        <v>0</v>
      </c>
      <c r="AI280" s="475">
        <f t="shared" si="647"/>
        <v>-32209</v>
      </c>
      <c r="AJ280" s="476">
        <v>0</v>
      </c>
      <c r="AK280" s="476">
        <v>0</v>
      </c>
      <c r="AL280" s="476">
        <v>0</v>
      </c>
      <c r="AM280" s="476">
        <v>0</v>
      </c>
      <c r="AN280" s="756">
        <v>-6.9999999999999951E-2</v>
      </c>
      <c r="AO280" s="476">
        <v>0</v>
      </c>
      <c r="AP280" s="476">
        <v>0</v>
      </c>
      <c r="AQ280" s="476">
        <v>0</v>
      </c>
      <c r="AR280" s="476">
        <f t="shared" si="625"/>
        <v>0</v>
      </c>
      <c r="AS280" s="476">
        <f t="shared" si="626"/>
        <v>-6.9999999999999951E-2</v>
      </c>
      <c r="AT280" s="478">
        <f t="shared" si="627"/>
        <v>-6.9999999999999951E-2</v>
      </c>
      <c r="AU280" s="484">
        <f t="shared" si="648"/>
        <v>1195729</v>
      </c>
      <c r="AV280" s="475">
        <f t="shared" si="649"/>
        <v>876194</v>
      </c>
      <c r="AW280" s="475">
        <f t="shared" si="650"/>
        <v>0</v>
      </c>
      <c r="AX280" s="475">
        <f t="shared" si="651"/>
        <v>296153</v>
      </c>
      <c r="AY280" s="475">
        <f t="shared" si="651"/>
        <v>17524</v>
      </c>
      <c r="AZ280" s="475">
        <f t="shared" si="652"/>
        <v>5858</v>
      </c>
      <c r="BA280" s="476">
        <f t="shared" si="653"/>
        <v>2.7600000000000002</v>
      </c>
      <c r="BB280" s="476">
        <f t="shared" si="654"/>
        <v>0</v>
      </c>
      <c r="BC280" s="478">
        <f t="shared" si="654"/>
        <v>2.7600000000000002</v>
      </c>
    </row>
    <row r="281" spans="1:55" ht="14.1" customHeight="1" x14ac:dyDescent="0.2">
      <c r="A281" s="68">
        <v>57</v>
      </c>
      <c r="B281" s="65">
        <v>2449</v>
      </c>
      <c r="C281" s="66">
        <v>650029348</v>
      </c>
      <c r="D281" s="65">
        <v>72742071</v>
      </c>
      <c r="E281" s="67" t="s">
        <v>680</v>
      </c>
      <c r="F281" s="68">
        <v>3143</v>
      </c>
      <c r="G281" s="80" t="s">
        <v>626</v>
      </c>
      <c r="H281" s="69" t="s">
        <v>277</v>
      </c>
      <c r="I281" s="477">
        <v>725570</v>
      </c>
      <c r="J281" s="472">
        <v>534293</v>
      </c>
      <c r="K281" s="472">
        <v>0</v>
      </c>
      <c r="L281" s="472">
        <v>180591</v>
      </c>
      <c r="M281" s="472">
        <v>10686</v>
      </c>
      <c r="N281" s="472">
        <v>0</v>
      </c>
      <c r="O281" s="473">
        <v>1</v>
      </c>
      <c r="P281" s="473">
        <v>1</v>
      </c>
      <c r="Q281" s="483">
        <v>0</v>
      </c>
      <c r="R281" s="485">
        <f t="shared" si="640"/>
        <v>0</v>
      </c>
      <c r="S281" s="475">
        <v>0</v>
      </c>
      <c r="T281" s="475">
        <v>0</v>
      </c>
      <c r="U281" s="475">
        <v>0</v>
      </c>
      <c r="V281" s="475">
        <v>0</v>
      </c>
      <c r="W281" s="475">
        <v>0</v>
      </c>
      <c r="X281" s="475">
        <f t="shared" si="641"/>
        <v>0</v>
      </c>
      <c r="Y281" s="475">
        <v>0</v>
      </c>
      <c r="Z281" s="475">
        <v>0</v>
      </c>
      <c r="AA281" s="475">
        <v>0</v>
      </c>
      <c r="AB281" s="475">
        <f t="shared" si="642"/>
        <v>0</v>
      </c>
      <c r="AC281" s="475">
        <f t="shared" si="643"/>
        <v>0</v>
      </c>
      <c r="AD281" s="70">
        <f t="shared" si="644"/>
        <v>0</v>
      </c>
      <c r="AE281" s="70">
        <f t="shared" si="645"/>
        <v>0</v>
      </c>
      <c r="AF281" s="475">
        <v>0</v>
      </c>
      <c r="AG281" s="475">
        <v>0</v>
      </c>
      <c r="AH281" s="475">
        <f t="shared" si="646"/>
        <v>0</v>
      </c>
      <c r="AI281" s="475">
        <f t="shared" si="647"/>
        <v>0</v>
      </c>
      <c r="AJ281" s="476">
        <v>0</v>
      </c>
      <c r="AK281" s="476">
        <v>0</v>
      </c>
      <c r="AL281" s="476">
        <v>0</v>
      </c>
      <c r="AM281" s="476">
        <v>0</v>
      </c>
      <c r="AN281" s="476">
        <v>0</v>
      </c>
      <c r="AO281" s="476">
        <v>0</v>
      </c>
      <c r="AP281" s="476">
        <v>0</v>
      </c>
      <c r="AQ281" s="476">
        <v>0</v>
      </c>
      <c r="AR281" s="476">
        <f t="shared" si="625"/>
        <v>0</v>
      </c>
      <c r="AS281" s="476">
        <f t="shared" si="626"/>
        <v>0</v>
      </c>
      <c r="AT281" s="478">
        <f t="shared" si="627"/>
        <v>0</v>
      </c>
      <c r="AU281" s="484">
        <f t="shared" si="648"/>
        <v>725570</v>
      </c>
      <c r="AV281" s="475">
        <f t="shared" si="649"/>
        <v>534293</v>
      </c>
      <c r="AW281" s="475">
        <f t="shared" si="650"/>
        <v>0</v>
      </c>
      <c r="AX281" s="475">
        <f t="shared" si="651"/>
        <v>180591</v>
      </c>
      <c r="AY281" s="475">
        <f t="shared" si="651"/>
        <v>10686</v>
      </c>
      <c r="AZ281" s="475">
        <f t="shared" si="652"/>
        <v>0</v>
      </c>
      <c r="BA281" s="476">
        <f t="shared" si="653"/>
        <v>1</v>
      </c>
      <c r="BB281" s="476">
        <f t="shared" si="654"/>
        <v>1</v>
      </c>
      <c r="BC281" s="478">
        <f t="shared" si="654"/>
        <v>0</v>
      </c>
    </row>
    <row r="282" spans="1:55" ht="14.1" customHeight="1" x14ac:dyDescent="0.2">
      <c r="A282" s="68">
        <v>57</v>
      </c>
      <c r="B282" s="65">
        <v>2449</v>
      </c>
      <c r="C282" s="66">
        <v>650029348</v>
      </c>
      <c r="D282" s="65">
        <v>72742071</v>
      </c>
      <c r="E282" s="67" t="s">
        <v>680</v>
      </c>
      <c r="F282" s="68">
        <v>3143</v>
      </c>
      <c r="G282" s="80" t="s">
        <v>627</v>
      </c>
      <c r="H282" s="69" t="s">
        <v>278</v>
      </c>
      <c r="I282" s="477">
        <v>22680</v>
      </c>
      <c r="J282" s="472">
        <v>16038</v>
      </c>
      <c r="K282" s="472">
        <v>0</v>
      </c>
      <c r="L282" s="472">
        <v>5421</v>
      </c>
      <c r="M282" s="472">
        <v>321</v>
      </c>
      <c r="N282" s="472">
        <v>900</v>
      </c>
      <c r="O282" s="473">
        <v>0.06</v>
      </c>
      <c r="P282" s="474">
        <v>0</v>
      </c>
      <c r="Q282" s="483">
        <v>0.06</v>
      </c>
      <c r="R282" s="485">
        <f t="shared" si="640"/>
        <v>0</v>
      </c>
      <c r="S282" s="475">
        <v>0</v>
      </c>
      <c r="T282" s="475">
        <v>0</v>
      </c>
      <c r="U282" s="475">
        <v>0</v>
      </c>
      <c r="V282" s="475">
        <v>0</v>
      </c>
      <c r="W282" s="475">
        <v>0</v>
      </c>
      <c r="X282" s="475">
        <f t="shared" si="641"/>
        <v>0</v>
      </c>
      <c r="Y282" s="475">
        <v>0</v>
      </c>
      <c r="Z282" s="475">
        <v>0</v>
      </c>
      <c r="AA282" s="475">
        <v>0</v>
      </c>
      <c r="AB282" s="475">
        <f t="shared" si="642"/>
        <v>0</v>
      </c>
      <c r="AC282" s="475">
        <f t="shared" si="643"/>
        <v>0</v>
      </c>
      <c r="AD282" s="70">
        <f t="shared" si="644"/>
        <v>0</v>
      </c>
      <c r="AE282" s="70">
        <f t="shared" si="645"/>
        <v>0</v>
      </c>
      <c r="AF282" s="475">
        <v>0</v>
      </c>
      <c r="AG282" s="475">
        <v>0</v>
      </c>
      <c r="AH282" s="475">
        <f t="shared" si="646"/>
        <v>0</v>
      </c>
      <c r="AI282" s="475">
        <f t="shared" si="647"/>
        <v>0</v>
      </c>
      <c r="AJ282" s="476">
        <v>0</v>
      </c>
      <c r="AK282" s="476">
        <v>0</v>
      </c>
      <c r="AL282" s="476">
        <v>0</v>
      </c>
      <c r="AM282" s="476">
        <v>0</v>
      </c>
      <c r="AN282" s="476">
        <v>0</v>
      </c>
      <c r="AO282" s="476">
        <v>0</v>
      </c>
      <c r="AP282" s="476">
        <v>0</v>
      </c>
      <c r="AQ282" s="476">
        <v>0</v>
      </c>
      <c r="AR282" s="476">
        <f t="shared" si="625"/>
        <v>0</v>
      </c>
      <c r="AS282" s="476">
        <f t="shared" si="626"/>
        <v>0</v>
      </c>
      <c r="AT282" s="478">
        <f t="shared" si="627"/>
        <v>0</v>
      </c>
      <c r="AU282" s="484">
        <f t="shared" si="648"/>
        <v>22680</v>
      </c>
      <c r="AV282" s="475">
        <f t="shared" si="649"/>
        <v>16038</v>
      </c>
      <c r="AW282" s="475">
        <f t="shared" si="650"/>
        <v>0</v>
      </c>
      <c r="AX282" s="475">
        <f t="shared" si="651"/>
        <v>5421</v>
      </c>
      <c r="AY282" s="475">
        <f t="shared" si="651"/>
        <v>321</v>
      </c>
      <c r="AZ282" s="475">
        <f t="shared" si="652"/>
        <v>900</v>
      </c>
      <c r="BA282" s="476">
        <f t="shared" si="653"/>
        <v>0.06</v>
      </c>
      <c r="BB282" s="476">
        <f t="shared" si="654"/>
        <v>0</v>
      </c>
      <c r="BC282" s="478">
        <f t="shared" si="654"/>
        <v>0.06</v>
      </c>
    </row>
    <row r="283" spans="1:55" ht="14.1" customHeight="1" x14ac:dyDescent="0.2">
      <c r="A283" s="74">
        <v>57</v>
      </c>
      <c r="B283" s="71">
        <v>2449</v>
      </c>
      <c r="C283" s="72">
        <v>650029348</v>
      </c>
      <c r="D283" s="71">
        <v>72742071</v>
      </c>
      <c r="E283" s="73" t="s">
        <v>681</v>
      </c>
      <c r="F283" s="74"/>
      <c r="G283" s="73"/>
      <c r="H283" s="75"/>
      <c r="I283" s="76">
        <v>10336400</v>
      </c>
      <c r="J283" s="77">
        <v>7455535</v>
      </c>
      <c r="K283" s="77">
        <v>76350</v>
      </c>
      <c r="L283" s="77">
        <v>2545776</v>
      </c>
      <c r="M283" s="77">
        <v>149111</v>
      </c>
      <c r="N283" s="77">
        <v>109628</v>
      </c>
      <c r="O283" s="78">
        <v>17.002299999999995</v>
      </c>
      <c r="P283" s="78">
        <v>10.86</v>
      </c>
      <c r="Q283" s="718">
        <v>6.1422999999999996</v>
      </c>
      <c r="R283" s="76">
        <f t="shared" ref="R283:BC283" si="655">SUM(R277:R282)</f>
        <v>0</v>
      </c>
      <c r="S283" s="77">
        <f t="shared" si="655"/>
        <v>0</v>
      </c>
      <c r="T283" s="77">
        <f t="shared" si="655"/>
        <v>77205</v>
      </c>
      <c r="U283" s="77">
        <f t="shared" si="655"/>
        <v>0</v>
      </c>
      <c r="V283" s="77">
        <f t="shared" si="655"/>
        <v>-51546</v>
      </c>
      <c r="W283" s="77">
        <f t="shared" si="655"/>
        <v>0</v>
      </c>
      <c r="X283" s="77">
        <f t="shared" si="655"/>
        <v>25659</v>
      </c>
      <c r="Y283" s="77">
        <f t="shared" si="655"/>
        <v>0</v>
      </c>
      <c r="Z283" s="77">
        <f t="shared" si="655"/>
        <v>0</v>
      </c>
      <c r="AA283" s="77">
        <f t="shared" si="655"/>
        <v>0</v>
      </c>
      <c r="AB283" s="77">
        <f t="shared" si="655"/>
        <v>0</v>
      </c>
      <c r="AC283" s="77">
        <f t="shared" si="655"/>
        <v>25659</v>
      </c>
      <c r="AD283" s="77">
        <f t="shared" si="655"/>
        <v>8672</v>
      </c>
      <c r="AE283" s="77">
        <f t="shared" si="655"/>
        <v>514</v>
      </c>
      <c r="AF283" s="77">
        <f t="shared" si="655"/>
        <v>0</v>
      </c>
      <c r="AG283" s="77">
        <f t="shared" si="655"/>
        <v>70000</v>
      </c>
      <c r="AH283" s="77">
        <f t="shared" si="655"/>
        <v>70000</v>
      </c>
      <c r="AI283" s="77">
        <f t="shared" si="655"/>
        <v>104845</v>
      </c>
      <c r="AJ283" s="78">
        <f t="shared" si="655"/>
        <v>0</v>
      </c>
      <c r="AK283" s="78">
        <f t="shared" si="655"/>
        <v>0</v>
      </c>
      <c r="AL283" s="78">
        <f t="shared" si="655"/>
        <v>0</v>
      </c>
      <c r="AM283" s="78">
        <f t="shared" si="655"/>
        <v>0.21</v>
      </c>
      <c r="AN283" s="78">
        <f t="shared" si="655"/>
        <v>-6.9999999999999951E-2</v>
      </c>
      <c r="AO283" s="78">
        <f t="shared" si="655"/>
        <v>0</v>
      </c>
      <c r="AP283" s="78">
        <f t="shared" si="655"/>
        <v>0</v>
      </c>
      <c r="AQ283" s="78">
        <f t="shared" si="655"/>
        <v>0</v>
      </c>
      <c r="AR283" s="78">
        <f t="shared" si="655"/>
        <v>0.21</v>
      </c>
      <c r="AS283" s="78">
        <f t="shared" si="655"/>
        <v>-6.9999999999999951E-2</v>
      </c>
      <c r="AT283" s="79">
        <f t="shared" si="655"/>
        <v>0.14000000000000004</v>
      </c>
      <c r="AU283" s="433">
        <f t="shared" si="655"/>
        <v>10441245</v>
      </c>
      <c r="AV283" s="77">
        <f t="shared" si="655"/>
        <v>7481194</v>
      </c>
      <c r="AW283" s="77">
        <f t="shared" si="655"/>
        <v>76350</v>
      </c>
      <c r="AX283" s="77">
        <f t="shared" si="655"/>
        <v>2554448</v>
      </c>
      <c r="AY283" s="77">
        <f t="shared" si="655"/>
        <v>149625</v>
      </c>
      <c r="AZ283" s="77">
        <f t="shared" si="655"/>
        <v>179628</v>
      </c>
      <c r="BA283" s="78">
        <f t="shared" si="655"/>
        <v>17.142299999999999</v>
      </c>
      <c r="BB283" s="78">
        <f t="shared" si="655"/>
        <v>11.07</v>
      </c>
      <c r="BC283" s="79">
        <f t="shared" si="655"/>
        <v>6.0722999999999994</v>
      </c>
    </row>
    <row r="284" spans="1:55" ht="14.1" customHeight="1" x14ac:dyDescent="0.2">
      <c r="A284" s="68">
        <v>58</v>
      </c>
      <c r="B284" s="65">
        <v>2318</v>
      </c>
      <c r="C284" s="66">
        <v>600079546</v>
      </c>
      <c r="D284" s="65">
        <v>70695253</v>
      </c>
      <c r="E284" s="67" t="s">
        <v>682</v>
      </c>
      <c r="F284" s="68">
        <v>3111</v>
      </c>
      <c r="G284" s="67" t="s">
        <v>311</v>
      </c>
      <c r="H284" s="69" t="s">
        <v>277</v>
      </c>
      <c r="I284" s="477">
        <v>7632471</v>
      </c>
      <c r="J284" s="643">
        <v>5540802</v>
      </c>
      <c r="K284" s="643">
        <v>40704</v>
      </c>
      <c r="L284" s="472">
        <v>1886549</v>
      </c>
      <c r="M284" s="472">
        <v>110816</v>
      </c>
      <c r="N284" s="472">
        <v>53600</v>
      </c>
      <c r="O284" s="473">
        <v>12.569200000000002</v>
      </c>
      <c r="P284" s="473">
        <v>8.9700000000000006</v>
      </c>
      <c r="Q284" s="483">
        <v>3.5992000000000006</v>
      </c>
      <c r="R284" s="485">
        <f t="shared" ref="R284:R287" si="656">Y284*-1</f>
        <v>0</v>
      </c>
      <c r="S284" s="475">
        <v>0</v>
      </c>
      <c r="T284" s="475">
        <v>0</v>
      </c>
      <c r="U284" s="475">
        <v>0</v>
      </c>
      <c r="V284" s="475">
        <v>0</v>
      </c>
      <c r="W284" s="475">
        <v>0</v>
      </c>
      <c r="X284" s="475">
        <f t="shared" ref="X284:X287" si="657">SUM(R284:W284)</f>
        <v>0</v>
      </c>
      <c r="Y284" s="475">
        <v>0</v>
      </c>
      <c r="Z284" s="475">
        <v>0</v>
      </c>
      <c r="AA284" s="475">
        <v>0</v>
      </c>
      <c r="AB284" s="475">
        <f t="shared" ref="AB284:AB287" si="658">SUM(Y284:AA284)</f>
        <v>0</v>
      </c>
      <c r="AC284" s="475">
        <f t="shared" ref="AC284:AC287" si="659">X284+AB284</f>
        <v>0</v>
      </c>
      <c r="AD284" s="70">
        <f t="shared" ref="AD284:AD287" si="660">ROUND((X284+Y284+Z284)*33.8%,0)</f>
        <v>0</v>
      </c>
      <c r="AE284" s="70">
        <f t="shared" ref="AE284:AE287" si="661">ROUND(X284*2%,0)</f>
        <v>0</v>
      </c>
      <c r="AF284" s="475">
        <v>0</v>
      </c>
      <c r="AG284" s="475">
        <v>0</v>
      </c>
      <c r="AH284" s="475">
        <f t="shared" ref="AH284:AH287" si="662">SUM(AF284:AG284)</f>
        <v>0</v>
      </c>
      <c r="AI284" s="475">
        <f t="shared" ref="AI284:AI287" si="663">AC284+AD284+AE284+AH284</f>
        <v>0</v>
      </c>
      <c r="AJ284" s="476">
        <v>0</v>
      </c>
      <c r="AK284" s="476">
        <v>0</v>
      </c>
      <c r="AL284" s="476">
        <v>0</v>
      </c>
      <c r="AM284" s="476">
        <v>0</v>
      </c>
      <c r="AN284" s="476">
        <v>0</v>
      </c>
      <c r="AO284" s="476">
        <v>0</v>
      </c>
      <c r="AP284" s="476">
        <v>0</v>
      </c>
      <c r="AQ284" s="476">
        <v>0</v>
      </c>
      <c r="AR284" s="476">
        <f t="shared" si="625"/>
        <v>0</v>
      </c>
      <c r="AS284" s="476">
        <f t="shared" si="626"/>
        <v>0</v>
      </c>
      <c r="AT284" s="478">
        <f t="shared" si="627"/>
        <v>0</v>
      </c>
      <c r="AU284" s="484">
        <f>I284+AI284</f>
        <v>7632471</v>
      </c>
      <c r="AV284" s="475">
        <f>J284+X284</f>
        <v>5540802</v>
      </c>
      <c r="AW284" s="475">
        <f>K284+AB284</f>
        <v>40704</v>
      </c>
      <c r="AX284" s="475">
        <f t="shared" ref="AX284:AY287" si="664">L284+AD284</f>
        <v>1886549</v>
      </c>
      <c r="AY284" s="475">
        <f t="shared" si="664"/>
        <v>110816</v>
      </c>
      <c r="AZ284" s="475">
        <f>N284+AH284</f>
        <v>53600</v>
      </c>
      <c r="BA284" s="476">
        <f>O284+AT284</f>
        <v>12.569200000000002</v>
      </c>
      <c r="BB284" s="476">
        <f t="shared" ref="BB284:BC287" si="665">P284+AR284</f>
        <v>8.9700000000000006</v>
      </c>
      <c r="BC284" s="478">
        <f t="shared" si="665"/>
        <v>3.5992000000000006</v>
      </c>
    </row>
    <row r="285" spans="1:55" ht="14.1" customHeight="1" x14ac:dyDescent="0.2">
      <c r="A285" s="68">
        <v>58</v>
      </c>
      <c r="B285" s="65">
        <v>2318</v>
      </c>
      <c r="C285" s="66">
        <v>600079546</v>
      </c>
      <c r="D285" s="65">
        <v>70695253</v>
      </c>
      <c r="E285" s="67" t="s">
        <v>682</v>
      </c>
      <c r="F285" s="68">
        <v>3111</v>
      </c>
      <c r="G285" s="44" t="s">
        <v>313</v>
      </c>
      <c r="H285" s="69" t="s">
        <v>277</v>
      </c>
      <c r="I285" s="477">
        <v>457087</v>
      </c>
      <c r="J285" s="472">
        <v>336588</v>
      </c>
      <c r="K285" s="472">
        <v>0</v>
      </c>
      <c r="L285" s="472">
        <v>113767</v>
      </c>
      <c r="M285" s="472">
        <v>6732</v>
      </c>
      <c r="N285" s="472">
        <v>0</v>
      </c>
      <c r="O285" s="473">
        <v>1</v>
      </c>
      <c r="P285" s="473">
        <v>1</v>
      </c>
      <c r="Q285" s="483">
        <v>0</v>
      </c>
      <c r="R285" s="485">
        <f t="shared" si="656"/>
        <v>0</v>
      </c>
      <c r="S285" s="475">
        <v>0</v>
      </c>
      <c r="T285" s="475">
        <v>0</v>
      </c>
      <c r="U285" s="475">
        <v>0</v>
      </c>
      <c r="V285" s="475">
        <v>0</v>
      </c>
      <c r="W285" s="475">
        <v>0</v>
      </c>
      <c r="X285" s="475">
        <f t="shared" si="657"/>
        <v>0</v>
      </c>
      <c r="Y285" s="475">
        <v>0</v>
      </c>
      <c r="Z285" s="475">
        <v>0</v>
      </c>
      <c r="AA285" s="475">
        <v>0</v>
      </c>
      <c r="AB285" s="475">
        <f t="shared" si="658"/>
        <v>0</v>
      </c>
      <c r="AC285" s="475">
        <f t="shared" si="659"/>
        <v>0</v>
      </c>
      <c r="AD285" s="70">
        <f t="shared" si="660"/>
        <v>0</v>
      </c>
      <c r="AE285" s="70">
        <f t="shared" si="661"/>
        <v>0</v>
      </c>
      <c r="AF285" s="475">
        <v>0</v>
      </c>
      <c r="AG285" s="475">
        <v>0</v>
      </c>
      <c r="AH285" s="475">
        <f t="shared" si="662"/>
        <v>0</v>
      </c>
      <c r="AI285" s="475">
        <f t="shared" si="663"/>
        <v>0</v>
      </c>
      <c r="AJ285" s="476">
        <v>0</v>
      </c>
      <c r="AK285" s="476">
        <v>0</v>
      </c>
      <c r="AL285" s="476">
        <v>0</v>
      </c>
      <c r="AM285" s="476">
        <v>0</v>
      </c>
      <c r="AN285" s="476">
        <v>0</v>
      </c>
      <c r="AO285" s="476">
        <v>0</v>
      </c>
      <c r="AP285" s="476">
        <v>0</v>
      </c>
      <c r="AQ285" s="476">
        <v>0</v>
      </c>
      <c r="AR285" s="476">
        <f t="shared" si="625"/>
        <v>0</v>
      </c>
      <c r="AS285" s="476">
        <f t="shared" si="626"/>
        <v>0</v>
      </c>
      <c r="AT285" s="478">
        <f t="shared" si="627"/>
        <v>0</v>
      </c>
      <c r="AU285" s="484">
        <f>I285+AI285</f>
        <v>457087</v>
      </c>
      <c r="AV285" s="475">
        <f>J285+X285</f>
        <v>336588</v>
      </c>
      <c r="AW285" s="475">
        <f>K285+AB285</f>
        <v>0</v>
      </c>
      <c r="AX285" s="475">
        <f t="shared" si="664"/>
        <v>113767</v>
      </c>
      <c r="AY285" s="475">
        <f t="shared" si="664"/>
        <v>6732</v>
      </c>
      <c r="AZ285" s="475">
        <f>N285+AH285</f>
        <v>0</v>
      </c>
      <c r="BA285" s="476">
        <f>O285+AT285</f>
        <v>1</v>
      </c>
      <c r="BB285" s="476">
        <f t="shared" si="665"/>
        <v>1</v>
      </c>
      <c r="BC285" s="478">
        <f t="shared" si="665"/>
        <v>0</v>
      </c>
    </row>
    <row r="286" spans="1:55" ht="14.1" customHeight="1" x14ac:dyDescent="0.2">
      <c r="A286" s="68">
        <v>58</v>
      </c>
      <c r="B286" s="65">
        <v>2318</v>
      </c>
      <c r="C286" s="66">
        <v>600079546</v>
      </c>
      <c r="D286" s="65">
        <v>70695253</v>
      </c>
      <c r="E286" s="67" t="s">
        <v>682</v>
      </c>
      <c r="F286" s="68">
        <v>3111</v>
      </c>
      <c r="G286" s="80" t="s">
        <v>312</v>
      </c>
      <c r="H286" s="69" t="s">
        <v>278</v>
      </c>
      <c r="I286" s="477">
        <v>434894</v>
      </c>
      <c r="J286" s="472">
        <v>315643</v>
      </c>
      <c r="K286" s="472">
        <v>0</v>
      </c>
      <c r="L286" s="472">
        <v>106688</v>
      </c>
      <c r="M286" s="472">
        <v>6313</v>
      </c>
      <c r="N286" s="472">
        <v>6250</v>
      </c>
      <c r="O286" s="473">
        <v>1</v>
      </c>
      <c r="P286" s="474">
        <v>1</v>
      </c>
      <c r="Q286" s="483">
        <v>0</v>
      </c>
      <c r="R286" s="485">
        <f t="shared" si="656"/>
        <v>0</v>
      </c>
      <c r="S286" s="475">
        <v>0</v>
      </c>
      <c r="T286" s="475">
        <v>0</v>
      </c>
      <c r="U286" s="475">
        <v>0</v>
      </c>
      <c r="V286" s="475">
        <v>0</v>
      </c>
      <c r="W286" s="475">
        <v>0</v>
      </c>
      <c r="X286" s="475">
        <f t="shared" si="657"/>
        <v>0</v>
      </c>
      <c r="Y286" s="475">
        <v>0</v>
      </c>
      <c r="Z286" s="475">
        <v>0</v>
      </c>
      <c r="AA286" s="475">
        <v>0</v>
      </c>
      <c r="AB286" s="475">
        <f t="shared" si="658"/>
        <v>0</v>
      </c>
      <c r="AC286" s="475">
        <f t="shared" si="659"/>
        <v>0</v>
      </c>
      <c r="AD286" s="70">
        <f t="shared" si="660"/>
        <v>0</v>
      </c>
      <c r="AE286" s="70">
        <f t="shared" si="661"/>
        <v>0</v>
      </c>
      <c r="AF286" s="475">
        <v>0</v>
      </c>
      <c r="AG286" s="475">
        <v>0</v>
      </c>
      <c r="AH286" s="475">
        <f t="shared" si="662"/>
        <v>0</v>
      </c>
      <c r="AI286" s="475">
        <f t="shared" si="663"/>
        <v>0</v>
      </c>
      <c r="AJ286" s="476">
        <v>0</v>
      </c>
      <c r="AK286" s="476">
        <v>0</v>
      </c>
      <c r="AL286" s="476">
        <v>0</v>
      </c>
      <c r="AM286" s="476">
        <v>0</v>
      </c>
      <c r="AN286" s="476">
        <v>0</v>
      </c>
      <c r="AO286" s="476">
        <v>0</v>
      </c>
      <c r="AP286" s="476">
        <v>0</v>
      </c>
      <c r="AQ286" s="476">
        <v>0</v>
      </c>
      <c r="AR286" s="476">
        <f t="shared" si="625"/>
        <v>0</v>
      </c>
      <c r="AS286" s="476">
        <f t="shared" si="626"/>
        <v>0</v>
      </c>
      <c r="AT286" s="478">
        <f t="shared" si="627"/>
        <v>0</v>
      </c>
      <c r="AU286" s="484">
        <f>I286+AI286</f>
        <v>434894</v>
      </c>
      <c r="AV286" s="475">
        <f>J286+X286</f>
        <v>315643</v>
      </c>
      <c r="AW286" s="475">
        <f>K286+AB286</f>
        <v>0</v>
      </c>
      <c r="AX286" s="475">
        <f t="shared" si="664"/>
        <v>106688</v>
      </c>
      <c r="AY286" s="475">
        <f t="shared" si="664"/>
        <v>6313</v>
      </c>
      <c r="AZ286" s="475">
        <f>N286+AH286</f>
        <v>6250</v>
      </c>
      <c r="BA286" s="476">
        <f>O286+AT286</f>
        <v>1</v>
      </c>
      <c r="BB286" s="476">
        <f t="shared" si="665"/>
        <v>1</v>
      </c>
      <c r="BC286" s="478">
        <f t="shared" si="665"/>
        <v>0</v>
      </c>
    </row>
    <row r="287" spans="1:55" ht="14.1" customHeight="1" x14ac:dyDescent="0.2">
      <c r="A287" s="68">
        <v>58</v>
      </c>
      <c r="B287" s="65">
        <v>2318</v>
      </c>
      <c r="C287" s="66">
        <v>600079546</v>
      </c>
      <c r="D287" s="65">
        <v>70695253</v>
      </c>
      <c r="E287" s="67" t="s">
        <v>682</v>
      </c>
      <c r="F287" s="68">
        <v>3141</v>
      </c>
      <c r="G287" s="67" t="s">
        <v>315</v>
      </c>
      <c r="H287" s="69" t="s">
        <v>278</v>
      </c>
      <c r="I287" s="477">
        <v>1121842</v>
      </c>
      <c r="J287" s="472">
        <v>820525</v>
      </c>
      <c r="K287" s="472">
        <v>1236</v>
      </c>
      <c r="L287" s="472">
        <v>277755</v>
      </c>
      <c r="M287" s="472">
        <v>16410</v>
      </c>
      <c r="N287" s="472">
        <v>5916</v>
      </c>
      <c r="O287" s="473">
        <v>2.59</v>
      </c>
      <c r="P287" s="474">
        <v>0</v>
      </c>
      <c r="Q287" s="483">
        <v>2.59</v>
      </c>
      <c r="R287" s="485">
        <f t="shared" si="656"/>
        <v>0</v>
      </c>
      <c r="S287" s="475">
        <v>0</v>
      </c>
      <c r="T287" s="755">
        <v>1959</v>
      </c>
      <c r="U287" s="475">
        <v>0</v>
      </c>
      <c r="V287" s="475">
        <v>0</v>
      </c>
      <c r="W287" s="475">
        <v>0</v>
      </c>
      <c r="X287" s="475">
        <f t="shared" si="657"/>
        <v>1959</v>
      </c>
      <c r="Y287" s="475">
        <v>0</v>
      </c>
      <c r="Z287" s="475">
        <v>0</v>
      </c>
      <c r="AA287" s="475">
        <v>0</v>
      </c>
      <c r="AB287" s="475">
        <f t="shared" si="658"/>
        <v>0</v>
      </c>
      <c r="AC287" s="475">
        <f t="shared" si="659"/>
        <v>1959</v>
      </c>
      <c r="AD287" s="70">
        <f t="shared" si="660"/>
        <v>662</v>
      </c>
      <c r="AE287" s="70">
        <f t="shared" si="661"/>
        <v>39</v>
      </c>
      <c r="AF287" s="475">
        <v>0</v>
      </c>
      <c r="AG287" s="475">
        <v>0</v>
      </c>
      <c r="AH287" s="475">
        <f t="shared" si="662"/>
        <v>0</v>
      </c>
      <c r="AI287" s="475">
        <f t="shared" si="663"/>
        <v>2660</v>
      </c>
      <c r="AJ287" s="476">
        <v>0</v>
      </c>
      <c r="AK287" s="476">
        <v>0</v>
      </c>
      <c r="AL287" s="476">
        <v>0</v>
      </c>
      <c r="AM287" s="476">
        <v>0</v>
      </c>
      <c r="AN287" s="756">
        <v>1.0000000000000009E-2</v>
      </c>
      <c r="AO287" s="476">
        <v>0</v>
      </c>
      <c r="AP287" s="476">
        <v>0</v>
      </c>
      <c r="AQ287" s="476">
        <v>0</v>
      </c>
      <c r="AR287" s="476">
        <f t="shared" si="625"/>
        <v>0</v>
      </c>
      <c r="AS287" s="476">
        <f t="shared" si="626"/>
        <v>1.0000000000000009E-2</v>
      </c>
      <c r="AT287" s="478">
        <f t="shared" si="627"/>
        <v>1.0000000000000009E-2</v>
      </c>
      <c r="AU287" s="484">
        <f>I287+AI287</f>
        <v>1124502</v>
      </c>
      <c r="AV287" s="475">
        <f>J287+X287</f>
        <v>822484</v>
      </c>
      <c r="AW287" s="475">
        <f>K287+AB287</f>
        <v>1236</v>
      </c>
      <c r="AX287" s="475">
        <f t="shared" si="664"/>
        <v>278417</v>
      </c>
      <c r="AY287" s="475">
        <f t="shared" si="664"/>
        <v>16449</v>
      </c>
      <c r="AZ287" s="475">
        <f>N287+AH287</f>
        <v>5916</v>
      </c>
      <c r="BA287" s="476">
        <f>O287+AT287</f>
        <v>2.5999999999999996</v>
      </c>
      <c r="BB287" s="476">
        <f t="shared" si="665"/>
        <v>0</v>
      </c>
      <c r="BC287" s="478">
        <f t="shared" si="665"/>
        <v>2.5999999999999996</v>
      </c>
    </row>
    <row r="288" spans="1:55" ht="14.1" customHeight="1" x14ac:dyDescent="0.2">
      <c r="A288" s="74">
        <v>58</v>
      </c>
      <c r="B288" s="71">
        <v>2318</v>
      </c>
      <c r="C288" s="72">
        <v>600079546</v>
      </c>
      <c r="D288" s="71">
        <v>70695253</v>
      </c>
      <c r="E288" s="73" t="s">
        <v>683</v>
      </c>
      <c r="F288" s="74"/>
      <c r="G288" s="73"/>
      <c r="H288" s="75"/>
      <c r="I288" s="76">
        <v>9646294</v>
      </c>
      <c r="J288" s="77">
        <v>7013558</v>
      </c>
      <c r="K288" s="77">
        <v>41940</v>
      </c>
      <c r="L288" s="77">
        <v>2384759</v>
      </c>
      <c r="M288" s="77">
        <v>140271</v>
      </c>
      <c r="N288" s="77">
        <v>65766</v>
      </c>
      <c r="O288" s="78">
        <v>17.159200000000002</v>
      </c>
      <c r="P288" s="78">
        <v>10.97</v>
      </c>
      <c r="Q288" s="718">
        <v>6.1892000000000005</v>
      </c>
      <c r="R288" s="76">
        <f t="shared" ref="R288:BC288" si="666">SUM(R284:R287)</f>
        <v>0</v>
      </c>
      <c r="S288" s="77">
        <f t="shared" si="666"/>
        <v>0</v>
      </c>
      <c r="T288" s="77">
        <f t="shared" si="666"/>
        <v>1959</v>
      </c>
      <c r="U288" s="77">
        <f t="shared" si="666"/>
        <v>0</v>
      </c>
      <c r="V288" s="77">
        <f t="shared" si="666"/>
        <v>0</v>
      </c>
      <c r="W288" s="77">
        <f t="shared" si="666"/>
        <v>0</v>
      </c>
      <c r="X288" s="77">
        <f t="shared" si="666"/>
        <v>1959</v>
      </c>
      <c r="Y288" s="77">
        <f t="shared" si="666"/>
        <v>0</v>
      </c>
      <c r="Z288" s="77">
        <f t="shared" si="666"/>
        <v>0</v>
      </c>
      <c r="AA288" s="77">
        <f t="shared" si="666"/>
        <v>0</v>
      </c>
      <c r="AB288" s="77">
        <f t="shared" si="666"/>
        <v>0</v>
      </c>
      <c r="AC288" s="77">
        <f t="shared" si="666"/>
        <v>1959</v>
      </c>
      <c r="AD288" s="77">
        <f t="shared" si="666"/>
        <v>662</v>
      </c>
      <c r="AE288" s="77">
        <f t="shared" si="666"/>
        <v>39</v>
      </c>
      <c r="AF288" s="77">
        <f t="shared" si="666"/>
        <v>0</v>
      </c>
      <c r="AG288" s="77">
        <f t="shared" si="666"/>
        <v>0</v>
      </c>
      <c r="AH288" s="77">
        <f t="shared" si="666"/>
        <v>0</v>
      </c>
      <c r="AI288" s="77">
        <f t="shared" si="666"/>
        <v>2660</v>
      </c>
      <c r="AJ288" s="78">
        <f t="shared" si="666"/>
        <v>0</v>
      </c>
      <c r="AK288" s="78">
        <f t="shared" si="666"/>
        <v>0</v>
      </c>
      <c r="AL288" s="78">
        <f t="shared" si="666"/>
        <v>0</v>
      </c>
      <c r="AM288" s="78">
        <f t="shared" si="666"/>
        <v>0</v>
      </c>
      <c r="AN288" s="78">
        <f t="shared" si="666"/>
        <v>1.0000000000000009E-2</v>
      </c>
      <c r="AO288" s="78">
        <f t="shared" si="666"/>
        <v>0</v>
      </c>
      <c r="AP288" s="78">
        <f t="shared" si="666"/>
        <v>0</v>
      </c>
      <c r="AQ288" s="78">
        <f t="shared" si="666"/>
        <v>0</v>
      </c>
      <c r="AR288" s="78">
        <f t="shared" si="666"/>
        <v>0</v>
      </c>
      <c r="AS288" s="78">
        <f t="shared" si="666"/>
        <v>1.0000000000000009E-2</v>
      </c>
      <c r="AT288" s="79">
        <f t="shared" si="666"/>
        <v>1.0000000000000009E-2</v>
      </c>
      <c r="AU288" s="433">
        <f t="shared" si="666"/>
        <v>9648954</v>
      </c>
      <c r="AV288" s="77">
        <f t="shared" si="666"/>
        <v>7015517</v>
      </c>
      <c r="AW288" s="77">
        <f t="shared" si="666"/>
        <v>41940</v>
      </c>
      <c r="AX288" s="77">
        <f t="shared" si="666"/>
        <v>2385421</v>
      </c>
      <c r="AY288" s="77">
        <f t="shared" si="666"/>
        <v>140310</v>
      </c>
      <c r="AZ288" s="77">
        <f t="shared" si="666"/>
        <v>65766</v>
      </c>
      <c r="BA288" s="78">
        <f t="shared" si="666"/>
        <v>17.169200000000004</v>
      </c>
      <c r="BB288" s="78">
        <f t="shared" si="666"/>
        <v>10.97</v>
      </c>
      <c r="BC288" s="79">
        <f t="shared" si="666"/>
        <v>6.1992000000000003</v>
      </c>
    </row>
    <row r="289" spans="1:55" ht="14.1" customHeight="1" x14ac:dyDescent="0.2">
      <c r="A289" s="68">
        <v>59</v>
      </c>
      <c r="B289" s="65">
        <v>2452</v>
      </c>
      <c r="C289" s="66">
        <v>600079660</v>
      </c>
      <c r="D289" s="65">
        <v>70695261</v>
      </c>
      <c r="E289" s="67" t="s">
        <v>684</v>
      </c>
      <c r="F289" s="68">
        <v>3113</v>
      </c>
      <c r="G289" s="67" t="s">
        <v>314</v>
      </c>
      <c r="H289" s="69" t="s">
        <v>277</v>
      </c>
      <c r="I289" s="477">
        <v>33342497</v>
      </c>
      <c r="J289" s="472">
        <v>23998068</v>
      </c>
      <c r="K289" s="472">
        <v>60000</v>
      </c>
      <c r="L289" s="472">
        <v>8131627</v>
      </c>
      <c r="M289" s="472">
        <v>479962</v>
      </c>
      <c r="N289" s="472">
        <v>672840</v>
      </c>
      <c r="O289" s="473">
        <v>42.354799999999997</v>
      </c>
      <c r="P289" s="473">
        <v>33.530900000000003</v>
      </c>
      <c r="Q289" s="483">
        <v>8.8239000000000001</v>
      </c>
      <c r="R289" s="485">
        <f t="shared" ref="R289:R295" si="667">Y289*-1</f>
        <v>0</v>
      </c>
      <c r="S289" s="475">
        <v>0</v>
      </c>
      <c r="T289" s="475">
        <v>142882</v>
      </c>
      <c r="U289" s="475">
        <v>0</v>
      </c>
      <c r="V289" s="475">
        <v>0</v>
      </c>
      <c r="W289" s="475">
        <v>0</v>
      </c>
      <c r="X289" s="475">
        <f t="shared" ref="X289:X295" si="668">SUM(R289:W289)</f>
        <v>142882</v>
      </c>
      <c r="Y289" s="475">
        <v>0</v>
      </c>
      <c r="Z289" s="475">
        <v>0</v>
      </c>
      <c r="AA289" s="475">
        <v>0</v>
      </c>
      <c r="AB289" s="475">
        <f t="shared" ref="AB289:AB295" si="669">SUM(Y289:AA289)</f>
        <v>0</v>
      </c>
      <c r="AC289" s="475">
        <f t="shared" ref="AC289:AC295" si="670">X289+AB289</f>
        <v>142882</v>
      </c>
      <c r="AD289" s="70">
        <f t="shared" ref="AD289:AD295" si="671">ROUND((X289+Y289+Z289)*33.8%,0)</f>
        <v>48294</v>
      </c>
      <c r="AE289" s="70">
        <f t="shared" ref="AE289:AE295" si="672">ROUND(X289*2%,0)</f>
        <v>2858</v>
      </c>
      <c r="AF289" s="475">
        <v>0</v>
      </c>
      <c r="AG289" s="475">
        <v>0</v>
      </c>
      <c r="AH289" s="475">
        <f t="shared" ref="AH289:AH295" si="673">SUM(AF289:AG289)</f>
        <v>0</v>
      </c>
      <c r="AI289" s="475">
        <f t="shared" ref="AI289:AI295" si="674">AC289+AD289+AE289+AH289</f>
        <v>194034</v>
      </c>
      <c r="AJ289" s="476">
        <v>0</v>
      </c>
      <c r="AK289" s="476">
        <v>0</v>
      </c>
      <c r="AL289" s="476">
        <v>0</v>
      </c>
      <c r="AM289" s="476">
        <v>0.23</v>
      </c>
      <c r="AN289" s="476">
        <v>0</v>
      </c>
      <c r="AO289" s="476">
        <v>0</v>
      </c>
      <c r="AP289" s="476">
        <v>0</v>
      </c>
      <c r="AQ289" s="476">
        <v>0</v>
      </c>
      <c r="AR289" s="476">
        <f t="shared" si="625"/>
        <v>0.23</v>
      </c>
      <c r="AS289" s="476">
        <f t="shared" si="626"/>
        <v>0</v>
      </c>
      <c r="AT289" s="478">
        <f t="shared" si="627"/>
        <v>0.23</v>
      </c>
      <c r="AU289" s="484">
        <f t="shared" ref="AU289:AU295" si="675">I289+AI289</f>
        <v>33536531</v>
      </c>
      <c r="AV289" s="475">
        <f t="shared" ref="AV289:AV295" si="676">J289+X289</f>
        <v>24140950</v>
      </c>
      <c r="AW289" s="475">
        <f t="shared" ref="AW289:AW295" si="677">K289+AB289</f>
        <v>60000</v>
      </c>
      <c r="AX289" s="475">
        <f t="shared" ref="AX289:AY295" si="678">L289+AD289</f>
        <v>8179921</v>
      </c>
      <c r="AY289" s="475">
        <f t="shared" si="678"/>
        <v>482820</v>
      </c>
      <c r="AZ289" s="475">
        <f t="shared" ref="AZ289:AZ295" si="679">N289+AH289</f>
        <v>672840</v>
      </c>
      <c r="BA289" s="476">
        <f t="shared" ref="BA289:BA295" si="680">O289+AT289</f>
        <v>42.584799999999994</v>
      </c>
      <c r="BB289" s="476">
        <f t="shared" ref="BB289:BC295" si="681">P289+AR289</f>
        <v>33.760899999999999</v>
      </c>
      <c r="BC289" s="478">
        <f t="shared" si="681"/>
        <v>8.8239000000000001</v>
      </c>
    </row>
    <row r="290" spans="1:55" ht="14.1" customHeight="1" x14ac:dyDescent="0.2">
      <c r="A290" s="68">
        <v>59</v>
      </c>
      <c r="B290" s="65">
        <v>2452</v>
      </c>
      <c r="C290" s="66">
        <v>600079660</v>
      </c>
      <c r="D290" s="65">
        <v>70695261</v>
      </c>
      <c r="E290" s="67" t="s">
        <v>684</v>
      </c>
      <c r="F290" s="68">
        <v>3113</v>
      </c>
      <c r="G290" s="44" t="s">
        <v>313</v>
      </c>
      <c r="H290" s="69" t="s">
        <v>277</v>
      </c>
      <c r="I290" s="477">
        <v>1314568</v>
      </c>
      <c r="J290" s="472">
        <v>968018</v>
      </c>
      <c r="K290" s="472">
        <v>0</v>
      </c>
      <c r="L290" s="472">
        <v>327190</v>
      </c>
      <c r="M290" s="472">
        <v>19360</v>
      </c>
      <c r="N290" s="472">
        <v>0</v>
      </c>
      <c r="O290" s="473">
        <v>2.6389</v>
      </c>
      <c r="P290" s="473">
        <v>2.6389</v>
      </c>
      <c r="Q290" s="483">
        <v>0</v>
      </c>
      <c r="R290" s="485">
        <f t="shared" si="667"/>
        <v>0</v>
      </c>
      <c r="S290" s="475">
        <v>0</v>
      </c>
      <c r="T290" s="475">
        <v>0</v>
      </c>
      <c r="U290" s="475">
        <v>0</v>
      </c>
      <c r="V290" s="475">
        <v>0</v>
      </c>
      <c r="W290" s="475">
        <v>0</v>
      </c>
      <c r="X290" s="475">
        <f t="shared" si="668"/>
        <v>0</v>
      </c>
      <c r="Y290" s="475">
        <v>0</v>
      </c>
      <c r="Z290" s="475">
        <v>0</v>
      </c>
      <c r="AA290" s="475">
        <v>0</v>
      </c>
      <c r="AB290" s="475">
        <f t="shared" si="669"/>
        <v>0</v>
      </c>
      <c r="AC290" s="475">
        <f t="shared" si="670"/>
        <v>0</v>
      </c>
      <c r="AD290" s="70">
        <f t="shared" si="671"/>
        <v>0</v>
      </c>
      <c r="AE290" s="70">
        <f t="shared" si="672"/>
        <v>0</v>
      </c>
      <c r="AF290" s="475">
        <v>0</v>
      </c>
      <c r="AG290" s="475">
        <v>0</v>
      </c>
      <c r="AH290" s="475">
        <f t="shared" si="673"/>
        <v>0</v>
      </c>
      <c r="AI290" s="475">
        <f t="shared" si="674"/>
        <v>0</v>
      </c>
      <c r="AJ290" s="476">
        <v>0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476">
        <f t="shared" si="625"/>
        <v>0</v>
      </c>
      <c r="AS290" s="476">
        <f t="shared" si="626"/>
        <v>0</v>
      </c>
      <c r="AT290" s="478">
        <f t="shared" si="627"/>
        <v>0</v>
      </c>
      <c r="AU290" s="484">
        <f t="shared" si="675"/>
        <v>1314568</v>
      </c>
      <c r="AV290" s="475">
        <f t="shared" si="676"/>
        <v>968018</v>
      </c>
      <c r="AW290" s="475">
        <f t="shared" si="677"/>
        <v>0</v>
      </c>
      <c r="AX290" s="475">
        <f t="shared" si="678"/>
        <v>327190</v>
      </c>
      <c r="AY290" s="475">
        <f t="shared" si="678"/>
        <v>19360</v>
      </c>
      <c r="AZ290" s="475">
        <f t="shared" si="679"/>
        <v>0</v>
      </c>
      <c r="BA290" s="476">
        <f t="shared" si="680"/>
        <v>2.6389</v>
      </c>
      <c r="BB290" s="476">
        <f t="shared" si="681"/>
        <v>2.6389</v>
      </c>
      <c r="BC290" s="478">
        <f t="shared" si="681"/>
        <v>0</v>
      </c>
    </row>
    <row r="291" spans="1:55" ht="14.1" customHeight="1" x14ac:dyDescent="0.2">
      <c r="A291" s="68">
        <v>59</v>
      </c>
      <c r="B291" s="65">
        <v>2452</v>
      </c>
      <c r="C291" s="66">
        <v>600079660</v>
      </c>
      <c r="D291" s="65">
        <v>70695261</v>
      </c>
      <c r="E291" s="67" t="s">
        <v>684</v>
      </c>
      <c r="F291" s="68">
        <v>3113</v>
      </c>
      <c r="G291" s="80" t="s">
        <v>312</v>
      </c>
      <c r="H291" s="69" t="s">
        <v>278</v>
      </c>
      <c r="I291" s="477">
        <v>4405743</v>
      </c>
      <c r="J291" s="472">
        <v>3244288</v>
      </c>
      <c r="K291" s="472">
        <v>0</v>
      </c>
      <c r="L291" s="472">
        <v>1096569</v>
      </c>
      <c r="M291" s="472">
        <v>64886</v>
      </c>
      <c r="N291" s="472">
        <v>0</v>
      </c>
      <c r="O291" s="473">
        <v>9.2100000000000009</v>
      </c>
      <c r="P291" s="474">
        <v>9.2100000000000009</v>
      </c>
      <c r="Q291" s="483">
        <v>0</v>
      </c>
      <c r="R291" s="485">
        <f t="shared" si="667"/>
        <v>0</v>
      </c>
      <c r="S291" s="475">
        <v>-73781</v>
      </c>
      <c r="T291" s="475">
        <v>0</v>
      </c>
      <c r="U291" s="475">
        <v>0</v>
      </c>
      <c r="V291" s="475">
        <v>0</v>
      </c>
      <c r="W291" s="475">
        <v>0</v>
      </c>
      <c r="X291" s="475">
        <f t="shared" si="668"/>
        <v>-73781</v>
      </c>
      <c r="Y291" s="475">
        <v>0</v>
      </c>
      <c r="Z291" s="475">
        <v>0</v>
      </c>
      <c r="AA291" s="475">
        <v>0</v>
      </c>
      <c r="AB291" s="475">
        <f t="shared" si="669"/>
        <v>0</v>
      </c>
      <c r="AC291" s="475">
        <f t="shared" si="670"/>
        <v>-73781</v>
      </c>
      <c r="AD291" s="70">
        <f t="shared" si="671"/>
        <v>-24938</v>
      </c>
      <c r="AE291" s="70">
        <f t="shared" si="672"/>
        <v>-1476</v>
      </c>
      <c r="AF291" s="475">
        <v>1750</v>
      </c>
      <c r="AG291" s="475">
        <v>0</v>
      </c>
      <c r="AH291" s="475">
        <f t="shared" si="673"/>
        <v>1750</v>
      </c>
      <c r="AI291" s="475">
        <f t="shared" si="674"/>
        <v>-98445</v>
      </c>
      <c r="AJ291" s="476">
        <v>0</v>
      </c>
      <c r="AK291" s="476">
        <v>0</v>
      </c>
      <c r="AL291" s="476">
        <v>-0.21</v>
      </c>
      <c r="AM291" s="476">
        <v>0</v>
      </c>
      <c r="AN291" s="476">
        <v>0</v>
      </c>
      <c r="AO291" s="476">
        <v>0</v>
      </c>
      <c r="AP291" s="476">
        <v>0</v>
      </c>
      <c r="AQ291" s="476">
        <v>0</v>
      </c>
      <c r="AR291" s="476">
        <f t="shared" si="625"/>
        <v>-0.21</v>
      </c>
      <c r="AS291" s="476">
        <f t="shared" si="626"/>
        <v>0</v>
      </c>
      <c r="AT291" s="478">
        <f t="shared" si="627"/>
        <v>-0.21</v>
      </c>
      <c r="AU291" s="484">
        <f t="shared" si="675"/>
        <v>4307298</v>
      </c>
      <c r="AV291" s="475">
        <f t="shared" si="676"/>
        <v>3170507</v>
      </c>
      <c r="AW291" s="475">
        <f t="shared" si="677"/>
        <v>0</v>
      </c>
      <c r="AX291" s="475">
        <f t="shared" si="678"/>
        <v>1071631</v>
      </c>
      <c r="AY291" s="475">
        <f t="shared" si="678"/>
        <v>63410</v>
      </c>
      <c r="AZ291" s="475">
        <f t="shared" si="679"/>
        <v>1750</v>
      </c>
      <c r="BA291" s="476">
        <f t="shared" si="680"/>
        <v>9</v>
      </c>
      <c r="BB291" s="476">
        <f t="shared" si="681"/>
        <v>9</v>
      </c>
      <c r="BC291" s="478">
        <f t="shared" si="681"/>
        <v>0</v>
      </c>
    </row>
    <row r="292" spans="1:55" ht="14.1" customHeight="1" x14ac:dyDescent="0.2">
      <c r="A292" s="68">
        <v>59</v>
      </c>
      <c r="B292" s="65">
        <v>2452</v>
      </c>
      <c r="C292" s="66">
        <v>600079660</v>
      </c>
      <c r="D292" s="65">
        <v>70695261</v>
      </c>
      <c r="E292" s="67" t="s">
        <v>684</v>
      </c>
      <c r="F292" s="68">
        <v>3141</v>
      </c>
      <c r="G292" s="67" t="s">
        <v>315</v>
      </c>
      <c r="H292" s="69" t="s">
        <v>278</v>
      </c>
      <c r="I292" s="477">
        <v>2494442</v>
      </c>
      <c r="J292" s="472">
        <v>1820876</v>
      </c>
      <c r="K292" s="472">
        <v>0</v>
      </c>
      <c r="L292" s="472">
        <v>615456</v>
      </c>
      <c r="M292" s="472">
        <v>36418</v>
      </c>
      <c r="N292" s="472">
        <v>21692</v>
      </c>
      <c r="O292" s="473">
        <v>5.73</v>
      </c>
      <c r="P292" s="474">
        <v>0</v>
      </c>
      <c r="Q292" s="483">
        <v>5.73</v>
      </c>
      <c r="R292" s="485">
        <f t="shared" si="667"/>
        <v>0</v>
      </c>
      <c r="S292" s="475">
        <v>0</v>
      </c>
      <c r="T292" s="755">
        <v>28419</v>
      </c>
      <c r="U292" s="475">
        <v>0</v>
      </c>
      <c r="V292" s="475">
        <v>0</v>
      </c>
      <c r="W292" s="475">
        <v>0</v>
      </c>
      <c r="X292" s="475">
        <f t="shared" si="668"/>
        <v>28419</v>
      </c>
      <c r="Y292" s="475">
        <v>0</v>
      </c>
      <c r="Z292" s="475">
        <v>0</v>
      </c>
      <c r="AA292" s="475">
        <v>0</v>
      </c>
      <c r="AB292" s="475">
        <f t="shared" si="669"/>
        <v>0</v>
      </c>
      <c r="AC292" s="475">
        <f t="shared" si="670"/>
        <v>28419</v>
      </c>
      <c r="AD292" s="70">
        <f t="shared" si="671"/>
        <v>9606</v>
      </c>
      <c r="AE292" s="70">
        <f t="shared" si="672"/>
        <v>568</v>
      </c>
      <c r="AF292" s="475">
        <v>0</v>
      </c>
      <c r="AG292" s="475">
        <v>0</v>
      </c>
      <c r="AH292" s="475">
        <f t="shared" si="673"/>
        <v>0</v>
      </c>
      <c r="AI292" s="475">
        <f t="shared" si="674"/>
        <v>38593</v>
      </c>
      <c r="AJ292" s="476">
        <v>0</v>
      </c>
      <c r="AK292" s="476">
        <v>0</v>
      </c>
      <c r="AL292" s="476">
        <v>0</v>
      </c>
      <c r="AM292" s="476">
        <v>0</v>
      </c>
      <c r="AN292" s="756">
        <v>9.000000000000008E-2</v>
      </c>
      <c r="AO292" s="476">
        <v>0</v>
      </c>
      <c r="AP292" s="476">
        <v>0</v>
      </c>
      <c r="AQ292" s="476">
        <v>0</v>
      </c>
      <c r="AR292" s="476">
        <f t="shared" si="625"/>
        <v>0</v>
      </c>
      <c r="AS292" s="476">
        <f t="shared" si="626"/>
        <v>9.000000000000008E-2</v>
      </c>
      <c r="AT292" s="478">
        <f t="shared" si="627"/>
        <v>9.000000000000008E-2</v>
      </c>
      <c r="AU292" s="484">
        <f t="shared" si="675"/>
        <v>2533035</v>
      </c>
      <c r="AV292" s="475">
        <f t="shared" si="676"/>
        <v>1849295</v>
      </c>
      <c r="AW292" s="475">
        <f t="shared" si="677"/>
        <v>0</v>
      </c>
      <c r="AX292" s="475">
        <f t="shared" si="678"/>
        <v>625062</v>
      </c>
      <c r="AY292" s="475">
        <f t="shared" si="678"/>
        <v>36986</v>
      </c>
      <c r="AZ292" s="475">
        <f t="shared" si="679"/>
        <v>21692</v>
      </c>
      <c r="BA292" s="476">
        <f t="shared" si="680"/>
        <v>5.82</v>
      </c>
      <c r="BB292" s="476">
        <f t="shared" si="681"/>
        <v>0</v>
      </c>
      <c r="BC292" s="478">
        <f t="shared" si="681"/>
        <v>5.82</v>
      </c>
    </row>
    <row r="293" spans="1:55" ht="14.1" customHeight="1" x14ac:dyDescent="0.2">
      <c r="A293" s="68">
        <v>59</v>
      </c>
      <c r="B293" s="65">
        <v>2452</v>
      </c>
      <c r="C293" s="66">
        <v>600079660</v>
      </c>
      <c r="D293" s="65">
        <v>70695261</v>
      </c>
      <c r="E293" s="67" t="s">
        <v>684</v>
      </c>
      <c r="F293" s="68">
        <v>3143</v>
      </c>
      <c r="G293" s="80" t="s">
        <v>626</v>
      </c>
      <c r="H293" s="69" t="s">
        <v>277</v>
      </c>
      <c r="I293" s="477">
        <v>2809995</v>
      </c>
      <c r="J293" s="472">
        <v>2069216</v>
      </c>
      <c r="K293" s="472">
        <v>0</v>
      </c>
      <c r="L293" s="472">
        <v>699395</v>
      </c>
      <c r="M293" s="472">
        <v>41384</v>
      </c>
      <c r="N293" s="472">
        <v>0</v>
      </c>
      <c r="O293" s="473">
        <v>4.6428000000000003</v>
      </c>
      <c r="P293" s="473">
        <v>4.6428000000000003</v>
      </c>
      <c r="Q293" s="483">
        <v>0</v>
      </c>
      <c r="R293" s="485">
        <f t="shared" si="667"/>
        <v>0</v>
      </c>
      <c r="S293" s="475">
        <v>0</v>
      </c>
      <c r="T293" s="475">
        <v>61138</v>
      </c>
      <c r="U293" s="475">
        <v>0</v>
      </c>
      <c r="V293" s="475">
        <v>0</v>
      </c>
      <c r="W293" s="475">
        <v>0</v>
      </c>
      <c r="X293" s="475">
        <f t="shared" si="668"/>
        <v>61138</v>
      </c>
      <c r="Y293" s="475">
        <v>0</v>
      </c>
      <c r="Z293" s="475">
        <v>0</v>
      </c>
      <c r="AA293" s="475">
        <v>0</v>
      </c>
      <c r="AB293" s="475">
        <f t="shared" si="669"/>
        <v>0</v>
      </c>
      <c r="AC293" s="475">
        <f t="shared" si="670"/>
        <v>61138</v>
      </c>
      <c r="AD293" s="70">
        <f t="shared" si="671"/>
        <v>20665</v>
      </c>
      <c r="AE293" s="70">
        <f t="shared" si="672"/>
        <v>1223</v>
      </c>
      <c r="AF293" s="475">
        <v>0</v>
      </c>
      <c r="AG293" s="475">
        <v>0</v>
      </c>
      <c r="AH293" s="475">
        <f t="shared" si="673"/>
        <v>0</v>
      </c>
      <c r="AI293" s="475">
        <f t="shared" si="674"/>
        <v>83026</v>
      </c>
      <c r="AJ293" s="476">
        <v>0</v>
      </c>
      <c r="AK293" s="476">
        <v>0</v>
      </c>
      <c r="AL293" s="476">
        <v>0</v>
      </c>
      <c r="AM293" s="476">
        <v>0.17</v>
      </c>
      <c r="AN293" s="476">
        <v>0</v>
      </c>
      <c r="AO293" s="476">
        <v>0</v>
      </c>
      <c r="AP293" s="476">
        <v>0</v>
      </c>
      <c r="AQ293" s="476">
        <v>0</v>
      </c>
      <c r="AR293" s="476">
        <f t="shared" si="625"/>
        <v>0.17</v>
      </c>
      <c r="AS293" s="476">
        <f t="shared" si="626"/>
        <v>0</v>
      </c>
      <c r="AT293" s="478">
        <f t="shared" si="627"/>
        <v>0.17</v>
      </c>
      <c r="AU293" s="484">
        <f t="shared" si="675"/>
        <v>2893021</v>
      </c>
      <c r="AV293" s="475">
        <f t="shared" si="676"/>
        <v>2130354</v>
      </c>
      <c r="AW293" s="475">
        <f t="shared" si="677"/>
        <v>0</v>
      </c>
      <c r="AX293" s="475">
        <f t="shared" si="678"/>
        <v>720060</v>
      </c>
      <c r="AY293" s="475">
        <f t="shared" si="678"/>
        <v>42607</v>
      </c>
      <c r="AZ293" s="475">
        <f t="shared" si="679"/>
        <v>0</v>
      </c>
      <c r="BA293" s="476">
        <f t="shared" si="680"/>
        <v>4.8128000000000002</v>
      </c>
      <c r="BB293" s="476">
        <f t="shared" si="681"/>
        <v>4.8128000000000002</v>
      </c>
      <c r="BC293" s="478">
        <f t="shared" si="681"/>
        <v>0</v>
      </c>
    </row>
    <row r="294" spans="1:55" ht="14.1" customHeight="1" x14ac:dyDescent="0.2">
      <c r="A294" s="68">
        <v>59</v>
      </c>
      <c r="B294" s="65">
        <v>2452</v>
      </c>
      <c r="C294" s="66">
        <v>600079660</v>
      </c>
      <c r="D294" s="65">
        <v>70695261</v>
      </c>
      <c r="E294" s="67" t="s">
        <v>684</v>
      </c>
      <c r="F294" s="68">
        <v>3143</v>
      </c>
      <c r="G294" s="80" t="s">
        <v>317</v>
      </c>
      <c r="H294" s="69" t="s">
        <v>278</v>
      </c>
      <c r="I294" s="477">
        <v>548521</v>
      </c>
      <c r="J294" s="472">
        <v>402887</v>
      </c>
      <c r="K294" s="472">
        <v>0</v>
      </c>
      <c r="L294" s="472">
        <v>136176</v>
      </c>
      <c r="M294" s="472">
        <v>8058</v>
      </c>
      <c r="N294" s="472">
        <v>1400</v>
      </c>
      <c r="O294" s="473">
        <v>0.9</v>
      </c>
      <c r="P294" s="473">
        <v>0.75</v>
      </c>
      <c r="Q294" s="483">
        <v>0.15</v>
      </c>
      <c r="R294" s="485">
        <f t="shared" si="667"/>
        <v>0</v>
      </c>
      <c r="S294" s="475">
        <v>0</v>
      </c>
      <c r="T294" s="475">
        <v>0</v>
      </c>
      <c r="U294" s="475">
        <v>0</v>
      </c>
      <c r="V294" s="475">
        <v>0</v>
      </c>
      <c r="W294" s="475">
        <v>0</v>
      </c>
      <c r="X294" s="475">
        <f t="shared" si="668"/>
        <v>0</v>
      </c>
      <c r="Y294" s="475">
        <v>0</v>
      </c>
      <c r="Z294" s="475">
        <v>0</v>
      </c>
      <c r="AA294" s="475">
        <v>0</v>
      </c>
      <c r="AB294" s="475">
        <f t="shared" si="669"/>
        <v>0</v>
      </c>
      <c r="AC294" s="475">
        <f t="shared" si="670"/>
        <v>0</v>
      </c>
      <c r="AD294" s="70">
        <f t="shared" si="671"/>
        <v>0</v>
      </c>
      <c r="AE294" s="70">
        <f t="shared" si="672"/>
        <v>0</v>
      </c>
      <c r="AF294" s="475">
        <v>0</v>
      </c>
      <c r="AG294" s="475">
        <v>0</v>
      </c>
      <c r="AH294" s="475">
        <f t="shared" si="673"/>
        <v>0</v>
      </c>
      <c r="AI294" s="475">
        <f t="shared" si="674"/>
        <v>0</v>
      </c>
      <c r="AJ294" s="476">
        <v>0</v>
      </c>
      <c r="AK294" s="476">
        <v>0</v>
      </c>
      <c r="AL294" s="476">
        <v>0</v>
      </c>
      <c r="AM294" s="476">
        <v>0</v>
      </c>
      <c r="AN294" s="476">
        <v>0</v>
      </c>
      <c r="AO294" s="476">
        <v>0</v>
      </c>
      <c r="AP294" s="476">
        <v>0</v>
      </c>
      <c r="AQ294" s="476">
        <v>0</v>
      </c>
      <c r="AR294" s="476">
        <f t="shared" si="625"/>
        <v>0</v>
      </c>
      <c r="AS294" s="476">
        <f t="shared" si="626"/>
        <v>0</v>
      </c>
      <c r="AT294" s="478">
        <f t="shared" si="627"/>
        <v>0</v>
      </c>
      <c r="AU294" s="484">
        <f t="shared" si="675"/>
        <v>548521</v>
      </c>
      <c r="AV294" s="475">
        <f t="shared" si="676"/>
        <v>402887</v>
      </c>
      <c r="AW294" s="475">
        <f t="shared" si="677"/>
        <v>0</v>
      </c>
      <c r="AX294" s="475">
        <f t="shared" si="678"/>
        <v>136176</v>
      </c>
      <c r="AY294" s="475">
        <f t="shared" si="678"/>
        <v>8058</v>
      </c>
      <c r="AZ294" s="475">
        <f t="shared" si="679"/>
        <v>1400</v>
      </c>
      <c r="BA294" s="476">
        <f t="shared" si="680"/>
        <v>0.9</v>
      </c>
      <c r="BB294" s="476">
        <f t="shared" si="681"/>
        <v>0.75</v>
      </c>
      <c r="BC294" s="478">
        <f t="shared" si="681"/>
        <v>0.15</v>
      </c>
    </row>
    <row r="295" spans="1:55" ht="14.1" customHeight="1" x14ac:dyDescent="0.2">
      <c r="A295" s="68">
        <v>59</v>
      </c>
      <c r="B295" s="65">
        <v>2452</v>
      </c>
      <c r="C295" s="66">
        <v>600079660</v>
      </c>
      <c r="D295" s="65">
        <v>70695261</v>
      </c>
      <c r="E295" s="67" t="s">
        <v>684</v>
      </c>
      <c r="F295" s="68">
        <v>3143</v>
      </c>
      <c r="G295" s="80" t="s">
        <v>627</v>
      </c>
      <c r="H295" s="69" t="s">
        <v>278</v>
      </c>
      <c r="I295" s="477">
        <v>98280</v>
      </c>
      <c r="J295" s="472">
        <v>69499</v>
      </c>
      <c r="K295" s="472">
        <v>0</v>
      </c>
      <c r="L295" s="472">
        <v>23491</v>
      </c>
      <c r="M295" s="472">
        <v>1390</v>
      </c>
      <c r="N295" s="472">
        <v>3900</v>
      </c>
      <c r="O295" s="473">
        <v>0.27</v>
      </c>
      <c r="P295" s="474">
        <v>0</v>
      </c>
      <c r="Q295" s="483">
        <v>0.27</v>
      </c>
      <c r="R295" s="485">
        <f t="shared" si="667"/>
        <v>0</v>
      </c>
      <c r="S295" s="475">
        <v>0</v>
      </c>
      <c r="T295" s="475">
        <v>0</v>
      </c>
      <c r="U295" s="475">
        <v>0</v>
      </c>
      <c r="V295" s="475">
        <v>0</v>
      </c>
      <c r="W295" s="475">
        <v>0</v>
      </c>
      <c r="X295" s="475">
        <f t="shared" si="668"/>
        <v>0</v>
      </c>
      <c r="Y295" s="475">
        <v>0</v>
      </c>
      <c r="Z295" s="475">
        <v>0</v>
      </c>
      <c r="AA295" s="475">
        <v>0</v>
      </c>
      <c r="AB295" s="475">
        <f t="shared" si="669"/>
        <v>0</v>
      </c>
      <c r="AC295" s="475">
        <f t="shared" si="670"/>
        <v>0</v>
      </c>
      <c r="AD295" s="70">
        <f t="shared" si="671"/>
        <v>0</v>
      </c>
      <c r="AE295" s="70">
        <f t="shared" si="672"/>
        <v>0</v>
      </c>
      <c r="AF295" s="475">
        <v>0</v>
      </c>
      <c r="AG295" s="475">
        <v>0</v>
      </c>
      <c r="AH295" s="475">
        <f t="shared" si="673"/>
        <v>0</v>
      </c>
      <c r="AI295" s="475">
        <f t="shared" si="674"/>
        <v>0</v>
      </c>
      <c r="AJ295" s="476">
        <v>0</v>
      </c>
      <c r="AK295" s="476">
        <v>0</v>
      </c>
      <c r="AL295" s="476">
        <v>0</v>
      </c>
      <c r="AM295" s="476">
        <v>0</v>
      </c>
      <c r="AN295" s="476">
        <v>0</v>
      </c>
      <c r="AO295" s="476">
        <v>0</v>
      </c>
      <c r="AP295" s="476">
        <v>0</v>
      </c>
      <c r="AQ295" s="476">
        <v>0</v>
      </c>
      <c r="AR295" s="476">
        <f t="shared" si="625"/>
        <v>0</v>
      </c>
      <c r="AS295" s="476">
        <f t="shared" si="626"/>
        <v>0</v>
      </c>
      <c r="AT295" s="478">
        <f t="shared" si="627"/>
        <v>0</v>
      </c>
      <c r="AU295" s="484">
        <f t="shared" si="675"/>
        <v>98280</v>
      </c>
      <c r="AV295" s="475">
        <f t="shared" si="676"/>
        <v>69499</v>
      </c>
      <c r="AW295" s="475">
        <f t="shared" si="677"/>
        <v>0</v>
      </c>
      <c r="AX295" s="475">
        <f t="shared" si="678"/>
        <v>23491</v>
      </c>
      <c r="AY295" s="475">
        <f t="shared" si="678"/>
        <v>1390</v>
      </c>
      <c r="AZ295" s="475">
        <f t="shared" si="679"/>
        <v>3900</v>
      </c>
      <c r="BA295" s="476">
        <f t="shared" si="680"/>
        <v>0.27</v>
      </c>
      <c r="BB295" s="476">
        <f t="shared" si="681"/>
        <v>0</v>
      </c>
      <c r="BC295" s="478">
        <f t="shared" si="681"/>
        <v>0.27</v>
      </c>
    </row>
    <row r="296" spans="1:55" ht="14.1" customHeight="1" x14ac:dyDescent="0.2">
      <c r="A296" s="74">
        <v>59</v>
      </c>
      <c r="B296" s="71">
        <v>2452</v>
      </c>
      <c r="C296" s="72">
        <v>600079660</v>
      </c>
      <c r="D296" s="71">
        <v>70695261</v>
      </c>
      <c r="E296" s="73" t="s">
        <v>685</v>
      </c>
      <c r="F296" s="74"/>
      <c r="G296" s="73"/>
      <c r="H296" s="75"/>
      <c r="I296" s="76">
        <v>45014046</v>
      </c>
      <c r="J296" s="77">
        <v>32572852</v>
      </c>
      <c r="K296" s="77">
        <v>60000</v>
      </c>
      <c r="L296" s="77">
        <v>11029904</v>
      </c>
      <c r="M296" s="77">
        <v>651458</v>
      </c>
      <c r="N296" s="77">
        <v>699832</v>
      </c>
      <c r="O296" s="78">
        <v>65.746499999999997</v>
      </c>
      <c r="P296" s="78">
        <v>50.772600000000004</v>
      </c>
      <c r="Q296" s="718">
        <v>14.9739</v>
      </c>
      <c r="R296" s="76">
        <f t="shared" ref="R296:BC296" si="682">SUM(R289:R295)</f>
        <v>0</v>
      </c>
      <c r="S296" s="77">
        <f t="shared" si="682"/>
        <v>-73781</v>
      </c>
      <c r="T296" s="77">
        <f t="shared" si="682"/>
        <v>232439</v>
      </c>
      <c r="U296" s="77">
        <f t="shared" si="682"/>
        <v>0</v>
      </c>
      <c r="V296" s="77">
        <f t="shared" si="682"/>
        <v>0</v>
      </c>
      <c r="W296" s="77">
        <f t="shared" si="682"/>
        <v>0</v>
      </c>
      <c r="X296" s="77">
        <f t="shared" si="682"/>
        <v>158658</v>
      </c>
      <c r="Y296" s="77">
        <f t="shared" si="682"/>
        <v>0</v>
      </c>
      <c r="Z296" s="77">
        <f t="shared" si="682"/>
        <v>0</v>
      </c>
      <c r="AA296" s="77">
        <f t="shared" si="682"/>
        <v>0</v>
      </c>
      <c r="AB296" s="77">
        <f t="shared" si="682"/>
        <v>0</v>
      </c>
      <c r="AC296" s="77">
        <f t="shared" si="682"/>
        <v>158658</v>
      </c>
      <c r="AD296" s="77">
        <f t="shared" si="682"/>
        <v>53627</v>
      </c>
      <c r="AE296" s="77">
        <f t="shared" si="682"/>
        <v>3173</v>
      </c>
      <c r="AF296" s="77">
        <f t="shared" si="682"/>
        <v>1750</v>
      </c>
      <c r="AG296" s="77">
        <f t="shared" si="682"/>
        <v>0</v>
      </c>
      <c r="AH296" s="77">
        <f t="shared" si="682"/>
        <v>1750</v>
      </c>
      <c r="AI296" s="77">
        <f t="shared" si="682"/>
        <v>217208</v>
      </c>
      <c r="AJ296" s="78">
        <f t="shared" si="682"/>
        <v>0</v>
      </c>
      <c r="AK296" s="78">
        <f t="shared" si="682"/>
        <v>0</v>
      </c>
      <c r="AL296" s="78">
        <f t="shared" si="682"/>
        <v>-0.21</v>
      </c>
      <c r="AM296" s="78">
        <f t="shared" si="682"/>
        <v>0.4</v>
      </c>
      <c r="AN296" s="78">
        <f t="shared" si="682"/>
        <v>9.000000000000008E-2</v>
      </c>
      <c r="AO296" s="78">
        <f t="shared" si="682"/>
        <v>0</v>
      </c>
      <c r="AP296" s="78">
        <f t="shared" si="682"/>
        <v>0</v>
      </c>
      <c r="AQ296" s="78">
        <f t="shared" si="682"/>
        <v>0</v>
      </c>
      <c r="AR296" s="78">
        <f t="shared" si="682"/>
        <v>0.19000000000000003</v>
      </c>
      <c r="AS296" s="78">
        <f t="shared" si="682"/>
        <v>9.000000000000008E-2</v>
      </c>
      <c r="AT296" s="79">
        <f t="shared" si="682"/>
        <v>0.28000000000000014</v>
      </c>
      <c r="AU296" s="433">
        <f t="shared" si="682"/>
        <v>45231254</v>
      </c>
      <c r="AV296" s="77">
        <f t="shared" si="682"/>
        <v>32731510</v>
      </c>
      <c r="AW296" s="77">
        <f t="shared" si="682"/>
        <v>60000</v>
      </c>
      <c r="AX296" s="77">
        <f t="shared" si="682"/>
        <v>11083531</v>
      </c>
      <c r="AY296" s="77">
        <f t="shared" si="682"/>
        <v>654631</v>
      </c>
      <c r="AZ296" s="77">
        <f t="shared" si="682"/>
        <v>701582</v>
      </c>
      <c r="BA296" s="78">
        <f t="shared" si="682"/>
        <v>66.026499999999999</v>
      </c>
      <c r="BB296" s="78">
        <f t="shared" si="682"/>
        <v>50.962600000000002</v>
      </c>
      <c r="BC296" s="79">
        <f t="shared" si="682"/>
        <v>15.0639</v>
      </c>
    </row>
    <row r="297" spans="1:55" ht="14.1" customHeight="1" x14ac:dyDescent="0.2">
      <c r="A297" s="68">
        <v>60</v>
      </c>
      <c r="B297" s="65">
        <v>2319</v>
      </c>
      <c r="C297" s="66">
        <v>600080218</v>
      </c>
      <c r="D297" s="65">
        <v>70695245</v>
      </c>
      <c r="E297" s="67" t="s">
        <v>686</v>
      </c>
      <c r="F297" s="68">
        <v>3231</v>
      </c>
      <c r="G297" s="67" t="s">
        <v>316</v>
      </c>
      <c r="H297" s="69" t="s">
        <v>277</v>
      </c>
      <c r="I297" s="477">
        <v>7042052</v>
      </c>
      <c r="J297" s="472">
        <v>5170701</v>
      </c>
      <c r="K297" s="472">
        <v>0</v>
      </c>
      <c r="L297" s="472">
        <v>1747697</v>
      </c>
      <c r="M297" s="472">
        <v>103414</v>
      </c>
      <c r="N297" s="472">
        <v>20240</v>
      </c>
      <c r="O297" s="473">
        <v>9.5840999999999994</v>
      </c>
      <c r="P297" s="474">
        <v>8.5632999999999999</v>
      </c>
      <c r="Q297" s="483">
        <v>1.0207999999999999</v>
      </c>
      <c r="R297" s="485">
        <f t="shared" ref="R297" si="683">Y297*-1</f>
        <v>0</v>
      </c>
      <c r="S297" s="475">
        <v>0</v>
      </c>
      <c r="T297" s="475">
        <v>183346</v>
      </c>
      <c r="U297" s="475">
        <v>0</v>
      </c>
      <c r="V297" s="475">
        <v>0</v>
      </c>
      <c r="W297" s="475">
        <v>0</v>
      </c>
      <c r="X297" s="475">
        <f>SUM(R297:W297)</f>
        <v>183346</v>
      </c>
      <c r="Y297" s="475">
        <v>0</v>
      </c>
      <c r="Z297" s="475">
        <v>0</v>
      </c>
      <c r="AA297" s="475">
        <v>0</v>
      </c>
      <c r="AB297" s="475">
        <f t="shared" ref="AB297" si="684">SUM(Y297:AA297)</f>
        <v>0</v>
      </c>
      <c r="AC297" s="475">
        <f t="shared" ref="AC297" si="685">X297+AB297</f>
        <v>183346</v>
      </c>
      <c r="AD297" s="70">
        <f t="shared" ref="AD297" si="686">ROUND((X297+Y297+Z297)*33.8%,0)</f>
        <v>61971</v>
      </c>
      <c r="AE297" s="70">
        <f t="shared" ref="AE297" si="687">ROUND(X297*2%,0)</f>
        <v>3667</v>
      </c>
      <c r="AF297" s="475">
        <v>0</v>
      </c>
      <c r="AG297" s="475">
        <v>0</v>
      </c>
      <c r="AH297" s="475">
        <f t="shared" ref="AH297" si="688">SUM(AF297:AG297)</f>
        <v>0</v>
      </c>
      <c r="AI297" s="475">
        <f t="shared" ref="AI297" si="689">AC297+AD297+AE297+AH297</f>
        <v>248984</v>
      </c>
      <c r="AJ297" s="476">
        <v>0</v>
      </c>
      <c r="AK297" s="476">
        <v>0</v>
      </c>
      <c r="AL297" s="476">
        <v>0</v>
      </c>
      <c r="AM297" s="476">
        <v>0.33</v>
      </c>
      <c r="AN297" s="476">
        <v>0</v>
      </c>
      <c r="AO297" s="476">
        <v>0</v>
      </c>
      <c r="AP297" s="476">
        <v>0</v>
      </c>
      <c r="AQ297" s="476">
        <v>0</v>
      </c>
      <c r="AR297" s="476">
        <f t="shared" si="625"/>
        <v>0.33</v>
      </c>
      <c r="AS297" s="476">
        <f t="shared" si="626"/>
        <v>0</v>
      </c>
      <c r="AT297" s="478">
        <f t="shared" si="627"/>
        <v>0.33</v>
      </c>
      <c r="AU297" s="484">
        <f>I297+AI297</f>
        <v>7291036</v>
      </c>
      <c r="AV297" s="475">
        <f>J297+X297</f>
        <v>5354047</v>
      </c>
      <c r="AW297" s="475">
        <f>K297+AB297</f>
        <v>0</v>
      </c>
      <c r="AX297" s="475">
        <f>L297+AD297</f>
        <v>1809668</v>
      </c>
      <c r="AY297" s="475">
        <f>M297+AE297</f>
        <v>107081</v>
      </c>
      <c r="AZ297" s="475">
        <f>N297+AH297</f>
        <v>20240</v>
      </c>
      <c r="BA297" s="476">
        <f>O297+AT297</f>
        <v>9.9140999999999995</v>
      </c>
      <c r="BB297" s="476">
        <f>P297+AR297</f>
        <v>8.8933</v>
      </c>
      <c r="BC297" s="478">
        <f>Q297+AS297</f>
        <v>1.0207999999999999</v>
      </c>
    </row>
    <row r="298" spans="1:55" ht="14.1" customHeight="1" x14ac:dyDescent="0.2">
      <c r="A298" s="74">
        <v>60</v>
      </c>
      <c r="B298" s="71">
        <v>2319</v>
      </c>
      <c r="C298" s="72">
        <v>600080218</v>
      </c>
      <c r="D298" s="71">
        <v>70695245</v>
      </c>
      <c r="E298" s="73" t="s">
        <v>687</v>
      </c>
      <c r="F298" s="74"/>
      <c r="G298" s="73"/>
      <c r="H298" s="75"/>
      <c r="I298" s="81">
        <v>7042052</v>
      </c>
      <c r="J298" s="82">
        <v>5170701</v>
      </c>
      <c r="K298" s="82">
        <v>0</v>
      </c>
      <c r="L298" s="82">
        <v>1747697</v>
      </c>
      <c r="M298" s="82">
        <v>103414</v>
      </c>
      <c r="N298" s="82">
        <v>20240</v>
      </c>
      <c r="O298" s="83">
        <v>9.5840999999999994</v>
      </c>
      <c r="P298" s="83">
        <v>8.5632999999999999</v>
      </c>
      <c r="Q298" s="719">
        <v>1.0207999999999999</v>
      </c>
      <c r="R298" s="81">
        <f t="shared" ref="R298:BC298" si="690">SUM(R297)</f>
        <v>0</v>
      </c>
      <c r="S298" s="82">
        <f t="shared" si="690"/>
        <v>0</v>
      </c>
      <c r="T298" s="82">
        <f t="shared" si="690"/>
        <v>183346</v>
      </c>
      <c r="U298" s="82">
        <f t="shared" si="690"/>
        <v>0</v>
      </c>
      <c r="V298" s="82">
        <f t="shared" si="690"/>
        <v>0</v>
      </c>
      <c r="W298" s="82">
        <f t="shared" si="690"/>
        <v>0</v>
      </c>
      <c r="X298" s="82">
        <f t="shared" si="690"/>
        <v>183346</v>
      </c>
      <c r="Y298" s="82">
        <f t="shared" si="690"/>
        <v>0</v>
      </c>
      <c r="Z298" s="82">
        <f t="shared" si="690"/>
        <v>0</v>
      </c>
      <c r="AA298" s="82">
        <f t="shared" si="690"/>
        <v>0</v>
      </c>
      <c r="AB298" s="82">
        <f t="shared" si="690"/>
        <v>0</v>
      </c>
      <c r="AC298" s="82">
        <f t="shared" si="690"/>
        <v>183346</v>
      </c>
      <c r="AD298" s="82">
        <f t="shared" si="690"/>
        <v>61971</v>
      </c>
      <c r="AE298" s="82">
        <f t="shared" si="690"/>
        <v>3667</v>
      </c>
      <c r="AF298" s="82">
        <f t="shared" si="690"/>
        <v>0</v>
      </c>
      <c r="AG298" s="82">
        <f t="shared" si="690"/>
        <v>0</v>
      </c>
      <c r="AH298" s="82">
        <f t="shared" si="690"/>
        <v>0</v>
      </c>
      <c r="AI298" s="82">
        <f t="shared" si="690"/>
        <v>248984</v>
      </c>
      <c r="AJ298" s="83">
        <f t="shared" si="690"/>
        <v>0</v>
      </c>
      <c r="AK298" s="83">
        <f t="shared" si="690"/>
        <v>0</v>
      </c>
      <c r="AL298" s="83">
        <f t="shared" si="690"/>
        <v>0</v>
      </c>
      <c r="AM298" s="83">
        <f t="shared" si="690"/>
        <v>0.33</v>
      </c>
      <c r="AN298" s="83">
        <f t="shared" si="690"/>
        <v>0</v>
      </c>
      <c r="AO298" s="83">
        <f t="shared" si="690"/>
        <v>0</v>
      </c>
      <c r="AP298" s="83">
        <f t="shared" si="690"/>
        <v>0</v>
      </c>
      <c r="AQ298" s="83">
        <f t="shared" si="690"/>
        <v>0</v>
      </c>
      <c r="AR298" s="83">
        <f t="shared" si="690"/>
        <v>0.33</v>
      </c>
      <c r="AS298" s="83">
        <f t="shared" si="690"/>
        <v>0</v>
      </c>
      <c r="AT298" s="84">
        <f t="shared" si="690"/>
        <v>0.33</v>
      </c>
      <c r="AU298" s="434">
        <f t="shared" si="690"/>
        <v>7291036</v>
      </c>
      <c r="AV298" s="82">
        <f t="shared" si="690"/>
        <v>5354047</v>
      </c>
      <c r="AW298" s="82">
        <f t="shared" si="690"/>
        <v>0</v>
      </c>
      <c r="AX298" s="82">
        <f t="shared" si="690"/>
        <v>1809668</v>
      </c>
      <c r="AY298" s="82">
        <f t="shared" si="690"/>
        <v>107081</v>
      </c>
      <c r="AZ298" s="82">
        <f t="shared" si="690"/>
        <v>20240</v>
      </c>
      <c r="BA298" s="83">
        <f t="shared" si="690"/>
        <v>9.9140999999999995</v>
      </c>
      <c r="BB298" s="83">
        <f t="shared" si="690"/>
        <v>8.8933</v>
      </c>
      <c r="BC298" s="84">
        <f t="shared" si="690"/>
        <v>1.0207999999999999</v>
      </c>
    </row>
    <row r="299" spans="1:55" ht="14.1" customHeight="1" x14ac:dyDescent="0.2">
      <c r="A299" s="68">
        <v>61</v>
      </c>
      <c r="B299" s="65">
        <v>2444</v>
      </c>
      <c r="C299" s="66">
        <v>600079848</v>
      </c>
      <c r="D299" s="65">
        <v>72742836</v>
      </c>
      <c r="E299" s="67" t="s">
        <v>688</v>
      </c>
      <c r="F299" s="68">
        <v>3111</v>
      </c>
      <c r="G299" s="67" t="s">
        <v>311</v>
      </c>
      <c r="H299" s="69" t="s">
        <v>277</v>
      </c>
      <c r="I299" s="477">
        <v>4291396</v>
      </c>
      <c r="J299" s="472">
        <v>3098517</v>
      </c>
      <c r="K299" s="472">
        <v>45000</v>
      </c>
      <c r="L299" s="472">
        <v>1062509</v>
      </c>
      <c r="M299" s="472">
        <v>61970</v>
      </c>
      <c r="N299" s="472">
        <v>23400</v>
      </c>
      <c r="O299" s="473">
        <v>7.2827999999999999</v>
      </c>
      <c r="P299" s="473">
        <v>5.9</v>
      </c>
      <c r="Q299" s="483">
        <v>1.3828</v>
      </c>
      <c r="R299" s="485">
        <f t="shared" ref="R299:R304" si="691">Y299*-1</f>
        <v>0</v>
      </c>
      <c r="S299" s="475">
        <v>0</v>
      </c>
      <c r="T299" s="475">
        <v>0</v>
      </c>
      <c r="U299" s="475">
        <v>0</v>
      </c>
      <c r="V299" s="475">
        <v>0</v>
      </c>
      <c r="W299" s="475">
        <v>0</v>
      </c>
      <c r="X299" s="475">
        <f t="shared" ref="X299:X304" si="692">SUM(R299:W299)</f>
        <v>0</v>
      </c>
      <c r="Y299" s="475">
        <v>0</v>
      </c>
      <c r="Z299" s="475">
        <v>0</v>
      </c>
      <c r="AA299" s="475">
        <v>0</v>
      </c>
      <c r="AB299" s="475">
        <f t="shared" ref="AB299:AB304" si="693">SUM(Y299:AA299)</f>
        <v>0</v>
      </c>
      <c r="AC299" s="475">
        <f t="shared" ref="AC299:AC304" si="694">X299+AB299</f>
        <v>0</v>
      </c>
      <c r="AD299" s="70">
        <f t="shared" ref="AD299:AD304" si="695">ROUND((X299+Y299+Z299)*33.8%,0)</f>
        <v>0</v>
      </c>
      <c r="AE299" s="70">
        <f t="shared" ref="AE299:AE304" si="696">ROUND(X299*2%,0)</f>
        <v>0</v>
      </c>
      <c r="AF299" s="475">
        <v>0</v>
      </c>
      <c r="AG299" s="475">
        <v>0</v>
      </c>
      <c r="AH299" s="475">
        <f t="shared" ref="AH299:AH304" si="697">SUM(AF299:AG299)</f>
        <v>0</v>
      </c>
      <c r="AI299" s="475">
        <f t="shared" ref="AI299:AI304" si="698">AC299+AD299+AE299+AH299</f>
        <v>0</v>
      </c>
      <c r="AJ299" s="476">
        <v>0</v>
      </c>
      <c r="AK299" s="476">
        <v>0</v>
      </c>
      <c r="AL299" s="476">
        <v>0</v>
      </c>
      <c r="AM299" s="476">
        <v>0</v>
      </c>
      <c r="AN299" s="476">
        <v>0</v>
      </c>
      <c r="AO299" s="476">
        <v>0</v>
      </c>
      <c r="AP299" s="476">
        <v>0</v>
      </c>
      <c r="AQ299" s="476">
        <v>0</v>
      </c>
      <c r="AR299" s="476">
        <f t="shared" si="625"/>
        <v>0</v>
      </c>
      <c r="AS299" s="476">
        <f t="shared" si="626"/>
        <v>0</v>
      </c>
      <c r="AT299" s="478">
        <f t="shared" si="627"/>
        <v>0</v>
      </c>
      <c r="AU299" s="484">
        <f t="shared" ref="AU299:AU304" si="699">I299+AI299</f>
        <v>4291396</v>
      </c>
      <c r="AV299" s="475">
        <f t="shared" ref="AV299:AV304" si="700">J299+X299</f>
        <v>3098517</v>
      </c>
      <c r="AW299" s="475">
        <f t="shared" ref="AW299:AW304" si="701">K299+AB299</f>
        <v>45000</v>
      </c>
      <c r="AX299" s="475">
        <f t="shared" ref="AX299:AY304" si="702">L299+AD299</f>
        <v>1062509</v>
      </c>
      <c r="AY299" s="475">
        <f t="shared" si="702"/>
        <v>61970</v>
      </c>
      <c r="AZ299" s="475">
        <f t="shared" ref="AZ299:AZ304" si="703">N299+AH299</f>
        <v>23400</v>
      </c>
      <c r="BA299" s="476">
        <f t="shared" ref="BA299:BA304" si="704">O299+AT299</f>
        <v>7.2827999999999999</v>
      </c>
      <c r="BB299" s="476">
        <f t="shared" ref="BB299:BC304" si="705">P299+AR299</f>
        <v>5.9</v>
      </c>
      <c r="BC299" s="478">
        <f t="shared" si="705"/>
        <v>1.3828</v>
      </c>
    </row>
    <row r="300" spans="1:55" ht="14.1" customHeight="1" x14ac:dyDescent="0.2">
      <c r="A300" s="68">
        <v>61</v>
      </c>
      <c r="B300" s="65">
        <v>2444</v>
      </c>
      <c r="C300" s="66">
        <v>600079848</v>
      </c>
      <c r="D300" s="65">
        <v>72742836</v>
      </c>
      <c r="E300" s="67" t="s">
        <v>688</v>
      </c>
      <c r="F300" s="68">
        <v>3117</v>
      </c>
      <c r="G300" s="85" t="s">
        <v>314</v>
      </c>
      <c r="H300" s="69" t="s">
        <v>277</v>
      </c>
      <c r="I300" s="477">
        <v>4461430</v>
      </c>
      <c r="J300" s="472">
        <v>3190859</v>
      </c>
      <c r="K300" s="472">
        <v>23000</v>
      </c>
      <c r="L300" s="472">
        <v>1086284</v>
      </c>
      <c r="M300" s="472">
        <v>63817</v>
      </c>
      <c r="N300" s="472">
        <v>97470</v>
      </c>
      <c r="O300" s="473">
        <v>6.1930000000000005</v>
      </c>
      <c r="P300" s="473">
        <v>3.9600000000000004</v>
      </c>
      <c r="Q300" s="483">
        <v>2.2330000000000001</v>
      </c>
      <c r="R300" s="485">
        <f t="shared" si="691"/>
        <v>0</v>
      </c>
      <c r="S300" s="475">
        <v>0</v>
      </c>
      <c r="T300" s="475">
        <v>0</v>
      </c>
      <c r="U300" s="475">
        <v>0</v>
      </c>
      <c r="V300" s="475">
        <v>0</v>
      </c>
      <c r="W300" s="475">
        <v>0</v>
      </c>
      <c r="X300" s="475">
        <f t="shared" si="692"/>
        <v>0</v>
      </c>
      <c r="Y300" s="475">
        <v>0</v>
      </c>
      <c r="Z300" s="475">
        <v>0</v>
      </c>
      <c r="AA300" s="475">
        <v>0</v>
      </c>
      <c r="AB300" s="475">
        <f t="shared" si="693"/>
        <v>0</v>
      </c>
      <c r="AC300" s="475">
        <f t="shared" si="694"/>
        <v>0</v>
      </c>
      <c r="AD300" s="70">
        <f t="shared" si="695"/>
        <v>0</v>
      </c>
      <c r="AE300" s="70">
        <f t="shared" si="696"/>
        <v>0</v>
      </c>
      <c r="AF300" s="475">
        <v>0</v>
      </c>
      <c r="AG300" s="475">
        <v>0</v>
      </c>
      <c r="AH300" s="475">
        <f t="shared" si="697"/>
        <v>0</v>
      </c>
      <c r="AI300" s="475">
        <f t="shared" si="698"/>
        <v>0</v>
      </c>
      <c r="AJ300" s="476">
        <v>0</v>
      </c>
      <c r="AK300" s="476">
        <v>0</v>
      </c>
      <c r="AL300" s="476">
        <v>0</v>
      </c>
      <c r="AM300" s="476">
        <v>0</v>
      </c>
      <c r="AN300" s="476">
        <v>0</v>
      </c>
      <c r="AO300" s="476">
        <v>0</v>
      </c>
      <c r="AP300" s="476">
        <v>0</v>
      </c>
      <c r="AQ300" s="476">
        <v>0</v>
      </c>
      <c r="AR300" s="476">
        <f t="shared" si="625"/>
        <v>0</v>
      </c>
      <c r="AS300" s="476">
        <f t="shared" si="626"/>
        <v>0</v>
      </c>
      <c r="AT300" s="478">
        <f t="shared" si="627"/>
        <v>0</v>
      </c>
      <c r="AU300" s="484">
        <f t="shared" si="699"/>
        <v>4461430</v>
      </c>
      <c r="AV300" s="475">
        <f t="shared" si="700"/>
        <v>3190859</v>
      </c>
      <c r="AW300" s="475">
        <f t="shared" si="701"/>
        <v>23000</v>
      </c>
      <c r="AX300" s="475">
        <f t="shared" si="702"/>
        <v>1086284</v>
      </c>
      <c r="AY300" s="475">
        <f t="shared" si="702"/>
        <v>63817</v>
      </c>
      <c r="AZ300" s="475">
        <f t="shared" si="703"/>
        <v>97470</v>
      </c>
      <c r="BA300" s="476">
        <f t="shared" si="704"/>
        <v>6.1930000000000005</v>
      </c>
      <c r="BB300" s="476">
        <f t="shared" si="705"/>
        <v>3.9600000000000004</v>
      </c>
      <c r="BC300" s="478">
        <f t="shared" si="705"/>
        <v>2.2330000000000001</v>
      </c>
    </row>
    <row r="301" spans="1:55" ht="14.1" customHeight="1" x14ac:dyDescent="0.2">
      <c r="A301" s="68">
        <v>61</v>
      </c>
      <c r="B301" s="65">
        <v>2444</v>
      </c>
      <c r="C301" s="66">
        <v>600079848</v>
      </c>
      <c r="D301" s="65">
        <v>72742836</v>
      </c>
      <c r="E301" s="67" t="s">
        <v>688</v>
      </c>
      <c r="F301" s="68">
        <v>3117</v>
      </c>
      <c r="G301" s="80" t="s">
        <v>312</v>
      </c>
      <c r="H301" s="69" t="s">
        <v>278</v>
      </c>
      <c r="I301" s="477">
        <v>411664</v>
      </c>
      <c r="J301" s="472">
        <v>302219</v>
      </c>
      <c r="K301" s="472">
        <v>0</v>
      </c>
      <c r="L301" s="472">
        <v>102150</v>
      </c>
      <c r="M301" s="472">
        <v>6045</v>
      </c>
      <c r="N301" s="472">
        <v>1250</v>
      </c>
      <c r="O301" s="473">
        <v>0.17</v>
      </c>
      <c r="P301" s="474">
        <v>0.17</v>
      </c>
      <c r="Q301" s="483">
        <v>0</v>
      </c>
      <c r="R301" s="485">
        <f t="shared" si="691"/>
        <v>0</v>
      </c>
      <c r="S301" s="475">
        <v>0</v>
      </c>
      <c r="T301" s="475">
        <v>0</v>
      </c>
      <c r="U301" s="475">
        <v>0</v>
      </c>
      <c r="V301" s="475">
        <v>0</v>
      </c>
      <c r="W301" s="475">
        <v>0</v>
      </c>
      <c r="X301" s="475">
        <f t="shared" si="692"/>
        <v>0</v>
      </c>
      <c r="Y301" s="475">
        <v>0</v>
      </c>
      <c r="Z301" s="475">
        <v>0</v>
      </c>
      <c r="AA301" s="475">
        <v>0</v>
      </c>
      <c r="AB301" s="475">
        <f t="shared" si="693"/>
        <v>0</v>
      </c>
      <c r="AC301" s="475">
        <f t="shared" si="694"/>
        <v>0</v>
      </c>
      <c r="AD301" s="70">
        <f t="shared" si="695"/>
        <v>0</v>
      </c>
      <c r="AE301" s="70">
        <f t="shared" si="696"/>
        <v>0</v>
      </c>
      <c r="AF301" s="475">
        <v>0</v>
      </c>
      <c r="AG301" s="475">
        <v>0</v>
      </c>
      <c r="AH301" s="475">
        <f t="shared" si="697"/>
        <v>0</v>
      </c>
      <c r="AI301" s="475">
        <f t="shared" si="698"/>
        <v>0</v>
      </c>
      <c r="AJ301" s="476">
        <v>0</v>
      </c>
      <c r="AK301" s="476">
        <v>0</v>
      </c>
      <c r="AL301" s="476">
        <v>0</v>
      </c>
      <c r="AM301" s="476">
        <v>0</v>
      </c>
      <c r="AN301" s="476">
        <v>0</v>
      </c>
      <c r="AO301" s="476">
        <v>0</v>
      </c>
      <c r="AP301" s="476">
        <v>0</v>
      </c>
      <c r="AQ301" s="476">
        <v>0</v>
      </c>
      <c r="AR301" s="476">
        <f t="shared" si="625"/>
        <v>0</v>
      </c>
      <c r="AS301" s="476">
        <f t="shared" si="626"/>
        <v>0</v>
      </c>
      <c r="AT301" s="478">
        <f t="shared" si="627"/>
        <v>0</v>
      </c>
      <c r="AU301" s="484">
        <f t="shared" si="699"/>
        <v>411664</v>
      </c>
      <c r="AV301" s="475">
        <f t="shared" si="700"/>
        <v>302219</v>
      </c>
      <c r="AW301" s="475">
        <f t="shared" si="701"/>
        <v>0</v>
      </c>
      <c r="AX301" s="475">
        <f t="shared" si="702"/>
        <v>102150</v>
      </c>
      <c r="AY301" s="475">
        <f t="shared" si="702"/>
        <v>6045</v>
      </c>
      <c r="AZ301" s="475">
        <f t="shared" si="703"/>
        <v>1250</v>
      </c>
      <c r="BA301" s="476">
        <f t="shared" si="704"/>
        <v>0.17</v>
      </c>
      <c r="BB301" s="476">
        <f t="shared" si="705"/>
        <v>0.17</v>
      </c>
      <c r="BC301" s="478">
        <f t="shared" si="705"/>
        <v>0</v>
      </c>
    </row>
    <row r="302" spans="1:55" ht="14.1" customHeight="1" x14ac:dyDescent="0.2">
      <c r="A302" s="68">
        <v>61</v>
      </c>
      <c r="B302" s="65">
        <v>2444</v>
      </c>
      <c r="C302" s="66">
        <v>600079848</v>
      </c>
      <c r="D302" s="65">
        <v>72742836</v>
      </c>
      <c r="E302" s="67" t="s">
        <v>688</v>
      </c>
      <c r="F302" s="68">
        <v>3141</v>
      </c>
      <c r="G302" s="67" t="s">
        <v>315</v>
      </c>
      <c r="H302" s="69" t="s">
        <v>278</v>
      </c>
      <c r="I302" s="477">
        <v>1287176</v>
      </c>
      <c r="J302" s="472">
        <v>943191</v>
      </c>
      <c r="K302" s="472">
        <v>0</v>
      </c>
      <c r="L302" s="472">
        <v>318799</v>
      </c>
      <c r="M302" s="472">
        <v>18864</v>
      </c>
      <c r="N302" s="472">
        <v>6322</v>
      </c>
      <c r="O302" s="473">
        <v>2.97</v>
      </c>
      <c r="P302" s="474">
        <v>0</v>
      </c>
      <c r="Q302" s="483">
        <v>2.97</v>
      </c>
      <c r="R302" s="485">
        <f t="shared" si="691"/>
        <v>0</v>
      </c>
      <c r="S302" s="475">
        <v>0</v>
      </c>
      <c r="T302" s="755">
        <v>4998</v>
      </c>
      <c r="U302" s="475">
        <v>0</v>
      </c>
      <c r="V302" s="475">
        <v>0</v>
      </c>
      <c r="W302" s="475">
        <v>0</v>
      </c>
      <c r="X302" s="475">
        <f t="shared" si="692"/>
        <v>4998</v>
      </c>
      <c r="Y302" s="475">
        <v>0</v>
      </c>
      <c r="Z302" s="475">
        <v>0</v>
      </c>
      <c r="AA302" s="475">
        <v>0</v>
      </c>
      <c r="AB302" s="475">
        <f t="shared" si="693"/>
        <v>0</v>
      </c>
      <c r="AC302" s="475">
        <f t="shared" si="694"/>
        <v>4998</v>
      </c>
      <c r="AD302" s="70">
        <f t="shared" si="695"/>
        <v>1689</v>
      </c>
      <c r="AE302" s="70">
        <f t="shared" si="696"/>
        <v>100</v>
      </c>
      <c r="AF302" s="475">
        <v>0</v>
      </c>
      <c r="AG302" s="475">
        <v>0</v>
      </c>
      <c r="AH302" s="475">
        <f t="shared" si="697"/>
        <v>0</v>
      </c>
      <c r="AI302" s="475">
        <f t="shared" si="698"/>
        <v>6787</v>
      </c>
      <c r="AJ302" s="476">
        <v>0</v>
      </c>
      <c r="AK302" s="476">
        <v>0</v>
      </c>
      <c r="AL302" s="476">
        <v>0</v>
      </c>
      <c r="AM302" s="476">
        <v>0</v>
      </c>
      <c r="AN302" s="756">
        <v>2.0000000000000018E-2</v>
      </c>
      <c r="AO302" s="476">
        <v>0</v>
      </c>
      <c r="AP302" s="476">
        <v>0</v>
      </c>
      <c r="AQ302" s="476">
        <v>0</v>
      </c>
      <c r="AR302" s="476">
        <f t="shared" si="625"/>
        <v>0</v>
      </c>
      <c r="AS302" s="476">
        <f t="shared" si="626"/>
        <v>2.0000000000000018E-2</v>
      </c>
      <c r="AT302" s="478">
        <f t="shared" si="627"/>
        <v>2.0000000000000018E-2</v>
      </c>
      <c r="AU302" s="484">
        <f t="shared" si="699"/>
        <v>1293963</v>
      </c>
      <c r="AV302" s="475">
        <f t="shared" si="700"/>
        <v>948189</v>
      </c>
      <c r="AW302" s="475">
        <f t="shared" si="701"/>
        <v>0</v>
      </c>
      <c r="AX302" s="475">
        <f t="shared" si="702"/>
        <v>320488</v>
      </c>
      <c r="AY302" s="475">
        <f t="shared" si="702"/>
        <v>18964</v>
      </c>
      <c r="AZ302" s="475">
        <f t="shared" si="703"/>
        <v>6322</v>
      </c>
      <c r="BA302" s="476">
        <f t="shared" si="704"/>
        <v>2.99</v>
      </c>
      <c r="BB302" s="476">
        <f t="shared" si="705"/>
        <v>0</v>
      </c>
      <c r="BC302" s="478">
        <f t="shared" si="705"/>
        <v>2.99</v>
      </c>
    </row>
    <row r="303" spans="1:55" ht="14.1" customHeight="1" x14ac:dyDescent="0.2">
      <c r="A303" s="68">
        <v>61</v>
      </c>
      <c r="B303" s="65">
        <v>2444</v>
      </c>
      <c r="C303" s="66">
        <v>600079848</v>
      </c>
      <c r="D303" s="65">
        <v>72742836</v>
      </c>
      <c r="E303" s="67" t="s">
        <v>688</v>
      </c>
      <c r="F303" s="68">
        <v>3143</v>
      </c>
      <c r="G303" s="80" t="s">
        <v>626</v>
      </c>
      <c r="H303" s="69" t="s">
        <v>277</v>
      </c>
      <c r="I303" s="477">
        <v>738607</v>
      </c>
      <c r="J303" s="472">
        <v>543893</v>
      </c>
      <c r="K303" s="472">
        <v>0</v>
      </c>
      <c r="L303" s="472">
        <v>183836</v>
      </c>
      <c r="M303" s="472">
        <v>10878</v>
      </c>
      <c r="N303" s="472">
        <v>0</v>
      </c>
      <c r="O303" s="473">
        <v>1</v>
      </c>
      <c r="P303" s="473">
        <v>1</v>
      </c>
      <c r="Q303" s="483">
        <v>0</v>
      </c>
      <c r="R303" s="485">
        <f t="shared" si="691"/>
        <v>0</v>
      </c>
      <c r="S303" s="475">
        <v>0</v>
      </c>
      <c r="T303" s="475">
        <v>0</v>
      </c>
      <c r="U303" s="475">
        <v>0</v>
      </c>
      <c r="V303" s="475">
        <v>0</v>
      </c>
      <c r="W303" s="475">
        <v>0</v>
      </c>
      <c r="X303" s="475">
        <f t="shared" si="692"/>
        <v>0</v>
      </c>
      <c r="Y303" s="475">
        <v>0</v>
      </c>
      <c r="Z303" s="475">
        <v>0</v>
      </c>
      <c r="AA303" s="475">
        <v>0</v>
      </c>
      <c r="AB303" s="475">
        <f t="shared" si="693"/>
        <v>0</v>
      </c>
      <c r="AC303" s="475">
        <f t="shared" si="694"/>
        <v>0</v>
      </c>
      <c r="AD303" s="70">
        <f t="shared" si="695"/>
        <v>0</v>
      </c>
      <c r="AE303" s="70">
        <f t="shared" si="696"/>
        <v>0</v>
      </c>
      <c r="AF303" s="475">
        <v>0</v>
      </c>
      <c r="AG303" s="475">
        <v>0</v>
      </c>
      <c r="AH303" s="475">
        <f t="shared" si="697"/>
        <v>0</v>
      </c>
      <c r="AI303" s="475">
        <f t="shared" si="698"/>
        <v>0</v>
      </c>
      <c r="AJ303" s="476">
        <v>0</v>
      </c>
      <c r="AK303" s="476">
        <v>0</v>
      </c>
      <c r="AL303" s="476">
        <v>0</v>
      </c>
      <c r="AM303" s="476">
        <v>0</v>
      </c>
      <c r="AN303" s="476">
        <v>0</v>
      </c>
      <c r="AO303" s="476">
        <v>0</v>
      </c>
      <c r="AP303" s="476">
        <v>0</v>
      </c>
      <c r="AQ303" s="476">
        <v>0</v>
      </c>
      <c r="AR303" s="476">
        <f t="shared" si="625"/>
        <v>0</v>
      </c>
      <c r="AS303" s="476">
        <f t="shared" si="626"/>
        <v>0</v>
      </c>
      <c r="AT303" s="478">
        <f t="shared" si="627"/>
        <v>0</v>
      </c>
      <c r="AU303" s="484">
        <f t="shared" si="699"/>
        <v>738607</v>
      </c>
      <c r="AV303" s="475">
        <f t="shared" si="700"/>
        <v>543893</v>
      </c>
      <c r="AW303" s="475">
        <f t="shared" si="701"/>
        <v>0</v>
      </c>
      <c r="AX303" s="475">
        <f t="shared" si="702"/>
        <v>183836</v>
      </c>
      <c r="AY303" s="475">
        <f t="shared" si="702"/>
        <v>10878</v>
      </c>
      <c r="AZ303" s="475">
        <f t="shared" si="703"/>
        <v>0</v>
      </c>
      <c r="BA303" s="476">
        <f t="shared" si="704"/>
        <v>1</v>
      </c>
      <c r="BB303" s="476">
        <f t="shared" si="705"/>
        <v>1</v>
      </c>
      <c r="BC303" s="478">
        <f t="shared" si="705"/>
        <v>0</v>
      </c>
    </row>
    <row r="304" spans="1:55" ht="14.1" customHeight="1" x14ac:dyDescent="0.2">
      <c r="A304" s="68">
        <v>61</v>
      </c>
      <c r="B304" s="65">
        <v>2444</v>
      </c>
      <c r="C304" s="66">
        <v>600079848</v>
      </c>
      <c r="D304" s="65">
        <v>72742836</v>
      </c>
      <c r="E304" s="67" t="s">
        <v>688</v>
      </c>
      <c r="F304" s="68">
        <v>3143</v>
      </c>
      <c r="G304" s="80" t="s">
        <v>627</v>
      </c>
      <c r="H304" s="69" t="s">
        <v>278</v>
      </c>
      <c r="I304" s="477">
        <v>22680</v>
      </c>
      <c r="J304" s="472">
        <v>16038</v>
      </c>
      <c r="K304" s="472">
        <v>0</v>
      </c>
      <c r="L304" s="472">
        <v>5421</v>
      </c>
      <c r="M304" s="472">
        <v>321</v>
      </c>
      <c r="N304" s="472">
        <v>900</v>
      </c>
      <c r="O304" s="473">
        <v>0.06</v>
      </c>
      <c r="P304" s="474">
        <v>0</v>
      </c>
      <c r="Q304" s="483">
        <v>0.06</v>
      </c>
      <c r="R304" s="485">
        <f t="shared" si="691"/>
        <v>0</v>
      </c>
      <c r="S304" s="475">
        <v>0</v>
      </c>
      <c r="T304" s="475">
        <v>0</v>
      </c>
      <c r="U304" s="475">
        <v>0</v>
      </c>
      <c r="V304" s="475">
        <v>0</v>
      </c>
      <c r="W304" s="475">
        <v>0</v>
      </c>
      <c r="X304" s="475">
        <f t="shared" si="692"/>
        <v>0</v>
      </c>
      <c r="Y304" s="475">
        <v>0</v>
      </c>
      <c r="Z304" s="475">
        <v>0</v>
      </c>
      <c r="AA304" s="475">
        <v>0</v>
      </c>
      <c r="AB304" s="475">
        <f t="shared" si="693"/>
        <v>0</v>
      </c>
      <c r="AC304" s="475">
        <f t="shared" si="694"/>
        <v>0</v>
      </c>
      <c r="AD304" s="70">
        <f t="shared" si="695"/>
        <v>0</v>
      </c>
      <c r="AE304" s="70">
        <f t="shared" si="696"/>
        <v>0</v>
      </c>
      <c r="AF304" s="475">
        <v>0</v>
      </c>
      <c r="AG304" s="475">
        <v>0</v>
      </c>
      <c r="AH304" s="475">
        <f t="shared" si="697"/>
        <v>0</v>
      </c>
      <c r="AI304" s="475">
        <f t="shared" si="698"/>
        <v>0</v>
      </c>
      <c r="AJ304" s="476">
        <v>0</v>
      </c>
      <c r="AK304" s="476">
        <v>0</v>
      </c>
      <c r="AL304" s="476">
        <v>0</v>
      </c>
      <c r="AM304" s="476">
        <v>0</v>
      </c>
      <c r="AN304" s="476">
        <v>0</v>
      </c>
      <c r="AO304" s="476">
        <v>0</v>
      </c>
      <c r="AP304" s="476">
        <v>0</v>
      </c>
      <c r="AQ304" s="476">
        <v>0</v>
      </c>
      <c r="AR304" s="476">
        <f t="shared" si="625"/>
        <v>0</v>
      </c>
      <c r="AS304" s="476">
        <f t="shared" si="626"/>
        <v>0</v>
      </c>
      <c r="AT304" s="478">
        <f t="shared" si="627"/>
        <v>0</v>
      </c>
      <c r="AU304" s="484">
        <f t="shared" si="699"/>
        <v>22680</v>
      </c>
      <c r="AV304" s="475">
        <f t="shared" si="700"/>
        <v>16038</v>
      </c>
      <c r="AW304" s="475">
        <f t="shared" si="701"/>
        <v>0</v>
      </c>
      <c r="AX304" s="475">
        <f t="shared" si="702"/>
        <v>5421</v>
      </c>
      <c r="AY304" s="475">
        <f t="shared" si="702"/>
        <v>321</v>
      </c>
      <c r="AZ304" s="475">
        <f t="shared" si="703"/>
        <v>900</v>
      </c>
      <c r="BA304" s="476">
        <f t="shared" si="704"/>
        <v>0.06</v>
      </c>
      <c r="BB304" s="476">
        <f t="shared" si="705"/>
        <v>0</v>
      </c>
      <c r="BC304" s="478">
        <f t="shared" si="705"/>
        <v>0.06</v>
      </c>
    </row>
    <row r="305" spans="1:55" ht="14.1" customHeight="1" x14ac:dyDescent="0.2">
      <c r="A305" s="74">
        <v>61</v>
      </c>
      <c r="B305" s="71">
        <v>2444</v>
      </c>
      <c r="C305" s="72">
        <v>600079848</v>
      </c>
      <c r="D305" s="71">
        <v>72742836</v>
      </c>
      <c r="E305" s="73" t="s">
        <v>689</v>
      </c>
      <c r="F305" s="74"/>
      <c r="G305" s="73"/>
      <c r="H305" s="75"/>
      <c r="I305" s="76">
        <v>11212953</v>
      </c>
      <c r="J305" s="77">
        <v>8094717</v>
      </c>
      <c r="K305" s="77">
        <v>68000</v>
      </c>
      <c r="L305" s="77">
        <v>2758999</v>
      </c>
      <c r="M305" s="77">
        <v>161895</v>
      </c>
      <c r="N305" s="77">
        <v>129342</v>
      </c>
      <c r="O305" s="78">
        <v>17.675799999999999</v>
      </c>
      <c r="P305" s="78">
        <v>11.030000000000001</v>
      </c>
      <c r="Q305" s="718">
        <v>6.6458000000000004</v>
      </c>
      <c r="R305" s="76">
        <f t="shared" ref="R305:BC305" si="706">SUM(R299:R304)</f>
        <v>0</v>
      </c>
      <c r="S305" s="77">
        <f t="shared" si="706"/>
        <v>0</v>
      </c>
      <c r="T305" s="77">
        <f t="shared" si="706"/>
        <v>4998</v>
      </c>
      <c r="U305" s="77">
        <f t="shared" si="706"/>
        <v>0</v>
      </c>
      <c r="V305" s="77">
        <f t="shared" si="706"/>
        <v>0</v>
      </c>
      <c r="W305" s="77">
        <f t="shared" si="706"/>
        <v>0</v>
      </c>
      <c r="X305" s="77">
        <f t="shared" si="706"/>
        <v>4998</v>
      </c>
      <c r="Y305" s="77">
        <f t="shared" si="706"/>
        <v>0</v>
      </c>
      <c r="Z305" s="77">
        <f t="shared" si="706"/>
        <v>0</v>
      </c>
      <c r="AA305" s="77">
        <f t="shared" si="706"/>
        <v>0</v>
      </c>
      <c r="AB305" s="77">
        <f t="shared" si="706"/>
        <v>0</v>
      </c>
      <c r="AC305" s="77">
        <f t="shared" si="706"/>
        <v>4998</v>
      </c>
      <c r="AD305" s="77">
        <f t="shared" si="706"/>
        <v>1689</v>
      </c>
      <c r="AE305" s="77">
        <f t="shared" si="706"/>
        <v>100</v>
      </c>
      <c r="AF305" s="77">
        <f t="shared" si="706"/>
        <v>0</v>
      </c>
      <c r="AG305" s="77">
        <f t="shared" si="706"/>
        <v>0</v>
      </c>
      <c r="AH305" s="77">
        <f t="shared" si="706"/>
        <v>0</v>
      </c>
      <c r="AI305" s="77">
        <f t="shared" si="706"/>
        <v>6787</v>
      </c>
      <c r="AJ305" s="78">
        <f t="shared" si="706"/>
        <v>0</v>
      </c>
      <c r="AK305" s="78">
        <f t="shared" si="706"/>
        <v>0</v>
      </c>
      <c r="AL305" s="78">
        <f t="shared" si="706"/>
        <v>0</v>
      </c>
      <c r="AM305" s="78">
        <f t="shared" si="706"/>
        <v>0</v>
      </c>
      <c r="AN305" s="78">
        <f t="shared" si="706"/>
        <v>2.0000000000000018E-2</v>
      </c>
      <c r="AO305" s="78">
        <f t="shared" si="706"/>
        <v>0</v>
      </c>
      <c r="AP305" s="78">
        <f t="shared" si="706"/>
        <v>0</v>
      </c>
      <c r="AQ305" s="78">
        <f t="shared" si="706"/>
        <v>0</v>
      </c>
      <c r="AR305" s="78">
        <f t="shared" si="706"/>
        <v>0</v>
      </c>
      <c r="AS305" s="78">
        <f t="shared" si="706"/>
        <v>2.0000000000000018E-2</v>
      </c>
      <c r="AT305" s="79">
        <f t="shared" si="706"/>
        <v>2.0000000000000018E-2</v>
      </c>
      <c r="AU305" s="433">
        <f t="shared" si="706"/>
        <v>11219740</v>
      </c>
      <c r="AV305" s="77">
        <f t="shared" si="706"/>
        <v>8099715</v>
      </c>
      <c r="AW305" s="77">
        <f t="shared" si="706"/>
        <v>68000</v>
      </c>
      <c r="AX305" s="77">
        <f t="shared" si="706"/>
        <v>2760688</v>
      </c>
      <c r="AY305" s="77">
        <f t="shared" si="706"/>
        <v>161995</v>
      </c>
      <c r="AZ305" s="77">
        <f t="shared" si="706"/>
        <v>129342</v>
      </c>
      <c r="BA305" s="78">
        <f t="shared" si="706"/>
        <v>17.695799999999998</v>
      </c>
      <c r="BB305" s="78">
        <f t="shared" si="706"/>
        <v>11.030000000000001</v>
      </c>
      <c r="BC305" s="79">
        <f t="shared" si="706"/>
        <v>6.6657999999999999</v>
      </c>
    </row>
    <row r="306" spans="1:55" ht="14.1" customHeight="1" x14ac:dyDescent="0.2">
      <c r="A306" s="68">
        <v>62</v>
      </c>
      <c r="B306" s="65">
        <v>2457</v>
      </c>
      <c r="C306" s="66">
        <v>650021479</v>
      </c>
      <c r="D306" s="65">
        <v>72742577</v>
      </c>
      <c r="E306" s="67" t="s">
        <v>690</v>
      </c>
      <c r="F306" s="68">
        <v>3111</v>
      </c>
      <c r="G306" s="67" t="s">
        <v>311</v>
      </c>
      <c r="H306" s="69" t="s">
        <v>277</v>
      </c>
      <c r="I306" s="477">
        <v>1406221</v>
      </c>
      <c r="J306" s="472">
        <v>1028881</v>
      </c>
      <c r="K306" s="472">
        <v>0</v>
      </c>
      <c r="L306" s="472">
        <v>347762</v>
      </c>
      <c r="M306" s="472">
        <v>20578</v>
      </c>
      <c r="N306" s="472">
        <v>9000</v>
      </c>
      <c r="O306" s="473">
        <v>2.4009</v>
      </c>
      <c r="P306" s="473">
        <v>1.94</v>
      </c>
      <c r="Q306" s="483">
        <v>0.46089999999999998</v>
      </c>
      <c r="R306" s="485">
        <f t="shared" ref="R306:R311" si="707">Y306*-1</f>
        <v>0</v>
      </c>
      <c r="S306" s="475">
        <v>0</v>
      </c>
      <c r="T306" s="475">
        <v>0</v>
      </c>
      <c r="U306" s="475">
        <v>0</v>
      </c>
      <c r="V306" s="475">
        <v>0</v>
      </c>
      <c r="W306" s="475">
        <v>0</v>
      </c>
      <c r="X306" s="475">
        <f t="shared" ref="X306:X311" si="708">SUM(R306:W306)</f>
        <v>0</v>
      </c>
      <c r="Y306" s="475">
        <v>0</v>
      </c>
      <c r="Z306" s="475">
        <v>0</v>
      </c>
      <c r="AA306" s="475">
        <v>0</v>
      </c>
      <c r="AB306" s="475">
        <f t="shared" ref="AB306:AB311" si="709">SUM(Y306:AA306)</f>
        <v>0</v>
      </c>
      <c r="AC306" s="475">
        <f t="shared" ref="AC306:AC311" si="710">X306+AB306</f>
        <v>0</v>
      </c>
      <c r="AD306" s="70">
        <f t="shared" ref="AD306:AD311" si="711">ROUND((X306+Y306+Z306)*33.8%,0)</f>
        <v>0</v>
      </c>
      <c r="AE306" s="70">
        <f t="shared" ref="AE306:AE311" si="712">ROUND(X306*2%,0)</f>
        <v>0</v>
      </c>
      <c r="AF306" s="475">
        <v>0</v>
      </c>
      <c r="AG306" s="475">
        <v>0</v>
      </c>
      <c r="AH306" s="475">
        <f t="shared" ref="AH306:AH311" si="713">SUM(AF306:AG306)</f>
        <v>0</v>
      </c>
      <c r="AI306" s="475">
        <f t="shared" ref="AI306:AI311" si="714">AC306+AD306+AE306+AH306</f>
        <v>0</v>
      </c>
      <c r="AJ306" s="476">
        <v>0</v>
      </c>
      <c r="AK306" s="476">
        <v>0</v>
      </c>
      <c r="AL306" s="476">
        <v>0</v>
      </c>
      <c r="AM306" s="476">
        <v>0</v>
      </c>
      <c r="AN306" s="476">
        <v>0</v>
      </c>
      <c r="AO306" s="476">
        <v>0</v>
      </c>
      <c r="AP306" s="476">
        <v>0</v>
      </c>
      <c r="AQ306" s="476">
        <v>0</v>
      </c>
      <c r="AR306" s="476">
        <f t="shared" si="625"/>
        <v>0</v>
      </c>
      <c r="AS306" s="476">
        <f t="shared" si="626"/>
        <v>0</v>
      </c>
      <c r="AT306" s="478">
        <f t="shared" si="627"/>
        <v>0</v>
      </c>
      <c r="AU306" s="484">
        <f t="shared" ref="AU306:AU311" si="715">I306+AI306</f>
        <v>1406221</v>
      </c>
      <c r="AV306" s="475">
        <f t="shared" ref="AV306:AV311" si="716">J306+X306</f>
        <v>1028881</v>
      </c>
      <c r="AW306" s="475">
        <f t="shared" ref="AW306:AW311" si="717">K306+AB306</f>
        <v>0</v>
      </c>
      <c r="AX306" s="475">
        <f t="shared" ref="AX306:AY311" si="718">L306+AD306</f>
        <v>347762</v>
      </c>
      <c r="AY306" s="475">
        <f t="shared" si="718"/>
        <v>20578</v>
      </c>
      <c r="AZ306" s="475">
        <f t="shared" ref="AZ306:AZ311" si="719">N306+AH306</f>
        <v>9000</v>
      </c>
      <c r="BA306" s="476">
        <f t="shared" ref="BA306:BA311" si="720">O306+AT306</f>
        <v>2.4009</v>
      </c>
      <c r="BB306" s="476">
        <f t="shared" ref="BB306:BC311" si="721">P306+AR306</f>
        <v>1.94</v>
      </c>
      <c r="BC306" s="478">
        <f t="shared" si="721"/>
        <v>0.46089999999999998</v>
      </c>
    </row>
    <row r="307" spans="1:55" ht="14.1" customHeight="1" x14ac:dyDescent="0.2">
      <c r="A307" s="68">
        <v>62</v>
      </c>
      <c r="B307" s="65">
        <v>2457</v>
      </c>
      <c r="C307" s="66">
        <v>650021479</v>
      </c>
      <c r="D307" s="65">
        <v>72742577</v>
      </c>
      <c r="E307" s="67" t="s">
        <v>690</v>
      </c>
      <c r="F307" s="68">
        <v>3117</v>
      </c>
      <c r="G307" s="85" t="s">
        <v>314</v>
      </c>
      <c r="H307" s="69" t="s">
        <v>277</v>
      </c>
      <c r="I307" s="477">
        <v>1679855</v>
      </c>
      <c r="J307" s="472">
        <v>1220637</v>
      </c>
      <c r="K307" s="472">
        <v>0</v>
      </c>
      <c r="L307" s="472">
        <v>412575</v>
      </c>
      <c r="M307" s="472">
        <v>24413</v>
      </c>
      <c r="N307" s="472">
        <v>22230</v>
      </c>
      <c r="O307" s="473">
        <v>2.3031000000000001</v>
      </c>
      <c r="P307" s="473">
        <v>1.54</v>
      </c>
      <c r="Q307" s="483">
        <v>0.76310000000000011</v>
      </c>
      <c r="R307" s="485">
        <f t="shared" si="707"/>
        <v>0</v>
      </c>
      <c r="S307" s="475">
        <v>0</v>
      </c>
      <c r="T307" s="475">
        <v>0</v>
      </c>
      <c r="U307" s="475">
        <v>0</v>
      </c>
      <c r="V307" s="475">
        <v>0</v>
      </c>
      <c r="W307" s="475">
        <v>0</v>
      </c>
      <c r="X307" s="475">
        <f t="shared" si="708"/>
        <v>0</v>
      </c>
      <c r="Y307" s="475">
        <v>0</v>
      </c>
      <c r="Z307" s="475">
        <v>0</v>
      </c>
      <c r="AA307" s="475">
        <v>0</v>
      </c>
      <c r="AB307" s="475">
        <f t="shared" si="709"/>
        <v>0</v>
      </c>
      <c r="AC307" s="475">
        <f t="shared" si="710"/>
        <v>0</v>
      </c>
      <c r="AD307" s="70">
        <f t="shared" si="711"/>
        <v>0</v>
      </c>
      <c r="AE307" s="70">
        <f t="shared" si="712"/>
        <v>0</v>
      </c>
      <c r="AF307" s="475">
        <v>0</v>
      </c>
      <c r="AG307" s="475">
        <v>0</v>
      </c>
      <c r="AH307" s="475">
        <f t="shared" si="713"/>
        <v>0</v>
      </c>
      <c r="AI307" s="475">
        <f t="shared" si="714"/>
        <v>0</v>
      </c>
      <c r="AJ307" s="476">
        <v>0</v>
      </c>
      <c r="AK307" s="476">
        <v>0</v>
      </c>
      <c r="AL307" s="476">
        <v>0</v>
      </c>
      <c r="AM307" s="476">
        <v>0</v>
      </c>
      <c r="AN307" s="476">
        <v>0</v>
      </c>
      <c r="AO307" s="476">
        <v>0</v>
      </c>
      <c r="AP307" s="476">
        <v>0</v>
      </c>
      <c r="AQ307" s="476">
        <v>0</v>
      </c>
      <c r="AR307" s="476">
        <f t="shared" si="625"/>
        <v>0</v>
      </c>
      <c r="AS307" s="476">
        <f t="shared" si="626"/>
        <v>0</v>
      </c>
      <c r="AT307" s="478">
        <f t="shared" si="627"/>
        <v>0</v>
      </c>
      <c r="AU307" s="484">
        <f t="shared" si="715"/>
        <v>1679855</v>
      </c>
      <c r="AV307" s="475">
        <f t="shared" si="716"/>
        <v>1220637</v>
      </c>
      <c r="AW307" s="475">
        <f t="shared" si="717"/>
        <v>0</v>
      </c>
      <c r="AX307" s="475">
        <f t="shared" si="718"/>
        <v>412575</v>
      </c>
      <c r="AY307" s="475">
        <f t="shared" si="718"/>
        <v>24413</v>
      </c>
      <c r="AZ307" s="475">
        <f t="shared" si="719"/>
        <v>22230</v>
      </c>
      <c r="BA307" s="476">
        <f t="shared" si="720"/>
        <v>2.3031000000000001</v>
      </c>
      <c r="BB307" s="476">
        <f t="shared" si="721"/>
        <v>1.54</v>
      </c>
      <c r="BC307" s="478">
        <f t="shared" si="721"/>
        <v>0.76310000000000011</v>
      </c>
    </row>
    <row r="308" spans="1:55" ht="14.1" customHeight="1" x14ac:dyDescent="0.2">
      <c r="A308" s="68">
        <v>62</v>
      </c>
      <c r="B308" s="65">
        <v>2457</v>
      </c>
      <c r="C308" s="66">
        <v>650021479</v>
      </c>
      <c r="D308" s="65">
        <v>72742577</v>
      </c>
      <c r="E308" s="67" t="s">
        <v>690</v>
      </c>
      <c r="F308" s="68">
        <v>3117</v>
      </c>
      <c r="G308" s="80" t="s">
        <v>312</v>
      </c>
      <c r="H308" s="69" t="s">
        <v>278</v>
      </c>
      <c r="I308" s="477">
        <v>0</v>
      </c>
      <c r="J308" s="472">
        <v>0</v>
      </c>
      <c r="K308" s="472">
        <v>0</v>
      </c>
      <c r="L308" s="472">
        <v>0</v>
      </c>
      <c r="M308" s="472">
        <v>0</v>
      </c>
      <c r="N308" s="472">
        <v>0</v>
      </c>
      <c r="O308" s="473">
        <v>0.69</v>
      </c>
      <c r="P308" s="474">
        <v>0.69</v>
      </c>
      <c r="Q308" s="483">
        <v>0</v>
      </c>
      <c r="R308" s="485">
        <f t="shared" si="707"/>
        <v>0</v>
      </c>
      <c r="S308" s="475">
        <v>0</v>
      </c>
      <c r="T308" s="475">
        <v>0</v>
      </c>
      <c r="U308" s="475">
        <v>0</v>
      </c>
      <c r="V308" s="475">
        <v>0</v>
      </c>
      <c r="W308" s="475">
        <v>0</v>
      </c>
      <c r="X308" s="475">
        <f t="shared" si="708"/>
        <v>0</v>
      </c>
      <c r="Y308" s="475">
        <v>0</v>
      </c>
      <c r="Z308" s="475">
        <v>0</v>
      </c>
      <c r="AA308" s="475">
        <v>0</v>
      </c>
      <c r="AB308" s="475">
        <f t="shared" si="709"/>
        <v>0</v>
      </c>
      <c r="AC308" s="475">
        <f t="shared" si="710"/>
        <v>0</v>
      </c>
      <c r="AD308" s="70">
        <f t="shared" si="711"/>
        <v>0</v>
      </c>
      <c r="AE308" s="70">
        <f t="shared" si="712"/>
        <v>0</v>
      </c>
      <c r="AF308" s="475">
        <v>0</v>
      </c>
      <c r="AG308" s="475">
        <v>0</v>
      </c>
      <c r="AH308" s="475">
        <f t="shared" si="713"/>
        <v>0</v>
      </c>
      <c r="AI308" s="475">
        <f t="shared" si="714"/>
        <v>0</v>
      </c>
      <c r="AJ308" s="476">
        <v>0</v>
      </c>
      <c r="AK308" s="476">
        <v>0</v>
      </c>
      <c r="AL308" s="476">
        <v>0</v>
      </c>
      <c r="AM308" s="476">
        <v>0</v>
      </c>
      <c r="AN308" s="476">
        <v>0</v>
      </c>
      <c r="AO308" s="476">
        <v>0</v>
      </c>
      <c r="AP308" s="476">
        <v>0</v>
      </c>
      <c r="AQ308" s="476">
        <v>0</v>
      </c>
      <c r="AR308" s="476">
        <f t="shared" si="625"/>
        <v>0</v>
      </c>
      <c r="AS308" s="476">
        <f t="shared" si="626"/>
        <v>0</v>
      </c>
      <c r="AT308" s="478">
        <f t="shared" si="627"/>
        <v>0</v>
      </c>
      <c r="AU308" s="484">
        <f t="shared" si="715"/>
        <v>0</v>
      </c>
      <c r="AV308" s="475">
        <f t="shared" si="716"/>
        <v>0</v>
      </c>
      <c r="AW308" s="475">
        <f t="shared" si="717"/>
        <v>0</v>
      </c>
      <c r="AX308" s="475">
        <f t="shared" si="718"/>
        <v>0</v>
      </c>
      <c r="AY308" s="475">
        <f t="shared" si="718"/>
        <v>0</v>
      </c>
      <c r="AZ308" s="475">
        <f t="shared" si="719"/>
        <v>0</v>
      </c>
      <c r="BA308" s="476">
        <f t="shared" si="720"/>
        <v>0.69</v>
      </c>
      <c r="BB308" s="476">
        <f t="shared" si="721"/>
        <v>0.69</v>
      </c>
      <c r="BC308" s="478">
        <f t="shared" si="721"/>
        <v>0</v>
      </c>
    </row>
    <row r="309" spans="1:55" ht="14.1" customHeight="1" x14ac:dyDescent="0.2">
      <c r="A309" s="68">
        <v>62</v>
      </c>
      <c r="B309" s="65">
        <v>2457</v>
      </c>
      <c r="C309" s="66">
        <v>650021479</v>
      </c>
      <c r="D309" s="65">
        <v>72742577</v>
      </c>
      <c r="E309" s="67" t="s">
        <v>690</v>
      </c>
      <c r="F309" s="68">
        <v>3141</v>
      </c>
      <c r="G309" s="67" t="s">
        <v>315</v>
      </c>
      <c r="H309" s="69" t="s">
        <v>278</v>
      </c>
      <c r="I309" s="477">
        <v>493916</v>
      </c>
      <c r="J309" s="472">
        <v>244109</v>
      </c>
      <c r="K309" s="472">
        <v>120000</v>
      </c>
      <c r="L309" s="472">
        <v>123069</v>
      </c>
      <c r="M309" s="472">
        <v>4882</v>
      </c>
      <c r="N309" s="472">
        <v>1856</v>
      </c>
      <c r="O309" s="473">
        <v>0.69999999999999984</v>
      </c>
      <c r="P309" s="474">
        <v>0</v>
      </c>
      <c r="Q309" s="483">
        <v>0.69999999999999984</v>
      </c>
      <c r="R309" s="485">
        <f t="shared" si="707"/>
        <v>0</v>
      </c>
      <c r="S309" s="475">
        <v>0</v>
      </c>
      <c r="T309" s="755">
        <v>-3437</v>
      </c>
      <c r="U309" s="475">
        <v>0</v>
      </c>
      <c r="V309" s="475">
        <v>0</v>
      </c>
      <c r="W309" s="475">
        <v>0</v>
      </c>
      <c r="X309" s="475">
        <f t="shared" si="708"/>
        <v>-3437</v>
      </c>
      <c r="Y309" s="475">
        <v>0</v>
      </c>
      <c r="Z309" s="475">
        <v>0</v>
      </c>
      <c r="AA309" s="475">
        <v>0</v>
      </c>
      <c r="AB309" s="475">
        <f t="shared" si="709"/>
        <v>0</v>
      </c>
      <c r="AC309" s="475">
        <f t="shared" si="710"/>
        <v>-3437</v>
      </c>
      <c r="AD309" s="70">
        <f t="shared" si="711"/>
        <v>-1162</v>
      </c>
      <c r="AE309" s="70">
        <f t="shared" si="712"/>
        <v>-69</v>
      </c>
      <c r="AF309" s="475">
        <v>0</v>
      </c>
      <c r="AG309" s="475">
        <v>0</v>
      </c>
      <c r="AH309" s="475">
        <f t="shared" si="713"/>
        <v>0</v>
      </c>
      <c r="AI309" s="475">
        <f t="shared" si="714"/>
        <v>-4668</v>
      </c>
      <c r="AJ309" s="476">
        <v>0</v>
      </c>
      <c r="AK309" s="476">
        <v>0</v>
      </c>
      <c r="AL309" s="476">
        <v>0</v>
      </c>
      <c r="AM309" s="476">
        <v>0</v>
      </c>
      <c r="AN309" s="756">
        <v>-1.0000000000000009E-2</v>
      </c>
      <c r="AO309" s="476">
        <v>0</v>
      </c>
      <c r="AP309" s="476">
        <v>0</v>
      </c>
      <c r="AQ309" s="476">
        <v>0</v>
      </c>
      <c r="AR309" s="476">
        <f t="shared" si="625"/>
        <v>0</v>
      </c>
      <c r="AS309" s="476">
        <f t="shared" si="626"/>
        <v>-1.0000000000000009E-2</v>
      </c>
      <c r="AT309" s="478">
        <f t="shared" si="627"/>
        <v>-1.0000000000000009E-2</v>
      </c>
      <c r="AU309" s="484">
        <f t="shared" si="715"/>
        <v>489248</v>
      </c>
      <c r="AV309" s="475">
        <f t="shared" si="716"/>
        <v>240672</v>
      </c>
      <c r="AW309" s="475">
        <f t="shared" si="717"/>
        <v>120000</v>
      </c>
      <c r="AX309" s="475">
        <f t="shared" si="718"/>
        <v>121907</v>
      </c>
      <c r="AY309" s="475">
        <f t="shared" si="718"/>
        <v>4813</v>
      </c>
      <c r="AZ309" s="475">
        <f t="shared" si="719"/>
        <v>1856</v>
      </c>
      <c r="BA309" s="476">
        <f t="shared" si="720"/>
        <v>0.68999999999999984</v>
      </c>
      <c r="BB309" s="476">
        <f t="shared" si="721"/>
        <v>0</v>
      </c>
      <c r="BC309" s="478">
        <f t="shared" si="721"/>
        <v>0.68999999999999984</v>
      </c>
    </row>
    <row r="310" spans="1:55" ht="14.1" customHeight="1" x14ac:dyDescent="0.2">
      <c r="A310" s="68">
        <v>62</v>
      </c>
      <c r="B310" s="65">
        <v>2457</v>
      </c>
      <c r="C310" s="66">
        <v>650021479</v>
      </c>
      <c r="D310" s="65">
        <v>72742577</v>
      </c>
      <c r="E310" s="67" t="s">
        <v>690</v>
      </c>
      <c r="F310" s="68">
        <v>3143</v>
      </c>
      <c r="G310" s="80" t="s">
        <v>626</v>
      </c>
      <c r="H310" s="69" t="s">
        <v>277</v>
      </c>
      <c r="I310" s="477">
        <v>64263</v>
      </c>
      <c r="J310" s="472">
        <v>47322</v>
      </c>
      <c r="K310" s="472">
        <v>0</v>
      </c>
      <c r="L310" s="472">
        <v>15995</v>
      </c>
      <c r="M310" s="472">
        <v>946</v>
      </c>
      <c r="N310" s="472">
        <v>0</v>
      </c>
      <c r="O310" s="473">
        <v>0.1</v>
      </c>
      <c r="P310" s="473">
        <v>0.1</v>
      </c>
      <c r="Q310" s="483">
        <v>0</v>
      </c>
      <c r="R310" s="485">
        <f t="shared" si="707"/>
        <v>0</v>
      </c>
      <c r="S310" s="475">
        <v>0</v>
      </c>
      <c r="T310" s="475">
        <v>0</v>
      </c>
      <c r="U310" s="475">
        <v>0</v>
      </c>
      <c r="V310" s="475">
        <v>0</v>
      </c>
      <c r="W310" s="475">
        <v>0</v>
      </c>
      <c r="X310" s="475">
        <f t="shared" si="708"/>
        <v>0</v>
      </c>
      <c r="Y310" s="475">
        <v>0</v>
      </c>
      <c r="Z310" s="475">
        <v>0</v>
      </c>
      <c r="AA310" s="475">
        <v>0</v>
      </c>
      <c r="AB310" s="475">
        <f t="shared" si="709"/>
        <v>0</v>
      </c>
      <c r="AC310" s="475">
        <f t="shared" si="710"/>
        <v>0</v>
      </c>
      <c r="AD310" s="70">
        <f t="shared" si="711"/>
        <v>0</v>
      </c>
      <c r="AE310" s="70">
        <f t="shared" si="712"/>
        <v>0</v>
      </c>
      <c r="AF310" s="475">
        <v>0</v>
      </c>
      <c r="AG310" s="475">
        <v>0</v>
      </c>
      <c r="AH310" s="475">
        <f t="shared" si="713"/>
        <v>0</v>
      </c>
      <c r="AI310" s="475">
        <f t="shared" si="714"/>
        <v>0</v>
      </c>
      <c r="AJ310" s="476">
        <v>0</v>
      </c>
      <c r="AK310" s="476">
        <v>0</v>
      </c>
      <c r="AL310" s="476">
        <v>0</v>
      </c>
      <c r="AM310" s="476">
        <v>0</v>
      </c>
      <c r="AN310" s="476">
        <v>0</v>
      </c>
      <c r="AO310" s="476">
        <v>0</v>
      </c>
      <c r="AP310" s="476">
        <v>0</v>
      </c>
      <c r="AQ310" s="476">
        <v>0</v>
      </c>
      <c r="AR310" s="476">
        <f t="shared" si="625"/>
        <v>0</v>
      </c>
      <c r="AS310" s="476">
        <f t="shared" si="626"/>
        <v>0</v>
      </c>
      <c r="AT310" s="478">
        <f t="shared" si="627"/>
        <v>0</v>
      </c>
      <c r="AU310" s="484">
        <f t="shared" si="715"/>
        <v>64263</v>
      </c>
      <c r="AV310" s="475">
        <f t="shared" si="716"/>
        <v>47322</v>
      </c>
      <c r="AW310" s="475">
        <f t="shared" si="717"/>
        <v>0</v>
      </c>
      <c r="AX310" s="475">
        <f t="shared" si="718"/>
        <v>15995</v>
      </c>
      <c r="AY310" s="475">
        <f t="shared" si="718"/>
        <v>946</v>
      </c>
      <c r="AZ310" s="475">
        <f t="shared" si="719"/>
        <v>0</v>
      </c>
      <c r="BA310" s="476">
        <f t="shared" si="720"/>
        <v>0.1</v>
      </c>
      <c r="BB310" s="476">
        <f t="shared" si="721"/>
        <v>0.1</v>
      </c>
      <c r="BC310" s="478">
        <f t="shared" si="721"/>
        <v>0</v>
      </c>
    </row>
    <row r="311" spans="1:55" ht="14.1" customHeight="1" x14ac:dyDescent="0.2">
      <c r="A311" s="68">
        <v>62</v>
      </c>
      <c r="B311" s="65">
        <v>2457</v>
      </c>
      <c r="C311" s="66">
        <v>650021479</v>
      </c>
      <c r="D311" s="65">
        <v>72742577</v>
      </c>
      <c r="E311" s="67" t="s">
        <v>690</v>
      </c>
      <c r="F311" s="68">
        <v>3143</v>
      </c>
      <c r="G311" s="80" t="s">
        <v>627</v>
      </c>
      <c r="H311" s="69" t="s">
        <v>278</v>
      </c>
      <c r="I311" s="477">
        <v>9828</v>
      </c>
      <c r="J311" s="472">
        <v>6950</v>
      </c>
      <c r="K311" s="472">
        <v>0</v>
      </c>
      <c r="L311" s="472">
        <v>2349</v>
      </c>
      <c r="M311" s="472">
        <v>139</v>
      </c>
      <c r="N311" s="472">
        <v>390</v>
      </c>
      <c r="O311" s="473">
        <v>0.03</v>
      </c>
      <c r="P311" s="474">
        <v>0</v>
      </c>
      <c r="Q311" s="483">
        <v>0.03</v>
      </c>
      <c r="R311" s="485">
        <f t="shared" si="707"/>
        <v>0</v>
      </c>
      <c r="S311" s="475">
        <v>0</v>
      </c>
      <c r="T311" s="475">
        <v>0</v>
      </c>
      <c r="U311" s="475">
        <v>0</v>
      </c>
      <c r="V311" s="475">
        <v>0</v>
      </c>
      <c r="W311" s="475">
        <v>0</v>
      </c>
      <c r="X311" s="475">
        <f t="shared" si="708"/>
        <v>0</v>
      </c>
      <c r="Y311" s="475">
        <v>0</v>
      </c>
      <c r="Z311" s="475">
        <v>0</v>
      </c>
      <c r="AA311" s="475">
        <v>0</v>
      </c>
      <c r="AB311" s="475">
        <f t="shared" si="709"/>
        <v>0</v>
      </c>
      <c r="AC311" s="475">
        <f t="shared" si="710"/>
        <v>0</v>
      </c>
      <c r="AD311" s="70">
        <f t="shared" si="711"/>
        <v>0</v>
      </c>
      <c r="AE311" s="70">
        <f t="shared" si="712"/>
        <v>0</v>
      </c>
      <c r="AF311" s="475">
        <v>0</v>
      </c>
      <c r="AG311" s="475">
        <v>0</v>
      </c>
      <c r="AH311" s="475">
        <f t="shared" si="713"/>
        <v>0</v>
      </c>
      <c r="AI311" s="475">
        <f t="shared" si="714"/>
        <v>0</v>
      </c>
      <c r="AJ311" s="476">
        <v>0</v>
      </c>
      <c r="AK311" s="476">
        <v>0</v>
      </c>
      <c r="AL311" s="476">
        <v>0</v>
      </c>
      <c r="AM311" s="476">
        <v>0</v>
      </c>
      <c r="AN311" s="476">
        <v>0</v>
      </c>
      <c r="AO311" s="476">
        <v>0</v>
      </c>
      <c r="AP311" s="476">
        <v>0</v>
      </c>
      <c r="AQ311" s="476">
        <v>0</v>
      </c>
      <c r="AR311" s="476">
        <f t="shared" si="625"/>
        <v>0</v>
      </c>
      <c r="AS311" s="476">
        <f t="shared" si="626"/>
        <v>0</v>
      </c>
      <c r="AT311" s="478">
        <f t="shared" si="627"/>
        <v>0</v>
      </c>
      <c r="AU311" s="484">
        <f t="shared" si="715"/>
        <v>9828</v>
      </c>
      <c r="AV311" s="475">
        <f t="shared" si="716"/>
        <v>6950</v>
      </c>
      <c r="AW311" s="475">
        <f t="shared" si="717"/>
        <v>0</v>
      </c>
      <c r="AX311" s="475">
        <f t="shared" si="718"/>
        <v>2349</v>
      </c>
      <c r="AY311" s="475">
        <f t="shared" si="718"/>
        <v>139</v>
      </c>
      <c r="AZ311" s="475">
        <f t="shared" si="719"/>
        <v>390</v>
      </c>
      <c r="BA311" s="476">
        <f t="shared" si="720"/>
        <v>0.03</v>
      </c>
      <c r="BB311" s="476">
        <f t="shared" si="721"/>
        <v>0</v>
      </c>
      <c r="BC311" s="478">
        <f t="shared" si="721"/>
        <v>0.03</v>
      </c>
    </row>
    <row r="312" spans="1:55" ht="14.1" customHeight="1" x14ac:dyDescent="0.2">
      <c r="A312" s="74">
        <v>62</v>
      </c>
      <c r="B312" s="71">
        <v>2457</v>
      </c>
      <c r="C312" s="72">
        <v>650021479</v>
      </c>
      <c r="D312" s="71">
        <v>72742577</v>
      </c>
      <c r="E312" s="73" t="s">
        <v>691</v>
      </c>
      <c r="F312" s="74"/>
      <c r="G312" s="73"/>
      <c r="H312" s="75"/>
      <c r="I312" s="76">
        <v>3654083</v>
      </c>
      <c r="J312" s="77">
        <v>2547899</v>
      </c>
      <c r="K312" s="77">
        <v>120000</v>
      </c>
      <c r="L312" s="77">
        <v>901750</v>
      </c>
      <c r="M312" s="77">
        <v>50958</v>
      </c>
      <c r="N312" s="77">
        <v>33476</v>
      </c>
      <c r="O312" s="78">
        <v>6.2240000000000002</v>
      </c>
      <c r="P312" s="78">
        <v>4.2699999999999996</v>
      </c>
      <c r="Q312" s="718">
        <v>1.954</v>
      </c>
      <c r="R312" s="76">
        <f t="shared" ref="R312:BC312" si="722">SUM(R306:R311)</f>
        <v>0</v>
      </c>
      <c r="S312" s="77">
        <f t="shared" si="722"/>
        <v>0</v>
      </c>
      <c r="T312" s="77">
        <f t="shared" si="722"/>
        <v>-3437</v>
      </c>
      <c r="U312" s="77">
        <f t="shared" si="722"/>
        <v>0</v>
      </c>
      <c r="V312" s="77">
        <f t="shared" si="722"/>
        <v>0</v>
      </c>
      <c r="W312" s="77">
        <f t="shared" si="722"/>
        <v>0</v>
      </c>
      <c r="X312" s="77">
        <f t="shared" si="722"/>
        <v>-3437</v>
      </c>
      <c r="Y312" s="77">
        <f t="shared" si="722"/>
        <v>0</v>
      </c>
      <c r="Z312" s="77">
        <f t="shared" si="722"/>
        <v>0</v>
      </c>
      <c r="AA312" s="77">
        <f t="shared" si="722"/>
        <v>0</v>
      </c>
      <c r="AB312" s="77">
        <f t="shared" si="722"/>
        <v>0</v>
      </c>
      <c r="AC312" s="77">
        <f t="shared" si="722"/>
        <v>-3437</v>
      </c>
      <c r="AD312" s="77">
        <f t="shared" si="722"/>
        <v>-1162</v>
      </c>
      <c r="AE312" s="77">
        <f t="shared" si="722"/>
        <v>-69</v>
      </c>
      <c r="AF312" s="77">
        <f t="shared" si="722"/>
        <v>0</v>
      </c>
      <c r="AG312" s="77">
        <f t="shared" si="722"/>
        <v>0</v>
      </c>
      <c r="AH312" s="77">
        <f t="shared" si="722"/>
        <v>0</v>
      </c>
      <c r="AI312" s="77">
        <f t="shared" si="722"/>
        <v>-4668</v>
      </c>
      <c r="AJ312" s="78">
        <f t="shared" si="722"/>
        <v>0</v>
      </c>
      <c r="AK312" s="78">
        <f t="shared" si="722"/>
        <v>0</v>
      </c>
      <c r="AL312" s="78">
        <f t="shared" si="722"/>
        <v>0</v>
      </c>
      <c r="AM312" s="78">
        <f t="shared" si="722"/>
        <v>0</v>
      </c>
      <c r="AN312" s="78">
        <f t="shared" si="722"/>
        <v>-1.0000000000000009E-2</v>
      </c>
      <c r="AO312" s="78">
        <f t="shared" si="722"/>
        <v>0</v>
      </c>
      <c r="AP312" s="78">
        <f t="shared" si="722"/>
        <v>0</v>
      </c>
      <c r="AQ312" s="78">
        <f t="shared" si="722"/>
        <v>0</v>
      </c>
      <c r="AR312" s="78">
        <f t="shared" si="722"/>
        <v>0</v>
      </c>
      <c r="AS312" s="78">
        <f t="shared" si="722"/>
        <v>-1.0000000000000009E-2</v>
      </c>
      <c r="AT312" s="79">
        <f t="shared" si="722"/>
        <v>-1.0000000000000009E-2</v>
      </c>
      <c r="AU312" s="433">
        <f t="shared" si="722"/>
        <v>3649415</v>
      </c>
      <c r="AV312" s="77">
        <f t="shared" si="722"/>
        <v>2544462</v>
      </c>
      <c r="AW312" s="77">
        <f t="shared" si="722"/>
        <v>120000</v>
      </c>
      <c r="AX312" s="77">
        <f t="shared" si="722"/>
        <v>900588</v>
      </c>
      <c r="AY312" s="77">
        <f t="shared" si="722"/>
        <v>50889</v>
      </c>
      <c r="AZ312" s="77">
        <f t="shared" si="722"/>
        <v>33476</v>
      </c>
      <c r="BA312" s="78">
        <f t="shared" si="722"/>
        <v>6.2139999999999995</v>
      </c>
      <c r="BB312" s="78">
        <f t="shared" si="722"/>
        <v>4.2699999999999996</v>
      </c>
      <c r="BC312" s="79">
        <f t="shared" si="722"/>
        <v>1.9440000000000002</v>
      </c>
    </row>
    <row r="313" spans="1:55" ht="14.1" customHeight="1" x14ac:dyDescent="0.2">
      <c r="A313" s="68">
        <v>63</v>
      </c>
      <c r="B313" s="65">
        <v>2403</v>
      </c>
      <c r="C313" s="66">
        <v>600078931</v>
      </c>
      <c r="D313" s="65">
        <v>72744324</v>
      </c>
      <c r="E313" s="67" t="s">
        <v>692</v>
      </c>
      <c r="F313" s="68">
        <v>3111</v>
      </c>
      <c r="G313" s="67" t="s">
        <v>311</v>
      </c>
      <c r="H313" s="69" t="s">
        <v>277</v>
      </c>
      <c r="I313" s="477">
        <v>6636889</v>
      </c>
      <c r="J313" s="643">
        <v>4856767</v>
      </c>
      <c r="K313" s="643">
        <v>0</v>
      </c>
      <c r="L313" s="472">
        <v>1641587</v>
      </c>
      <c r="M313" s="472">
        <v>97135</v>
      </c>
      <c r="N313" s="472">
        <v>41400</v>
      </c>
      <c r="O313" s="473">
        <v>10.8682</v>
      </c>
      <c r="P313" s="473">
        <v>8</v>
      </c>
      <c r="Q313" s="483">
        <v>2.8681999999999999</v>
      </c>
      <c r="R313" s="485">
        <f t="shared" ref="R313:R315" si="723">Y313*-1</f>
        <v>0</v>
      </c>
      <c r="S313" s="475">
        <v>0</v>
      </c>
      <c r="T313" s="475">
        <v>0</v>
      </c>
      <c r="U313" s="475">
        <v>0</v>
      </c>
      <c r="V313" s="475">
        <v>0</v>
      </c>
      <c r="W313" s="475">
        <v>0</v>
      </c>
      <c r="X313" s="475">
        <f t="shared" ref="X313:X315" si="724">SUM(R313:W313)</f>
        <v>0</v>
      </c>
      <c r="Y313" s="475">
        <v>0</v>
      </c>
      <c r="Z313" s="475">
        <v>0</v>
      </c>
      <c r="AA313" s="475">
        <v>0</v>
      </c>
      <c r="AB313" s="475">
        <f t="shared" ref="AB313:AB315" si="725">SUM(Y313:AA313)</f>
        <v>0</v>
      </c>
      <c r="AC313" s="475">
        <f t="shared" ref="AC313:AC315" si="726">X313+AB313</f>
        <v>0</v>
      </c>
      <c r="AD313" s="70">
        <f t="shared" ref="AD313:AD315" si="727">ROUND((X313+Y313+Z313)*33.8%,0)</f>
        <v>0</v>
      </c>
      <c r="AE313" s="70">
        <f t="shared" ref="AE313:AE315" si="728">ROUND(X313*2%,0)</f>
        <v>0</v>
      </c>
      <c r="AF313" s="475">
        <v>0</v>
      </c>
      <c r="AG313" s="475">
        <v>0</v>
      </c>
      <c r="AH313" s="475">
        <f t="shared" ref="AH313:AH315" si="729">SUM(AF313:AG313)</f>
        <v>0</v>
      </c>
      <c r="AI313" s="475">
        <f t="shared" ref="AI313:AI315" si="730">AC313+AD313+AE313+AH313</f>
        <v>0</v>
      </c>
      <c r="AJ313" s="476">
        <v>0</v>
      </c>
      <c r="AK313" s="476">
        <v>0</v>
      </c>
      <c r="AL313" s="476">
        <v>0</v>
      </c>
      <c r="AM313" s="476">
        <v>0</v>
      </c>
      <c r="AN313" s="476">
        <v>0</v>
      </c>
      <c r="AO313" s="476">
        <v>0</v>
      </c>
      <c r="AP313" s="476">
        <v>0</v>
      </c>
      <c r="AQ313" s="476">
        <v>0</v>
      </c>
      <c r="AR313" s="476">
        <f t="shared" si="625"/>
        <v>0</v>
      </c>
      <c r="AS313" s="476">
        <f t="shared" si="626"/>
        <v>0</v>
      </c>
      <c r="AT313" s="478">
        <f t="shared" si="627"/>
        <v>0</v>
      </c>
      <c r="AU313" s="484">
        <f>I313+AI313</f>
        <v>6636889</v>
      </c>
      <c r="AV313" s="475">
        <f>J313+X313</f>
        <v>4856767</v>
      </c>
      <c r="AW313" s="475">
        <f>K313+AB313</f>
        <v>0</v>
      </c>
      <c r="AX313" s="475">
        <f t="shared" ref="AX313:AY315" si="731">L313+AD313</f>
        <v>1641587</v>
      </c>
      <c r="AY313" s="475">
        <f t="shared" si="731"/>
        <v>97135</v>
      </c>
      <c r="AZ313" s="475">
        <f>N313+AH313</f>
        <v>41400</v>
      </c>
      <c r="BA313" s="476">
        <f>O313+AT313</f>
        <v>10.8682</v>
      </c>
      <c r="BB313" s="476">
        <f t="shared" ref="BB313:BC315" si="732">P313+AR313</f>
        <v>8</v>
      </c>
      <c r="BC313" s="478">
        <f t="shared" si="732"/>
        <v>2.8681999999999999</v>
      </c>
    </row>
    <row r="314" spans="1:55" ht="14.1" customHeight="1" x14ac:dyDescent="0.2">
      <c r="A314" s="68">
        <v>63</v>
      </c>
      <c r="B314" s="65">
        <v>2403</v>
      </c>
      <c r="C314" s="66">
        <v>600078931</v>
      </c>
      <c r="D314" s="65">
        <v>72744324</v>
      </c>
      <c r="E314" s="67" t="s">
        <v>692</v>
      </c>
      <c r="F314" s="68">
        <v>3111</v>
      </c>
      <c r="G314" s="80" t="s">
        <v>312</v>
      </c>
      <c r="H314" s="69" t="s">
        <v>278</v>
      </c>
      <c r="I314" s="477">
        <v>627295</v>
      </c>
      <c r="J314" s="472">
        <v>461925</v>
      </c>
      <c r="K314" s="472">
        <v>0</v>
      </c>
      <c r="L314" s="472">
        <v>156131</v>
      </c>
      <c r="M314" s="472">
        <v>9239</v>
      </c>
      <c r="N314" s="472">
        <v>0</v>
      </c>
      <c r="O314" s="473">
        <v>1.33</v>
      </c>
      <c r="P314" s="474">
        <v>1.33</v>
      </c>
      <c r="Q314" s="483">
        <v>0</v>
      </c>
      <c r="R314" s="485">
        <f t="shared" si="723"/>
        <v>0</v>
      </c>
      <c r="S314" s="475">
        <v>0</v>
      </c>
      <c r="T314" s="475">
        <v>0</v>
      </c>
      <c r="U314" s="475">
        <v>0</v>
      </c>
      <c r="V314" s="475">
        <v>0</v>
      </c>
      <c r="W314" s="475">
        <v>0</v>
      </c>
      <c r="X314" s="475">
        <f t="shared" si="724"/>
        <v>0</v>
      </c>
      <c r="Y314" s="475">
        <v>0</v>
      </c>
      <c r="Z314" s="475">
        <v>0</v>
      </c>
      <c r="AA314" s="475">
        <v>0</v>
      </c>
      <c r="AB314" s="475">
        <f t="shared" si="725"/>
        <v>0</v>
      </c>
      <c r="AC314" s="475">
        <f t="shared" si="726"/>
        <v>0</v>
      </c>
      <c r="AD314" s="70">
        <f t="shared" si="727"/>
        <v>0</v>
      </c>
      <c r="AE314" s="70">
        <f t="shared" si="728"/>
        <v>0</v>
      </c>
      <c r="AF314" s="475">
        <v>0</v>
      </c>
      <c r="AG314" s="475">
        <v>0</v>
      </c>
      <c r="AH314" s="475">
        <f t="shared" si="729"/>
        <v>0</v>
      </c>
      <c r="AI314" s="475">
        <f t="shared" si="730"/>
        <v>0</v>
      </c>
      <c r="AJ314" s="476">
        <v>0</v>
      </c>
      <c r="AK314" s="476">
        <v>0</v>
      </c>
      <c r="AL314" s="476">
        <v>0</v>
      </c>
      <c r="AM314" s="476">
        <v>0</v>
      </c>
      <c r="AN314" s="476">
        <v>0</v>
      </c>
      <c r="AO314" s="476">
        <v>0</v>
      </c>
      <c r="AP314" s="476">
        <v>0</v>
      </c>
      <c r="AQ314" s="476">
        <v>0</v>
      </c>
      <c r="AR314" s="476">
        <f t="shared" si="625"/>
        <v>0</v>
      </c>
      <c r="AS314" s="476">
        <f t="shared" si="626"/>
        <v>0</v>
      </c>
      <c r="AT314" s="478">
        <f t="shared" si="627"/>
        <v>0</v>
      </c>
      <c r="AU314" s="484">
        <f>I314+AI314</f>
        <v>627295</v>
      </c>
      <c r="AV314" s="475">
        <f>J314+X314</f>
        <v>461925</v>
      </c>
      <c r="AW314" s="475">
        <f>K314+AB314</f>
        <v>0</v>
      </c>
      <c r="AX314" s="475">
        <f t="shared" si="731"/>
        <v>156131</v>
      </c>
      <c r="AY314" s="475">
        <f t="shared" si="731"/>
        <v>9239</v>
      </c>
      <c r="AZ314" s="475">
        <f>N314+AH314</f>
        <v>0</v>
      </c>
      <c r="BA314" s="476">
        <f>O314+AT314</f>
        <v>1.33</v>
      </c>
      <c r="BB314" s="476">
        <f t="shared" si="732"/>
        <v>1.33</v>
      </c>
      <c r="BC314" s="478">
        <f t="shared" si="732"/>
        <v>0</v>
      </c>
    </row>
    <row r="315" spans="1:55" ht="14.1" customHeight="1" x14ac:dyDescent="0.2">
      <c r="A315" s="68">
        <v>63</v>
      </c>
      <c r="B315" s="65">
        <v>2403</v>
      </c>
      <c r="C315" s="66">
        <v>600078931</v>
      </c>
      <c r="D315" s="65">
        <v>72744324</v>
      </c>
      <c r="E315" s="67" t="s">
        <v>692</v>
      </c>
      <c r="F315" s="68">
        <v>3141</v>
      </c>
      <c r="G315" s="67" t="s">
        <v>315</v>
      </c>
      <c r="H315" s="69" t="s">
        <v>278</v>
      </c>
      <c r="I315" s="477">
        <v>1041844</v>
      </c>
      <c r="J315" s="472">
        <v>763261</v>
      </c>
      <c r="K315" s="472">
        <v>0</v>
      </c>
      <c r="L315" s="472">
        <v>257982</v>
      </c>
      <c r="M315" s="472">
        <v>15265</v>
      </c>
      <c r="N315" s="472">
        <v>5336</v>
      </c>
      <c r="O315" s="473">
        <v>2.4</v>
      </c>
      <c r="P315" s="474">
        <v>0</v>
      </c>
      <c r="Q315" s="483">
        <v>2.4</v>
      </c>
      <c r="R315" s="485">
        <f t="shared" si="723"/>
        <v>0</v>
      </c>
      <c r="S315" s="475">
        <v>0</v>
      </c>
      <c r="T315" s="755">
        <v>-1947</v>
      </c>
      <c r="U315" s="475">
        <v>0</v>
      </c>
      <c r="V315" s="475">
        <v>0</v>
      </c>
      <c r="W315" s="475">
        <v>0</v>
      </c>
      <c r="X315" s="475">
        <f t="shared" si="724"/>
        <v>-1947</v>
      </c>
      <c r="Y315" s="475">
        <v>0</v>
      </c>
      <c r="Z315" s="475">
        <v>0</v>
      </c>
      <c r="AA315" s="475">
        <v>0</v>
      </c>
      <c r="AB315" s="475">
        <f t="shared" si="725"/>
        <v>0</v>
      </c>
      <c r="AC315" s="475">
        <f t="shared" si="726"/>
        <v>-1947</v>
      </c>
      <c r="AD315" s="70">
        <f t="shared" si="727"/>
        <v>-658</v>
      </c>
      <c r="AE315" s="70">
        <f t="shared" si="728"/>
        <v>-39</v>
      </c>
      <c r="AF315" s="475">
        <v>0</v>
      </c>
      <c r="AG315" s="475">
        <v>0</v>
      </c>
      <c r="AH315" s="475">
        <f t="shared" si="729"/>
        <v>0</v>
      </c>
      <c r="AI315" s="475">
        <f t="shared" si="730"/>
        <v>-2644</v>
      </c>
      <c r="AJ315" s="476">
        <v>0</v>
      </c>
      <c r="AK315" s="476">
        <v>0</v>
      </c>
      <c r="AL315" s="476">
        <v>0</v>
      </c>
      <c r="AM315" s="476">
        <v>0</v>
      </c>
      <c r="AN315" s="756">
        <v>0</v>
      </c>
      <c r="AO315" s="476">
        <v>0</v>
      </c>
      <c r="AP315" s="476">
        <v>0</v>
      </c>
      <c r="AQ315" s="476">
        <v>0</v>
      </c>
      <c r="AR315" s="476">
        <f t="shared" si="625"/>
        <v>0</v>
      </c>
      <c r="AS315" s="476">
        <f t="shared" si="626"/>
        <v>0</v>
      </c>
      <c r="AT315" s="478">
        <f t="shared" si="627"/>
        <v>0</v>
      </c>
      <c r="AU315" s="484">
        <f>I315+AI315</f>
        <v>1039200</v>
      </c>
      <c r="AV315" s="475">
        <f>J315+X315</f>
        <v>761314</v>
      </c>
      <c r="AW315" s="475">
        <f>K315+AB315</f>
        <v>0</v>
      </c>
      <c r="AX315" s="475">
        <f t="shared" si="731"/>
        <v>257324</v>
      </c>
      <c r="AY315" s="475">
        <f t="shared" si="731"/>
        <v>15226</v>
      </c>
      <c r="AZ315" s="475">
        <f>N315+AH315</f>
        <v>5336</v>
      </c>
      <c r="BA315" s="476">
        <f>O315+AT315</f>
        <v>2.4</v>
      </c>
      <c r="BB315" s="476">
        <f t="shared" si="732"/>
        <v>0</v>
      </c>
      <c r="BC315" s="478">
        <f t="shared" si="732"/>
        <v>2.4</v>
      </c>
    </row>
    <row r="316" spans="1:55" ht="14.1" customHeight="1" x14ac:dyDescent="0.2">
      <c r="A316" s="74">
        <v>63</v>
      </c>
      <c r="B316" s="71">
        <v>2403</v>
      </c>
      <c r="C316" s="72">
        <v>600078931</v>
      </c>
      <c r="D316" s="71">
        <v>72744324</v>
      </c>
      <c r="E316" s="73" t="s">
        <v>693</v>
      </c>
      <c r="F316" s="74"/>
      <c r="G316" s="73"/>
      <c r="H316" s="75"/>
      <c r="I316" s="76">
        <v>8306028</v>
      </c>
      <c r="J316" s="77">
        <v>6081953</v>
      </c>
      <c r="K316" s="77">
        <v>0</v>
      </c>
      <c r="L316" s="77">
        <v>2055700</v>
      </c>
      <c r="M316" s="77">
        <v>121639</v>
      </c>
      <c r="N316" s="77">
        <v>46736</v>
      </c>
      <c r="O316" s="78">
        <v>14.5982</v>
      </c>
      <c r="P316" s="78">
        <v>9.33</v>
      </c>
      <c r="Q316" s="718">
        <v>5.2682000000000002</v>
      </c>
      <c r="R316" s="76">
        <f t="shared" ref="R316:BC316" si="733">SUM(R313:R315)</f>
        <v>0</v>
      </c>
      <c r="S316" s="77">
        <f t="shared" si="733"/>
        <v>0</v>
      </c>
      <c r="T316" s="77">
        <f t="shared" si="733"/>
        <v>-1947</v>
      </c>
      <c r="U316" s="77">
        <f t="shared" si="733"/>
        <v>0</v>
      </c>
      <c r="V316" s="77">
        <f t="shared" si="733"/>
        <v>0</v>
      </c>
      <c r="W316" s="77">
        <f t="shared" si="733"/>
        <v>0</v>
      </c>
      <c r="X316" s="77">
        <f t="shared" si="733"/>
        <v>-1947</v>
      </c>
      <c r="Y316" s="77">
        <f t="shared" si="733"/>
        <v>0</v>
      </c>
      <c r="Z316" s="77">
        <f t="shared" si="733"/>
        <v>0</v>
      </c>
      <c r="AA316" s="77">
        <f t="shared" si="733"/>
        <v>0</v>
      </c>
      <c r="AB316" s="77">
        <f t="shared" si="733"/>
        <v>0</v>
      </c>
      <c r="AC316" s="77">
        <f t="shared" si="733"/>
        <v>-1947</v>
      </c>
      <c r="AD316" s="77">
        <f t="shared" si="733"/>
        <v>-658</v>
      </c>
      <c r="AE316" s="77">
        <f t="shared" si="733"/>
        <v>-39</v>
      </c>
      <c r="AF316" s="77">
        <f t="shared" si="733"/>
        <v>0</v>
      </c>
      <c r="AG316" s="77">
        <f t="shared" si="733"/>
        <v>0</v>
      </c>
      <c r="AH316" s="77">
        <f t="shared" si="733"/>
        <v>0</v>
      </c>
      <c r="AI316" s="77">
        <f t="shared" si="733"/>
        <v>-2644</v>
      </c>
      <c r="AJ316" s="78">
        <f t="shared" si="733"/>
        <v>0</v>
      </c>
      <c r="AK316" s="78">
        <f t="shared" si="733"/>
        <v>0</v>
      </c>
      <c r="AL316" s="78">
        <f t="shared" si="733"/>
        <v>0</v>
      </c>
      <c r="AM316" s="78">
        <f t="shared" si="733"/>
        <v>0</v>
      </c>
      <c r="AN316" s="78">
        <f t="shared" si="733"/>
        <v>0</v>
      </c>
      <c r="AO316" s="78">
        <f t="shared" si="733"/>
        <v>0</v>
      </c>
      <c r="AP316" s="78">
        <f t="shared" si="733"/>
        <v>0</v>
      </c>
      <c r="AQ316" s="78">
        <f t="shared" si="733"/>
        <v>0</v>
      </c>
      <c r="AR316" s="78">
        <f t="shared" si="733"/>
        <v>0</v>
      </c>
      <c r="AS316" s="78">
        <f t="shared" si="733"/>
        <v>0</v>
      </c>
      <c r="AT316" s="79">
        <f t="shared" si="733"/>
        <v>0</v>
      </c>
      <c r="AU316" s="433">
        <f t="shared" si="733"/>
        <v>8303384</v>
      </c>
      <c r="AV316" s="77">
        <f t="shared" si="733"/>
        <v>6080006</v>
      </c>
      <c r="AW316" s="77">
        <f t="shared" si="733"/>
        <v>0</v>
      </c>
      <c r="AX316" s="77">
        <f t="shared" si="733"/>
        <v>2055042</v>
      </c>
      <c r="AY316" s="77">
        <f t="shared" si="733"/>
        <v>121600</v>
      </c>
      <c r="AZ316" s="77">
        <f t="shared" si="733"/>
        <v>46736</v>
      </c>
      <c r="BA316" s="78">
        <f t="shared" si="733"/>
        <v>14.5982</v>
      </c>
      <c r="BB316" s="78">
        <f t="shared" si="733"/>
        <v>9.33</v>
      </c>
      <c r="BC316" s="79">
        <f t="shared" si="733"/>
        <v>5.2682000000000002</v>
      </c>
    </row>
    <row r="317" spans="1:55" ht="14.1" customHeight="1" x14ac:dyDescent="0.2">
      <c r="A317" s="68">
        <v>64</v>
      </c>
      <c r="B317" s="65">
        <v>2458</v>
      </c>
      <c r="C317" s="66">
        <v>600079741</v>
      </c>
      <c r="D317" s="65">
        <v>72744243</v>
      </c>
      <c r="E317" s="67" t="s">
        <v>694</v>
      </c>
      <c r="F317" s="68">
        <v>3113</v>
      </c>
      <c r="G317" s="67" t="s">
        <v>314</v>
      </c>
      <c r="H317" s="69" t="s">
        <v>277</v>
      </c>
      <c r="I317" s="477">
        <v>22683685</v>
      </c>
      <c r="J317" s="472">
        <v>16333250</v>
      </c>
      <c r="K317" s="472">
        <v>24000</v>
      </c>
      <c r="L317" s="472">
        <v>5528751</v>
      </c>
      <c r="M317" s="472">
        <v>326664</v>
      </c>
      <c r="N317" s="472">
        <v>471020</v>
      </c>
      <c r="O317" s="473">
        <v>30.911799999999999</v>
      </c>
      <c r="P317" s="473">
        <v>23.379199999999997</v>
      </c>
      <c r="Q317" s="483">
        <v>7.5326000000000004</v>
      </c>
      <c r="R317" s="485">
        <f t="shared" ref="R317:R321" si="734">Y317*-1</f>
        <v>0</v>
      </c>
      <c r="S317" s="475">
        <v>0</v>
      </c>
      <c r="T317" s="475">
        <v>0</v>
      </c>
      <c r="U317" s="475">
        <v>0</v>
      </c>
      <c r="V317" s="475">
        <v>0</v>
      </c>
      <c r="W317" s="475">
        <v>0</v>
      </c>
      <c r="X317" s="475">
        <f t="shared" ref="X317:X321" si="735">SUM(R317:W317)</f>
        <v>0</v>
      </c>
      <c r="Y317" s="475">
        <v>0</v>
      </c>
      <c r="Z317" s="475">
        <v>0</v>
      </c>
      <c r="AA317" s="475">
        <v>0</v>
      </c>
      <c r="AB317" s="475">
        <f t="shared" ref="AB317:AB321" si="736">SUM(Y317:AA317)</f>
        <v>0</v>
      </c>
      <c r="AC317" s="475">
        <f t="shared" ref="AC317:AC321" si="737">X317+AB317</f>
        <v>0</v>
      </c>
      <c r="AD317" s="70">
        <f t="shared" ref="AD317:AD321" si="738">ROUND((X317+Y317+Z317)*33.8%,0)</f>
        <v>0</v>
      </c>
      <c r="AE317" s="70">
        <f t="shared" ref="AE317:AE321" si="739">ROUND(X317*2%,0)</f>
        <v>0</v>
      </c>
      <c r="AF317" s="475">
        <v>0</v>
      </c>
      <c r="AG317" s="475">
        <v>0</v>
      </c>
      <c r="AH317" s="475">
        <f t="shared" ref="AH317:AH321" si="740">SUM(AF317:AG317)</f>
        <v>0</v>
      </c>
      <c r="AI317" s="475">
        <f t="shared" ref="AI317:AI321" si="741">AC317+AD317+AE317+AH317</f>
        <v>0</v>
      </c>
      <c r="AJ317" s="476">
        <v>0</v>
      </c>
      <c r="AK317" s="476">
        <v>0</v>
      </c>
      <c r="AL317" s="476">
        <v>0</v>
      </c>
      <c r="AM317" s="476">
        <v>0</v>
      </c>
      <c r="AN317" s="476">
        <v>0</v>
      </c>
      <c r="AO317" s="476">
        <v>0</v>
      </c>
      <c r="AP317" s="476">
        <v>0</v>
      </c>
      <c r="AQ317" s="476">
        <v>0</v>
      </c>
      <c r="AR317" s="476">
        <f t="shared" si="625"/>
        <v>0</v>
      </c>
      <c r="AS317" s="476">
        <f t="shared" si="626"/>
        <v>0</v>
      </c>
      <c r="AT317" s="478">
        <f t="shared" si="627"/>
        <v>0</v>
      </c>
      <c r="AU317" s="484">
        <f>I317+AI317</f>
        <v>22683685</v>
      </c>
      <c r="AV317" s="475">
        <f>J317+X317</f>
        <v>16333250</v>
      </c>
      <c r="AW317" s="475">
        <f>K317+AB317</f>
        <v>24000</v>
      </c>
      <c r="AX317" s="475">
        <f t="shared" ref="AX317:AY321" si="742">L317+AD317</f>
        <v>5528751</v>
      </c>
      <c r="AY317" s="475">
        <f t="shared" si="742"/>
        <v>326664</v>
      </c>
      <c r="AZ317" s="475">
        <f>N317+AH317</f>
        <v>471020</v>
      </c>
      <c r="BA317" s="476">
        <f>O317+AT317</f>
        <v>30.911799999999999</v>
      </c>
      <c r="BB317" s="476">
        <f t="shared" ref="BB317:BC321" si="743">P317+AR317</f>
        <v>23.379199999999997</v>
      </c>
      <c r="BC317" s="478">
        <f t="shared" si="743"/>
        <v>7.5326000000000004</v>
      </c>
    </row>
    <row r="318" spans="1:55" ht="14.1" customHeight="1" x14ac:dyDescent="0.2">
      <c r="A318" s="68">
        <v>64</v>
      </c>
      <c r="B318" s="65">
        <v>2458</v>
      </c>
      <c r="C318" s="66">
        <v>600079741</v>
      </c>
      <c r="D318" s="65">
        <v>72744243</v>
      </c>
      <c r="E318" s="67" t="s">
        <v>694</v>
      </c>
      <c r="F318" s="68">
        <v>3113</v>
      </c>
      <c r="G318" s="80" t="s">
        <v>312</v>
      </c>
      <c r="H318" s="69" t="s">
        <v>278</v>
      </c>
      <c r="I318" s="477">
        <v>1214298</v>
      </c>
      <c r="J318" s="472">
        <v>889247</v>
      </c>
      <c r="K318" s="472">
        <v>0</v>
      </c>
      <c r="L318" s="472">
        <v>300566</v>
      </c>
      <c r="M318" s="472">
        <v>17785</v>
      </c>
      <c r="N318" s="472">
        <v>6700</v>
      </c>
      <c r="O318" s="473">
        <v>2.56</v>
      </c>
      <c r="P318" s="474">
        <v>2.56</v>
      </c>
      <c r="Q318" s="483">
        <v>0</v>
      </c>
      <c r="R318" s="485">
        <f t="shared" si="734"/>
        <v>0</v>
      </c>
      <c r="S318" s="475">
        <v>0</v>
      </c>
      <c r="T318" s="475">
        <v>0</v>
      </c>
      <c r="U318" s="475">
        <v>0</v>
      </c>
      <c r="V318" s="475">
        <v>0</v>
      </c>
      <c r="W318" s="475">
        <v>0</v>
      </c>
      <c r="X318" s="475">
        <f t="shared" si="735"/>
        <v>0</v>
      </c>
      <c r="Y318" s="475">
        <v>0</v>
      </c>
      <c r="Z318" s="475">
        <v>0</v>
      </c>
      <c r="AA318" s="475">
        <v>0</v>
      </c>
      <c r="AB318" s="475">
        <f t="shared" si="736"/>
        <v>0</v>
      </c>
      <c r="AC318" s="475">
        <f t="shared" si="737"/>
        <v>0</v>
      </c>
      <c r="AD318" s="70">
        <f t="shared" si="738"/>
        <v>0</v>
      </c>
      <c r="AE318" s="70">
        <f t="shared" si="739"/>
        <v>0</v>
      </c>
      <c r="AF318" s="475">
        <v>0</v>
      </c>
      <c r="AG318" s="475">
        <v>0</v>
      </c>
      <c r="AH318" s="475">
        <f t="shared" si="740"/>
        <v>0</v>
      </c>
      <c r="AI318" s="475">
        <f t="shared" si="741"/>
        <v>0</v>
      </c>
      <c r="AJ318" s="476">
        <v>0</v>
      </c>
      <c r="AK318" s="476">
        <v>0</v>
      </c>
      <c r="AL318" s="476">
        <v>0</v>
      </c>
      <c r="AM318" s="476">
        <v>0</v>
      </c>
      <c r="AN318" s="476">
        <v>0</v>
      </c>
      <c r="AO318" s="476">
        <v>0</v>
      </c>
      <c r="AP318" s="476">
        <v>0</v>
      </c>
      <c r="AQ318" s="476">
        <v>0</v>
      </c>
      <c r="AR318" s="476">
        <f t="shared" si="625"/>
        <v>0</v>
      </c>
      <c r="AS318" s="476">
        <f t="shared" si="626"/>
        <v>0</v>
      </c>
      <c r="AT318" s="478">
        <f t="shared" si="627"/>
        <v>0</v>
      </c>
      <c r="AU318" s="484">
        <f>I318+AI318</f>
        <v>1214298</v>
      </c>
      <c r="AV318" s="475">
        <f>J318+X318</f>
        <v>889247</v>
      </c>
      <c r="AW318" s="475">
        <f>K318+AB318</f>
        <v>0</v>
      </c>
      <c r="AX318" s="475">
        <f t="shared" si="742"/>
        <v>300566</v>
      </c>
      <c r="AY318" s="475">
        <f t="shared" si="742"/>
        <v>17785</v>
      </c>
      <c r="AZ318" s="475">
        <f>N318+AH318</f>
        <v>6700</v>
      </c>
      <c r="BA318" s="476">
        <f>O318+AT318</f>
        <v>2.56</v>
      </c>
      <c r="BB318" s="476">
        <f t="shared" si="743"/>
        <v>2.56</v>
      </c>
      <c r="BC318" s="478">
        <f t="shared" si="743"/>
        <v>0</v>
      </c>
    </row>
    <row r="319" spans="1:55" ht="14.1" customHeight="1" x14ac:dyDescent="0.2">
      <c r="A319" s="68">
        <v>64</v>
      </c>
      <c r="B319" s="65">
        <v>2458</v>
      </c>
      <c r="C319" s="66">
        <v>600079741</v>
      </c>
      <c r="D319" s="65">
        <v>72744243</v>
      </c>
      <c r="E319" s="67" t="s">
        <v>694</v>
      </c>
      <c r="F319" s="68">
        <v>3141</v>
      </c>
      <c r="G319" s="67" t="s">
        <v>315</v>
      </c>
      <c r="H319" s="69" t="s">
        <v>278</v>
      </c>
      <c r="I319" s="477">
        <v>2170335</v>
      </c>
      <c r="J319" s="472">
        <v>1580552</v>
      </c>
      <c r="K319" s="472">
        <v>5200</v>
      </c>
      <c r="L319" s="472">
        <v>535984</v>
      </c>
      <c r="M319" s="472">
        <v>31611</v>
      </c>
      <c r="N319" s="472">
        <v>16988</v>
      </c>
      <c r="O319" s="473">
        <v>4.99</v>
      </c>
      <c r="P319" s="474">
        <v>0</v>
      </c>
      <c r="Q319" s="483">
        <v>4.99</v>
      </c>
      <c r="R319" s="485">
        <f t="shared" si="734"/>
        <v>0</v>
      </c>
      <c r="S319" s="475">
        <v>0</v>
      </c>
      <c r="T319" s="755">
        <v>19094</v>
      </c>
      <c r="U319" s="475">
        <v>0</v>
      </c>
      <c r="V319" s="475">
        <v>0</v>
      </c>
      <c r="W319" s="475">
        <v>0</v>
      </c>
      <c r="X319" s="475">
        <f t="shared" si="735"/>
        <v>19094</v>
      </c>
      <c r="Y319" s="475">
        <v>0</v>
      </c>
      <c r="Z319" s="475">
        <v>0</v>
      </c>
      <c r="AA319" s="475">
        <v>0</v>
      </c>
      <c r="AB319" s="475">
        <f t="shared" si="736"/>
        <v>0</v>
      </c>
      <c r="AC319" s="475">
        <f t="shared" si="737"/>
        <v>19094</v>
      </c>
      <c r="AD319" s="70">
        <f t="shared" si="738"/>
        <v>6454</v>
      </c>
      <c r="AE319" s="70">
        <f t="shared" si="739"/>
        <v>382</v>
      </c>
      <c r="AF319" s="475">
        <v>0</v>
      </c>
      <c r="AG319" s="475">
        <v>0</v>
      </c>
      <c r="AH319" s="475">
        <f t="shared" si="740"/>
        <v>0</v>
      </c>
      <c r="AI319" s="475">
        <f t="shared" si="741"/>
        <v>25930</v>
      </c>
      <c r="AJ319" s="476">
        <v>0</v>
      </c>
      <c r="AK319" s="476">
        <v>0</v>
      </c>
      <c r="AL319" s="476">
        <v>0</v>
      </c>
      <c r="AM319" s="476">
        <v>0</v>
      </c>
      <c r="AN319" s="756">
        <v>6.0000000000000053E-2</v>
      </c>
      <c r="AO319" s="476">
        <v>0</v>
      </c>
      <c r="AP319" s="476">
        <v>0</v>
      </c>
      <c r="AQ319" s="476">
        <v>0</v>
      </c>
      <c r="AR319" s="476">
        <f t="shared" si="625"/>
        <v>0</v>
      </c>
      <c r="AS319" s="476">
        <f t="shared" si="626"/>
        <v>6.0000000000000053E-2</v>
      </c>
      <c r="AT319" s="478">
        <f t="shared" si="627"/>
        <v>6.0000000000000053E-2</v>
      </c>
      <c r="AU319" s="484">
        <f>I319+AI319</f>
        <v>2196265</v>
      </c>
      <c r="AV319" s="475">
        <f>J319+X319</f>
        <v>1599646</v>
      </c>
      <c r="AW319" s="475">
        <f>K319+AB319</f>
        <v>5200</v>
      </c>
      <c r="AX319" s="475">
        <f t="shared" si="742"/>
        <v>542438</v>
      </c>
      <c r="AY319" s="475">
        <f t="shared" si="742"/>
        <v>31993</v>
      </c>
      <c r="AZ319" s="475">
        <f>N319+AH319</f>
        <v>16988</v>
      </c>
      <c r="BA319" s="476">
        <f>O319+AT319</f>
        <v>5.0500000000000007</v>
      </c>
      <c r="BB319" s="476">
        <f t="shared" si="743"/>
        <v>0</v>
      </c>
      <c r="BC319" s="478">
        <f t="shared" si="743"/>
        <v>5.0500000000000007</v>
      </c>
    </row>
    <row r="320" spans="1:55" ht="14.1" customHeight="1" x14ac:dyDescent="0.2">
      <c r="A320" s="68">
        <v>64</v>
      </c>
      <c r="B320" s="65">
        <v>2458</v>
      </c>
      <c r="C320" s="66">
        <v>600079741</v>
      </c>
      <c r="D320" s="65">
        <v>72744243</v>
      </c>
      <c r="E320" s="67" t="s">
        <v>694</v>
      </c>
      <c r="F320" s="68">
        <v>3143</v>
      </c>
      <c r="G320" s="80" t="s">
        <v>626</v>
      </c>
      <c r="H320" s="69" t="s">
        <v>277</v>
      </c>
      <c r="I320" s="477">
        <v>1974420</v>
      </c>
      <c r="J320" s="472">
        <v>1453918</v>
      </c>
      <c r="K320" s="472">
        <v>0</v>
      </c>
      <c r="L320" s="472">
        <v>491424</v>
      </c>
      <c r="M320" s="472">
        <v>29078</v>
      </c>
      <c r="N320" s="472">
        <v>0</v>
      </c>
      <c r="O320" s="473">
        <v>3.1179999999999999</v>
      </c>
      <c r="P320" s="473">
        <v>3.1179999999999999</v>
      </c>
      <c r="Q320" s="483">
        <v>0</v>
      </c>
      <c r="R320" s="485">
        <f t="shared" si="734"/>
        <v>0</v>
      </c>
      <c r="S320" s="475">
        <v>0</v>
      </c>
      <c r="T320" s="475">
        <v>0</v>
      </c>
      <c r="U320" s="475">
        <v>0</v>
      </c>
      <c r="V320" s="475">
        <v>0</v>
      </c>
      <c r="W320" s="475">
        <v>0</v>
      </c>
      <c r="X320" s="475">
        <f t="shared" si="735"/>
        <v>0</v>
      </c>
      <c r="Y320" s="475">
        <v>0</v>
      </c>
      <c r="Z320" s="475">
        <v>0</v>
      </c>
      <c r="AA320" s="475">
        <v>0</v>
      </c>
      <c r="AB320" s="475">
        <f t="shared" si="736"/>
        <v>0</v>
      </c>
      <c r="AC320" s="475">
        <f t="shared" si="737"/>
        <v>0</v>
      </c>
      <c r="AD320" s="70">
        <f t="shared" si="738"/>
        <v>0</v>
      </c>
      <c r="AE320" s="70">
        <f t="shared" si="739"/>
        <v>0</v>
      </c>
      <c r="AF320" s="475">
        <v>0</v>
      </c>
      <c r="AG320" s="475">
        <v>0</v>
      </c>
      <c r="AH320" s="475">
        <f t="shared" si="740"/>
        <v>0</v>
      </c>
      <c r="AI320" s="475">
        <f t="shared" si="741"/>
        <v>0</v>
      </c>
      <c r="AJ320" s="476">
        <v>0</v>
      </c>
      <c r="AK320" s="476">
        <v>0</v>
      </c>
      <c r="AL320" s="476">
        <v>0</v>
      </c>
      <c r="AM320" s="476">
        <v>0</v>
      </c>
      <c r="AN320" s="476">
        <v>0</v>
      </c>
      <c r="AO320" s="476">
        <v>0</v>
      </c>
      <c r="AP320" s="476">
        <v>0</v>
      </c>
      <c r="AQ320" s="476">
        <v>0</v>
      </c>
      <c r="AR320" s="476">
        <f t="shared" si="625"/>
        <v>0</v>
      </c>
      <c r="AS320" s="476">
        <f t="shared" si="626"/>
        <v>0</v>
      </c>
      <c r="AT320" s="478">
        <f t="shared" si="627"/>
        <v>0</v>
      </c>
      <c r="AU320" s="484">
        <f>I320+AI320</f>
        <v>1974420</v>
      </c>
      <c r="AV320" s="475">
        <f>J320+X320</f>
        <v>1453918</v>
      </c>
      <c r="AW320" s="475">
        <f>K320+AB320</f>
        <v>0</v>
      </c>
      <c r="AX320" s="475">
        <f t="shared" si="742"/>
        <v>491424</v>
      </c>
      <c r="AY320" s="475">
        <f t="shared" si="742"/>
        <v>29078</v>
      </c>
      <c r="AZ320" s="475">
        <f>N320+AH320</f>
        <v>0</v>
      </c>
      <c r="BA320" s="476">
        <f>O320+AT320</f>
        <v>3.1179999999999999</v>
      </c>
      <c r="BB320" s="476">
        <f t="shared" si="743"/>
        <v>3.1179999999999999</v>
      </c>
      <c r="BC320" s="478">
        <f t="shared" si="743"/>
        <v>0</v>
      </c>
    </row>
    <row r="321" spans="1:55" ht="14.1" customHeight="1" x14ac:dyDescent="0.2">
      <c r="A321" s="68">
        <v>64</v>
      </c>
      <c r="B321" s="65">
        <v>2458</v>
      </c>
      <c r="C321" s="66">
        <v>600079741</v>
      </c>
      <c r="D321" s="65">
        <v>72744243</v>
      </c>
      <c r="E321" s="67" t="s">
        <v>694</v>
      </c>
      <c r="F321" s="68">
        <v>3143</v>
      </c>
      <c r="G321" s="80" t="s">
        <v>627</v>
      </c>
      <c r="H321" s="69" t="s">
        <v>278</v>
      </c>
      <c r="I321" s="477">
        <v>64260</v>
      </c>
      <c r="J321" s="472">
        <v>45442</v>
      </c>
      <c r="K321" s="472">
        <v>0</v>
      </c>
      <c r="L321" s="472">
        <v>15359</v>
      </c>
      <c r="M321" s="472">
        <v>909</v>
      </c>
      <c r="N321" s="472">
        <v>2550</v>
      </c>
      <c r="O321" s="473">
        <v>0.18</v>
      </c>
      <c r="P321" s="474">
        <v>0</v>
      </c>
      <c r="Q321" s="483">
        <v>0.18</v>
      </c>
      <c r="R321" s="485">
        <f t="shared" si="734"/>
        <v>0</v>
      </c>
      <c r="S321" s="475">
        <v>0</v>
      </c>
      <c r="T321" s="475">
        <v>0</v>
      </c>
      <c r="U321" s="475">
        <v>0</v>
      </c>
      <c r="V321" s="475">
        <v>0</v>
      </c>
      <c r="W321" s="475">
        <v>0</v>
      </c>
      <c r="X321" s="475">
        <f t="shared" si="735"/>
        <v>0</v>
      </c>
      <c r="Y321" s="475">
        <v>0</v>
      </c>
      <c r="Z321" s="475">
        <v>0</v>
      </c>
      <c r="AA321" s="475">
        <v>0</v>
      </c>
      <c r="AB321" s="475">
        <f t="shared" si="736"/>
        <v>0</v>
      </c>
      <c r="AC321" s="475">
        <f t="shared" si="737"/>
        <v>0</v>
      </c>
      <c r="AD321" s="70">
        <f t="shared" si="738"/>
        <v>0</v>
      </c>
      <c r="AE321" s="70">
        <f t="shared" si="739"/>
        <v>0</v>
      </c>
      <c r="AF321" s="475">
        <v>0</v>
      </c>
      <c r="AG321" s="475">
        <v>0</v>
      </c>
      <c r="AH321" s="475">
        <f t="shared" si="740"/>
        <v>0</v>
      </c>
      <c r="AI321" s="475">
        <f t="shared" si="741"/>
        <v>0</v>
      </c>
      <c r="AJ321" s="476">
        <v>0</v>
      </c>
      <c r="AK321" s="476">
        <v>0</v>
      </c>
      <c r="AL321" s="476">
        <v>0</v>
      </c>
      <c r="AM321" s="476">
        <v>0</v>
      </c>
      <c r="AN321" s="476">
        <v>0</v>
      </c>
      <c r="AO321" s="476">
        <v>0</v>
      </c>
      <c r="AP321" s="476">
        <v>0</v>
      </c>
      <c r="AQ321" s="476">
        <v>0</v>
      </c>
      <c r="AR321" s="476">
        <f t="shared" si="625"/>
        <v>0</v>
      </c>
      <c r="AS321" s="476">
        <f t="shared" si="626"/>
        <v>0</v>
      </c>
      <c r="AT321" s="478">
        <f t="shared" si="627"/>
        <v>0</v>
      </c>
      <c r="AU321" s="484">
        <f>I321+AI321</f>
        <v>64260</v>
      </c>
      <c r="AV321" s="475">
        <f>J321+X321</f>
        <v>45442</v>
      </c>
      <c r="AW321" s="475">
        <f>K321+AB321</f>
        <v>0</v>
      </c>
      <c r="AX321" s="475">
        <f t="shared" si="742"/>
        <v>15359</v>
      </c>
      <c r="AY321" s="475">
        <f t="shared" si="742"/>
        <v>909</v>
      </c>
      <c r="AZ321" s="475">
        <f>N321+AH321</f>
        <v>2550</v>
      </c>
      <c r="BA321" s="476">
        <f>O321+AT321</f>
        <v>0.18</v>
      </c>
      <c r="BB321" s="476">
        <f t="shared" si="743"/>
        <v>0</v>
      </c>
      <c r="BC321" s="478">
        <f t="shared" si="743"/>
        <v>0.18</v>
      </c>
    </row>
    <row r="322" spans="1:55" ht="14.1" customHeight="1" x14ac:dyDescent="0.2">
      <c r="A322" s="74">
        <v>64</v>
      </c>
      <c r="B322" s="71">
        <v>2458</v>
      </c>
      <c r="C322" s="72">
        <v>600079741</v>
      </c>
      <c r="D322" s="71">
        <v>72744243</v>
      </c>
      <c r="E322" s="73" t="s">
        <v>695</v>
      </c>
      <c r="F322" s="74"/>
      <c r="G322" s="73"/>
      <c r="H322" s="75"/>
      <c r="I322" s="76">
        <v>28106998</v>
      </c>
      <c r="J322" s="77">
        <v>20302409</v>
      </c>
      <c r="K322" s="77">
        <v>29200</v>
      </c>
      <c r="L322" s="77">
        <v>6872084</v>
      </c>
      <c r="M322" s="77">
        <v>406047</v>
      </c>
      <c r="N322" s="77">
        <v>497258</v>
      </c>
      <c r="O322" s="78">
        <v>41.759800000000006</v>
      </c>
      <c r="P322" s="78">
        <v>29.057199999999995</v>
      </c>
      <c r="Q322" s="718">
        <v>12.7026</v>
      </c>
      <c r="R322" s="76">
        <f t="shared" ref="R322:BC322" si="744">SUM(R317:R321)</f>
        <v>0</v>
      </c>
      <c r="S322" s="77">
        <f t="shared" si="744"/>
        <v>0</v>
      </c>
      <c r="T322" s="77">
        <f t="shared" si="744"/>
        <v>19094</v>
      </c>
      <c r="U322" s="77">
        <f t="shared" si="744"/>
        <v>0</v>
      </c>
      <c r="V322" s="77">
        <f t="shared" si="744"/>
        <v>0</v>
      </c>
      <c r="W322" s="77">
        <f t="shared" si="744"/>
        <v>0</v>
      </c>
      <c r="X322" s="77">
        <f t="shared" si="744"/>
        <v>19094</v>
      </c>
      <c r="Y322" s="77">
        <f t="shared" si="744"/>
        <v>0</v>
      </c>
      <c r="Z322" s="77">
        <f t="shared" si="744"/>
        <v>0</v>
      </c>
      <c r="AA322" s="77">
        <f t="shared" si="744"/>
        <v>0</v>
      </c>
      <c r="AB322" s="77">
        <f t="shared" si="744"/>
        <v>0</v>
      </c>
      <c r="AC322" s="77">
        <f t="shared" si="744"/>
        <v>19094</v>
      </c>
      <c r="AD322" s="77">
        <f t="shared" si="744"/>
        <v>6454</v>
      </c>
      <c r="AE322" s="77">
        <f t="shared" si="744"/>
        <v>382</v>
      </c>
      <c r="AF322" s="77">
        <f t="shared" si="744"/>
        <v>0</v>
      </c>
      <c r="AG322" s="77">
        <f t="shared" si="744"/>
        <v>0</v>
      </c>
      <c r="AH322" s="77">
        <f t="shared" si="744"/>
        <v>0</v>
      </c>
      <c r="AI322" s="77">
        <f t="shared" si="744"/>
        <v>25930</v>
      </c>
      <c r="AJ322" s="78">
        <f t="shared" si="744"/>
        <v>0</v>
      </c>
      <c r="AK322" s="78">
        <f t="shared" si="744"/>
        <v>0</v>
      </c>
      <c r="AL322" s="78">
        <f t="shared" si="744"/>
        <v>0</v>
      </c>
      <c r="AM322" s="78">
        <f t="shared" si="744"/>
        <v>0</v>
      </c>
      <c r="AN322" s="78">
        <f t="shared" si="744"/>
        <v>6.0000000000000053E-2</v>
      </c>
      <c r="AO322" s="78">
        <f t="shared" si="744"/>
        <v>0</v>
      </c>
      <c r="AP322" s="78">
        <f t="shared" si="744"/>
        <v>0</v>
      </c>
      <c r="AQ322" s="78">
        <f t="shared" si="744"/>
        <v>0</v>
      </c>
      <c r="AR322" s="78">
        <f t="shared" si="744"/>
        <v>0</v>
      </c>
      <c r="AS322" s="78">
        <f t="shared" si="744"/>
        <v>6.0000000000000053E-2</v>
      </c>
      <c r="AT322" s="79">
        <f t="shared" si="744"/>
        <v>6.0000000000000053E-2</v>
      </c>
      <c r="AU322" s="433">
        <f t="shared" si="744"/>
        <v>28132928</v>
      </c>
      <c r="AV322" s="77">
        <f t="shared" si="744"/>
        <v>20321503</v>
      </c>
      <c r="AW322" s="77">
        <f t="shared" si="744"/>
        <v>29200</v>
      </c>
      <c r="AX322" s="77">
        <f t="shared" si="744"/>
        <v>6878538</v>
      </c>
      <c r="AY322" s="77">
        <f t="shared" si="744"/>
        <v>406429</v>
      </c>
      <c r="AZ322" s="77">
        <f t="shared" si="744"/>
        <v>497258</v>
      </c>
      <c r="BA322" s="78">
        <f t="shared" si="744"/>
        <v>41.819800000000001</v>
      </c>
      <c r="BB322" s="78">
        <f t="shared" si="744"/>
        <v>29.057199999999995</v>
      </c>
      <c r="BC322" s="79">
        <f t="shared" si="744"/>
        <v>12.762600000000001</v>
      </c>
    </row>
    <row r="323" spans="1:55" ht="14.1" customHeight="1" x14ac:dyDescent="0.2">
      <c r="A323" s="68">
        <v>65</v>
      </c>
      <c r="B323" s="65">
        <v>2316</v>
      </c>
      <c r="C323" s="66">
        <v>600080439</v>
      </c>
      <c r="D323" s="65">
        <v>70983224</v>
      </c>
      <c r="E323" s="67" t="s">
        <v>696</v>
      </c>
      <c r="F323" s="68">
        <v>3233</v>
      </c>
      <c r="G323" s="67" t="s">
        <v>318</v>
      </c>
      <c r="H323" s="69" t="s">
        <v>278</v>
      </c>
      <c r="I323" s="477">
        <v>2124718</v>
      </c>
      <c r="J323" s="472">
        <v>1534358</v>
      </c>
      <c r="K323" s="472">
        <v>20000</v>
      </c>
      <c r="L323" s="472">
        <v>525373</v>
      </c>
      <c r="M323" s="472">
        <v>30687</v>
      </c>
      <c r="N323" s="472">
        <v>14300</v>
      </c>
      <c r="O323" s="473">
        <v>3.2699999999999996</v>
      </c>
      <c r="P323" s="474">
        <v>2.3199999999999998</v>
      </c>
      <c r="Q323" s="483">
        <v>0.95</v>
      </c>
      <c r="R323" s="485">
        <f t="shared" ref="R323" si="745">Y323*-1</f>
        <v>0</v>
      </c>
      <c r="S323" s="475">
        <v>0</v>
      </c>
      <c r="T323" s="475">
        <v>0</v>
      </c>
      <c r="U323" s="475">
        <v>0</v>
      </c>
      <c r="V323" s="475">
        <v>0</v>
      </c>
      <c r="W323" s="475">
        <v>0</v>
      </c>
      <c r="X323" s="475">
        <f>SUM(R323:W323)</f>
        <v>0</v>
      </c>
      <c r="Y323" s="475">
        <v>0</v>
      </c>
      <c r="Z323" s="475">
        <v>0</v>
      </c>
      <c r="AA323" s="475">
        <v>0</v>
      </c>
      <c r="AB323" s="475">
        <f t="shared" ref="AB323" si="746">SUM(Y323:AA323)</f>
        <v>0</v>
      </c>
      <c r="AC323" s="475">
        <f t="shared" ref="AC323" si="747">X323+AB323</f>
        <v>0</v>
      </c>
      <c r="AD323" s="70">
        <f t="shared" ref="AD323" si="748">ROUND((X323+Y323+Z323)*33.8%,0)</f>
        <v>0</v>
      </c>
      <c r="AE323" s="70">
        <f t="shared" ref="AE323" si="749">ROUND(X323*2%,0)</f>
        <v>0</v>
      </c>
      <c r="AF323" s="475">
        <v>0</v>
      </c>
      <c r="AG323" s="475">
        <v>0</v>
      </c>
      <c r="AH323" s="475">
        <f t="shared" ref="AH323" si="750">SUM(AF323:AG323)</f>
        <v>0</v>
      </c>
      <c r="AI323" s="475">
        <f t="shared" ref="AI323" si="751">AC323+AD323+AE323+AH323</f>
        <v>0</v>
      </c>
      <c r="AJ323" s="476">
        <v>0</v>
      </c>
      <c r="AK323" s="476">
        <v>0</v>
      </c>
      <c r="AL323" s="476">
        <v>0</v>
      </c>
      <c r="AM323" s="476">
        <v>0</v>
      </c>
      <c r="AN323" s="476">
        <v>0</v>
      </c>
      <c r="AO323" s="476">
        <v>0</v>
      </c>
      <c r="AP323" s="476">
        <v>0</v>
      </c>
      <c r="AQ323" s="476">
        <v>0</v>
      </c>
      <c r="AR323" s="476">
        <f t="shared" si="625"/>
        <v>0</v>
      </c>
      <c r="AS323" s="476">
        <f t="shared" si="626"/>
        <v>0</v>
      </c>
      <c r="AT323" s="478">
        <f t="shared" si="627"/>
        <v>0</v>
      </c>
      <c r="AU323" s="484">
        <f>I323+AI323</f>
        <v>2124718</v>
      </c>
      <c r="AV323" s="475">
        <f>J323+X323</f>
        <v>1534358</v>
      </c>
      <c r="AW323" s="475">
        <f>K323+AB323</f>
        <v>20000</v>
      </c>
      <c r="AX323" s="475">
        <f>L323+AD323</f>
        <v>525373</v>
      </c>
      <c r="AY323" s="475">
        <f>M323+AE323</f>
        <v>30687</v>
      </c>
      <c r="AZ323" s="475">
        <f>N323+AH323</f>
        <v>14300</v>
      </c>
      <c r="BA323" s="476">
        <f>O323+AT323</f>
        <v>3.2699999999999996</v>
      </c>
      <c r="BB323" s="476">
        <f>P323+AR323</f>
        <v>2.3199999999999998</v>
      </c>
      <c r="BC323" s="478">
        <f>Q323+AS323</f>
        <v>0.95</v>
      </c>
    </row>
    <row r="324" spans="1:55" ht="14.1" customHeight="1" x14ac:dyDescent="0.2">
      <c r="A324" s="74">
        <v>65</v>
      </c>
      <c r="B324" s="71">
        <v>2316</v>
      </c>
      <c r="C324" s="72">
        <v>600080439</v>
      </c>
      <c r="D324" s="71">
        <v>70983224</v>
      </c>
      <c r="E324" s="73" t="s">
        <v>697</v>
      </c>
      <c r="F324" s="74"/>
      <c r="G324" s="73"/>
      <c r="H324" s="75"/>
      <c r="I324" s="76">
        <v>2124718</v>
      </c>
      <c r="J324" s="77">
        <v>1534358</v>
      </c>
      <c r="K324" s="77">
        <v>20000</v>
      </c>
      <c r="L324" s="77">
        <v>525373</v>
      </c>
      <c r="M324" s="77">
        <v>30687</v>
      </c>
      <c r="N324" s="77">
        <v>14300</v>
      </c>
      <c r="O324" s="78">
        <v>3.2699999999999996</v>
      </c>
      <c r="P324" s="78">
        <v>2.3199999999999998</v>
      </c>
      <c r="Q324" s="718">
        <v>0.95</v>
      </c>
      <c r="R324" s="76">
        <f t="shared" ref="R324:BC324" si="752">SUM(R323)</f>
        <v>0</v>
      </c>
      <c r="S324" s="77">
        <f t="shared" si="752"/>
        <v>0</v>
      </c>
      <c r="T324" s="77">
        <f t="shared" si="752"/>
        <v>0</v>
      </c>
      <c r="U324" s="77">
        <f t="shared" si="752"/>
        <v>0</v>
      </c>
      <c r="V324" s="77">
        <f t="shared" si="752"/>
        <v>0</v>
      </c>
      <c r="W324" s="77">
        <f t="shared" si="752"/>
        <v>0</v>
      </c>
      <c r="X324" s="77">
        <f t="shared" si="752"/>
        <v>0</v>
      </c>
      <c r="Y324" s="77">
        <f t="shared" si="752"/>
        <v>0</v>
      </c>
      <c r="Z324" s="77">
        <f t="shared" si="752"/>
        <v>0</v>
      </c>
      <c r="AA324" s="77">
        <f t="shared" si="752"/>
        <v>0</v>
      </c>
      <c r="AB324" s="77">
        <f t="shared" si="752"/>
        <v>0</v>
      </c>
      <c r="AC324" s="77">
        <f t="shared" si="752"/>
        <v>0</v>
      </c>
      <c r="AD324" s="77">
        <f t="shared" si="752"/>
        <v>0</v>
      </c>
      <c r="AE324" s="77">
        <f t="shared" si="752"/>
        <v>0</v>
      </c>
      <c r="AF324" s="77">
        <f t="shared" si="752"/>
        <v>0</v>
      </c>
      <c r="AG324" s="77">
        <f t="shared" si="752"/>
        <v>0</v>
      </c>
      <c r="AH324" s="77">
        <f t="shared" si="752"/>
        <v>0</v>
      </c>
      <c r="AI324" s="77">
        <f t="shared" si="752"/>
        <v>0</v>
      </c>
      <c r="AJ324" s="78">
        <f t="shared" si="752"/>
        <v>0</v>
      </c>
      <c r="AK324" s="78">
        <f t="shared" si="752"/>
        <v>0</v>
      </c>
      <c r="AL324" s="78">
        <f t="shared" si="752"/>
        <v>0</v>
      </c>
      <c r="AM324" s="78">
        <f t="shared" si="752"/>
        <v>0</v>
      </c>
      <c r="AN324" s="78">
        <f t="shared" si="752"/>
        <v>0</v>
      </c>
      <c r="AO324" s="78">
        <f t="shared" si="752"/>
        <v>0</v>
      </c>
      <c r="AP324" s="78">
        <f t="shared" si="752"/>
        <v>0</v>
      </c>
      <c r="AQ324" s="78">
        <f t="shared" si="752"/>
        <v>0</v>
      </c>
      <c r="AR324" s="78">
        <f t="shared" si="752"/>
        <v>0</v>
      </c>
      <c r="AS324" s="78">
        <f t="shared" si="752"/>
        <v>0</v>
      </c>
      <c r="AT324" s="79">
        <f t="shared" si="752"/>
        <v>0</v>
      </c>
      <c r="AU324" s="433">
        <f t="shared" si="752"/>
        <v>2124718</v>
      </c>
      <c r="AV324" s="77">
        <f t="shared" si="752"/>
        <v>1534358</v>
      </c>
      <c r="AW324" s="77">
        <f t="shared" si="752"/>
        <v>20000</v>
      </c>
      <c r="AX324" s="77">
        <f t="shared" si="752"/>
        <v>525373</v>
      </c>
      <c r="AY324" s="77">
        <f t="shared" si="752"/>
        <v>30687</v>
      </c>
      <c r="AZ324" s="77">
        <f t="shared" si="752"/>
        <v>14300</v>
      </c>
      <c r="BA324" s="78">
        <f t="shared" si="752"/>
        <v>3.2699999999999996</v>
      </c>
      <c r="BB324" s="78">
        <f t="shared" si="752"/>
        <v>2.3199999999999998</v>
      </c>
      <c r="BC324" s="79">
        <f t="shared" si="752"/>
        <v>0.95</v>
      </c>
    </row>
    <row r="325" spans="1:55" ht="14.1" customHeight="1" x14ac:dyDescent="0.2">
      <c r="A325" s="68">
        <v>66</v>
      </c>
      <c r="B325" s="65">
        <v>2402</v>
      </c>
      <c r="C325" s="66">
        <v>600078949</v>
      </c>
      <c r="D325" s="65">
        <v>70983208</v>
      </c>
      <c r="E325" s="67" t="s">
        <v>698</v>
      </c>
      <c r="F325" s="68">
        <v>3111</v>
      </c>
      <c r="G325" s="67" t="s">
        <v>311</v>
      </c>
      <c r="H325" s="69" t="s">
        <v>277</v>
      </c>
      <c r="I325" s="477">
        <v>7022902</v>
      </c>
      <c r="J325" s="643">
        <v>5072919</v>
      </c>
      <c r="K325" s="643">
        <v>93378</v>
      </c>
      <c r="L325" s="472">
        <v>1714647</v>
      </c>
      <c r="M325" s="472">
        <v>101458</v>
      </c>
      <c r="N325" s="472">
        <v>40500</v>
      </c>
      <c r="O325" s="473">
        <v>11.2682</v>
      </c>
      <c r="P325" s="473">
        <v>8</v>
      </c>
      <c r="Q325" s="483">
        <v>3.2681999999999998</v>
      </c>
      <c r="R325" s="485">
        <f t="shared" ref="R325:R327" si="753">Y325*-1</f>
        <v>0</v>
      </c>
      <c r="S325" s="475">
        <v>0</v>
      </c>
      <c r="T325" s="475">
        <v>0</v>
      </c>
      <c r="U325" s="475">
        <v>0</v>
      </c>
      <c r="V325" s="475">
        <v>0</v>
      </c>
      <c r="W325" s="475">
        <v>0</v>
      </c>
      <c r="X325" s="475">
        <f t="shared" ref="X325:X327" si="754">SUM(R325:W325)</f>
        <v>0</v>
      </c>
      <c r="Y325" s="475">
        <v>0</v>
      </c>
      <c r="Z325" s="475">
        <v>0</v>
      </c>
      <c r="AA325" s="475">
        <v>0</v>
      </c>
      <c r="AB325" s="475">
        <f t="shared" ref="AB325:AB327" si="755">SUM(Y325:AA325)</f>
        <v>0</v>
      </c>
      <c r="AC325" s="475">
        <f t="shared" ref="AC325:AC327" si="756">X325+AB325</f>
        <v>0</v>
      </c>
      <c r="AD325" s="70">
        <f t="shared" ref="AD325:AD327" si="757">ROUND((X325+Y325+Z325)*33.8%,0)</f>
        <v>0</v>
      </c>
      <c r="AE325" s="70">
        <f t="shared" ref="AE325:AE327" si="758">ROUND(X325*2%,0)</f>
        <v>0</v>
      </c>
      <c r="AF325" s="475">
        <v>0</v>
      </c>
      <c r="AG325" s="475">
        <v>0</v>
      </c>
      <c r="AH325" s="475">
        <f t="shared" ref="AH325:AH327" si="759">SUM(AF325:AG325)</f>
        <v>0</v>
      </c>
      <c r="AI325" s="475">
        <f t="shared" ref="AI325:AI327" si="760">AC325+AD325+AE325+AH325</f>
        <v>0</v>
      </c>
      <c r="AJ325" s="476">
        <v>0</v>
      </c>
      <c r="AK325" s="476">
        <v>0</v>
      </c>
      <c r="AL325" s="476">
        <v>0</v>
      </c>
      <c r="AM325" s="476">
        <v>0</v>
      </c>
      <c r="AN325" s="476">
        <v>0</v>
      </c>
      <c r="AO325" s="476">
        <v>0</v>
      </c>
      <c r="AP325" s="476">
        <v>0</v>
      </c>
      <c r="AQ325" s="476">
        <v>0</v>
      </c>
      <c r="AR325" s="476">
        <f t="shared" si="625"/>
        <v>0</v>
      </c>
      <c r="AS325" s="476">
        <f t="shared" si="626"/>
        <v>0</v>
      </c>
      <c r="AT325" s="478">
        <f t="shared" si="627"/>
        <v>0</v>
      </c>
      <c r="AU325" s="484">
        <f>I325+AI325</f>
        <v>7022902</v>
      </c>
      <c r="AV325" s="475">
        <f>J325+X325</f>
        <v>5072919</v>
      </c>
      <c r="AW325" s="475">
        <f>K325+AB325</f>
        <v>93378</v>
      </c>
      <c r="AX325" s="475">
        <f t="shared" ref="AX325:AY327" si="761">L325+AD325</f>
        <v>1714647</v>
      </c>
      <c r="AY325" s="475">
        <f t="shared" si="761"/>
        <v>101458</v>
      </c>
      <c r="AZ325" s="475">
        <f>N325+AH325</f>
        <v>40500</v>
      </c>
      <c r="BA325" s="476">
        <f>O325+AT325</f>
        <v>11.2682</v>
      </c>
      <c r="BB325" s="476">
        <f t="shared" ref="BB325:BC327" si="762">P325+AR325</f>
        <v>8</v>
      </c>
      <c r="BC325" s="478">
        <f t="shared" si="762"/>
        <v>3.2681999999999998</v>
      </c>
    </row>
    <row r="326" spans="1:55" ht="14.1" customHeight="1" x14ac:dyDescent="0.2">
      <c r="A326" s="68">
        <v>66</v>
      </c>
      <c r="B326" s="65">
        <v>2402</v>
      </c>
      <c r="C326" s="66">
        <v>600078949</v>
      </c>
      <c r="D326" s="65">
        <v>70983208</v>
      </c>
      <c r="E326" s="67" t="s">
        <v>698</v>
      </c>
      <c r="F326" s="68">
        <v>3111</v>
      </c>
      <c r="G326" s="67" t="s">
        <v>312</v>
      </c>
      <c r="H326" s="69" t="s">
        <v>278</v>
      </c>
      <c r="I326" s="477">
        <v>470470</v>
      </c>
      <c r="J326" s="472">
        <v>346443</v>
      </c>
      <c r="K326" s="472">
        <v>0</v>
      </c>
      <c r="L326" s="472">
        <v>117098</v>
      </c>
      <c r="M326" s="472">
        <v>6929</v>
      </c>
      <c r="N326" s="472">
        <v>0</v>
      </c>
      <c r="O326" s="473">
        <v>1</v>
      </c>
      <c r="P326" s="474">
        <v>1</v>
      </c>
      <c r="Q326" s="483">
        <v>0</v>
      </c>
      <c r="R326" s="485">
        <f t="shared" si="753"/>
        <v>0</v>
      </c>
      <c r="S326" s="475">
        <v>0</v>
      </c>
      <c r="T326" s="475">
        <v>0</v>
      </c>
      <c r="U326" s="475">
        <v>0</v>
      </c>
      <c r="V326" s="475">
        <v>0</v>
      </c>
      <c r="W326" s="475">
        <v>0</v>
      </c>
      <c r="X326" s="475">
        <f t="shared" si="754"/>
        <v>0</v>
      </c>
      <c r="Y326" s="475">
        <v>0</v>
      </c>
      <c r="Z326" s="475">
        <v>0</v>
      </c>
      <c r="AA326" s="475">
        <v>0</v>
      </c>
      <c r="AB326" s="475">
        <f t="shared" si="755"/>
        <v>0</v>
      </c>
      <c r="AC326" s="475">
        <f t="shared" si="756"/>
        <v>0</v>
      </c>
      <c r="AD326" s="70">
        <f t="shared" si="757"/>
        <v>0</v>
      </c>
      <c r="AE326" s="70">
        <f t="shared" si="758"/>
        <v>0</v>
      </c>
      <c r="AF326" s="475">
        <v>0</v>
      </c>
      <c r="AG326" s="475">
        <v>0</v>
      </c>
      <c r="AH326" s="475">
        <f t="shared" si="759"/>
        <v>0</v>
      </c>
      <c r="AI326" s="475">
        <f t="shared" si="760"/>
        <v>0</v>
      </c>
      <c r="AJ326" s="476">
        <v>0</v>
      </c>
      <c r="AK326" s="476">
        <v>0</v>
      </c>
      <c r="AL326" s="476">
        <v>0</v>
      </c>
      <c r="AM326" s="476">
        <v>0</v>
      </c>
      <c r="AN326" s="476">
        <v>0</v>
      </c>
      <c r="AO326" s="476">
        <v>0</v>
      </c>
      <c r="AP326" s="476">
        <v>0</v>
      </c>
      <c r="AQ326" s="476">
        <v>0</v>
      </c>
      <c r="AR326" s="476">
        <f t="shared" si="625"/>
        <v>0</v>
      </c>
      <c r="AS326" s="476">
        <f t="shared" si="626"/>
        <v>0</v>
      </c>
      <c r="AT326" s="478">
        <f t="shared" si="627"/>
        <v>0</v>
      </c>
      <c r="AU326" s="484">
        <f>I326+AI326</f>
        <v>470470</v>
      </c>
      <c r="AV326" s="475">
        <f>J326+X326</f>
        <v>346443</v>
      </c>
      <c r="AW326" s="475">
        <f>K326+AB326</f>
        <v>0</v>
      </c>
      <c r="AX326" s="475">
        <f t="shared" si="761"/>
        <v>117098</v>
      </c>
      <c r="AY326" s="475">
        <f t="shared" si="761"/>
        <v>6929</v>
      </c>
      <c r="AZ326" s="475">
        <f>N326+AH326</f>
        <v>0</v>
      </c>
      <c r="BA326" s="476">
        <f>O326+AT326</f>
        <v>1</v>
      </c>
      <c r="BB326" s="476">
        <f t="shared" si="762"/>
        <v>1</v>
      </c>
      <c r="BC326" s="478">
        <f t="shared" si="762"/>
        <v>0</v>
      </c>
    </row>
    <row r="327" spans="1:55" ht="14.1" customHeight="1" x14ac:dyDescent="0.2">
      <c r="A327" s="68">
        <v>66</v>
      </c>
      <c r="B327" s="65">
        <v>2402</v>
      </c>
      <c r="C327" s="66">
        <v>600078949</v>
      </c>
      <c r="D327" s="65">
        <v>70983208</v>
      </c>
      <c r="E327" s="67" t="s">
        <v>698</v>
      </c>
      <c r="F327" s="68">
        <v>3141</v>
      </c>
      <c r="G327" s="67" t="s">
        <v>315</v>
      </c>
      <c r="H327" s="69" t="s">
        <v>278</v>
      </c>
      <c r="I327" s="477">
        <v>1235079</v>
      </c>
      <c r="J327" s="472">
        <v>905322</v>
      </c>
      <c r="K327" s="472">
        <v>0</v>
      </c>
      <c r="L327" s="472">
        <v>305999</v>
      </c>
      <c r="M327" s="472">
        <v>18106</v>
      </c>
      <c r="N327" s="472">
        <v>5652</v>
      </c>
      <c r="O327" s="473">
        <v>2.85</v>
      </c>
      <c r="P327" s="474">
        <v>0</v>
      </c>
      <c r="Q327" s="483">
        <v>2.85</v>
      </c>
      <c r="R327" s="485">
        <f t="shared" si="753"/>
        <v>0</v>
      </c>
      <c r="S327" s="475">
        <v>0</v>
      </c>
      <c r="T327" s="755">
        <v>-11831</v>
      </c>
      <c r="U327" s="475">
        <v>0</v>
      </c>
      <c r="V327" s="475">
        <v>0</v>
      </c>
      <c r="W327" s="475">
        <v>0</v>
      </c>
      <c r="X327" s="475">
        <f t="shared" si="754"/>
        <v>-11831</v>
      </c>
      <c r="Y327" s="475">
        <v>0</v>
      </c>
      <c r="Z327" s="475">
        <v>0</v>
      </c>
      <c r="AA327" s="475">
        <v>0</v>
      </c>
      <c r="AB327" s="475">
        <f t="shared" si="755"/>
        <v>0</v>
      </c>
      <c r="AC327" s="475">
        <f t="shared" si="756"/>
        <v>-11831</v>
      </c>
      <c r="AD327" s="70">
        <f t="shared" si="757"/>
        <v>-3999</v>
      </c>
      <c r="AE327" s="70">
        <f t="shared" si="758"/>
        <v>-237</v>
      </c>
      <c r="AF327" s="475">
        <v>0</v>
      </c>
      <c r="AG327" s="475">
        <v>0</v>
      </c>
      <c r="AH327" s="475">
        <f t="shared" si="759"/>
        <v>0</v>
      </c>
      <c r="AI327" s="475">
        <f t="shared" si="760"/>
        <v>-16067</v>
      </c>
      <c r="AJ327" s="476">
        <v>0</v>
      </c>
      <c r="AK327" s="476">
        <v>0</v>
      </c>
      <c r="AL327" s="476">
        <v>0</v>
      </c>
      <c r="AM327" s="476">
        <v>0</v>
      </c>
      <c r="AN327" s="757">
        <v>-3.9999999999999911E-2</v>
      </c>
      <c r="AO327" s="476">
        <v>0</v>
      </c>
      <c r="AP327" s="476">
        <v>0</v>
      </c>
      <c r="AQ327" s="476">
        <v>0</v>
      </c>
      <c r="AR327" s="476">
        <f t="shared" si="625"/>
        <v>0</v>
      </c>
      <c r="AS327" s="476">
        <f t="shared" si="626"/>
        <v>-3.9999999999999911E-2</v>
      </c>
      <c r="AT327" s="478">
        <f t="shared" si="627"/>
        <v>-3.9999999999999911E-2</v>
      </c>
      <c r="AU327" s="484">
        <f>I327+AI327</f>
        <v>1219012</v>
      </c>
      <c r="AV327" s="475">
        <f>J327+X327</f>
        <v>893491</v>
      </c>
      <c r="AW327" s="475">
        <f>K327+AB327</f>
        <v>0</v>
      </c>
      <c r="AX327" s="475">
        <f t="shared" si="761"/>
        <v>302000</v>
      </c>
      <c r="AY327" s="475">
        <f t="shared" si="761"/>
        <v>17869</v>
      </c>
      <c r="AZ327" s="475">
        <f>N327+AH327</f>
        <v>5652</v>
      </c>
      <c r="BA327" s="476">
        <f>O327+AT327</f>
        <v>2.81</v>
      </c>
      <c r="BB327" s="476">
        <f t="shared" si="762"/>
        <v>0</v>
      </c>
      <c r="BC327" s="478">
        <f t="shared" si="762"/>
        <v>2.81</v>
      </c>
    </row>
    <row r="328" spans="1:55" ht="14.1" customHeight="1" x14ac:dyDescent="0.2">
      <c r="A328" s="74">
        <v>66</v>
      </c>
      <c r="B328" s="71">
        <v>2402</v>
      </c>
      <c r="C328" s="72">
        <v>600078949</v>
      </c>
      <c r="D328" s="71">
        <v>70983208</v>
      </c>
      <c r="E328" s="73" t="s">
        <v>699</v>
      </c>
      <c r="F328" s="74"/>
      <c r="G328" s="73"/>
      <c r="H328" s="75"/>
      <c r="I328" s="76">
        <v>8728451</v>
      </c>
      <c r="J328" s="77">
        <v>6324684</v>
      </c>
      <c r="K328" s="77">
        <v>93378</v>
      </c>
      <c r="L328" s="77">
        <v>2137744</v>
      </c>
      <c r="M328" s="77">
        <v>126493</v>
      </c>
      <c r="N328" s="77">
        <v>46152</v>
      </c>
      <c r="O328" s="78">
        <v>15.1182</v>
      </c>
      <c r="P328" s="78">
        <v>9</v>
      </c>
      <c r="Q328" s="718">
        <v>6.1181999999999999</v>
      </c>
      <c r="R328" s="76">
        <f t="shared" ref="R328:BC328" si="763">SUM(R325:R327)</f>
        <v>0</v>
      </c>
      <c r="S328" s="77">
        <f t="shared" si="763"/>
        <v>0</v>
      </c>
      <c r="T328" s="77">
        <f t="shared" si="763"/>
        <v>-11831</v>
      </c>
      <c r="U328" s="77">
        <f t="shared" si="763"/>
        <v>0</v>
      </c>
      <c r="V328" s="77">
        <f t="shared" si="763"/>
        <v>0</v>
      </c>
      <c r="W328" s="77">
        <f t="shared" si="763"/>
        <v>0</v>
      </c>
      <c r="X328" s="77">
        <f t="shared" si="763"/>
        <v>-11831</v>
      </c>
      <c r="Y328" s="77">
        <f t="shared" si="763"/>
        <v>0</v>
      </c>
      <c r="Z328" s="77">
        <f t="shared" si="763"/>
        <v>0</v>
      </c>
      <c r="AA328" s="77">
        <f t="shared" si="763"/>
        <v>0</v>
      </c>
      <c r="AB328" s="77">
        <f t="shared" si="763"/>
        <v>0</v>
      </c>
      <c r="AC328" s="77">
        <f t="shared" si="763"/>
        <v>-11831</v>
      </c>
      <c r="AD328" s="77">
        <f t="shared" si="763"/>
        <v>-3999</v>
      </c>
      <c r="AE328" s="77">
        <f t="shared" si="763"/>
        <v>-237</v>
      </c>
      <c r="AF328" s="77">
        <f t="shared" si="763"/>
        <v>0</v>
      </c>
      <c r="AG328" s="77">
        <f t="shared" si="763"/>
        <v>0</v>
      </c>
      <c r="AH328" s="77">
        <f t="shared" si="763"/>
        <v>0</v>
      </c>
      <c r="AI328" s="77">
        <f t="shared" si="763"/>
        <v>-16067</v>
      </c>
      <c r="AJ328" s="78">
        <f t="shared" si="763"/>
        <v>0</v>
      </c>
      <c r="AK328" s="78">
        <f t="shared" si="763"/>
        <v>0</v>
      </c>
      <c r="AL328" s="78">
        <f t="shared" si="763"/>
        <v>0</v>
      </c>
      <c r="AM328" s="78">
        <f t="shared" si="763"/>
        <v>0</v>
      </c>
      <c r="AN328" s="78">
        <f t="shared" si="763"/>
        <v>-3.9999999999999911E-2</v>
      </c>
      <c r="AO328" s="78">
        <f t="shared" si="763"/>
        <v>0</v>
      </c>
      <c r="AP328" s="78">
        <f t="shared" si="763"/>
        <v>0</v>
      </c>
      <c r="AQ328" s="78">
        <f t="shared" si="763"/>
        <v>0</v>
      </c>
      <c r="AR328" s="78">
        <f t="shared" si="763"/>
        <v>0</v>
      </c>
      <c r="AS328" s="78">
        <f t="shared" si="763"/>
        <v>-3.9999999999999911E-2</v>
      </c>
      <c r="AT328" s="79">
        <f t="shared" si="763"/>
        <v>-3.9999999999999911E-2</v>
      </c>
      <c r="AU328" s="433">
        <f t="shared" si="763"/>
        <v>8712384</v>
      </c>
      <c r="AV328" s="77">
        <f t="shared" si="763"/>
        <v>6312853</v>
      </c>
      <c r="AW328" s="77">
        <f t="shared" si="763"/>
        <v>93378</v>
      </c>
      <c r="AX328" s="77">
        <f t="shared" si="763"/>
        <v>2133745</v>
      </c>
      <c r="AY328" s="77">
        <f t="shared" si="763"/>
        <v>126256</v>
      </c>
      <c r="AZ328" s="77">
        <f t="shared" si="763"/>
        <v>46152</v>
      </c>
      <c r="BA328" s="78">
        <f t="shared" si="763"/>
        <v>15.078200000000001</v>
      </c>
      <c r="BB328" s="78">
        <f t="shared" si="763"/>
        <v>9</v>
      </c>
      <c r="BC328" s="79">
        <f t="shared" si="763"/>
        <v>6.0781999999999998</v>
      </c>
    </row>
    <row r="329" spans="1:55" ht="14.1" customHeight="1" x14ac:dyDescent="0.2">
      <c r="A329" s="68">
        <v>67</v>
      </c>
      <c r="B329" s="65">
        <v>2404</v>
      </c>
      <c r="C329" s="66">
        <v>600078957</v>
      </c>
      <c r="D329" s="65">
        <v>70983135</v>
      </c>
      <c r="E329" s="67" t="s">
        <v>700</v>
      </c>
      <c r="F329" s="68">
        <v>3111</v>
      </c>
      <c r="G329" s="67" t="s">
        <v>311</v>
      </c>
      <c r="H329" s="69" t="s">
        <v>277</v>
      </c>
      <c r="I329" s="477">
        <v>5199722</v>
      </c>
      <c r="J329" s="643">
        <v>3805760</v>
      </c>
      <c r="K329" s="643">
        <v>0</v>
      </c>
      <c r="L329" s="472">
        <v>1286347</v>
      </c>
      <c r="M329" s="472">
        <v>76115</v>
      </c>
      <c r="N329" s="472">
        <v>31500</v>
      </c>
      <c r="O329" s="473">
        <v>8.1341999999999999</v>
      </c>
      <c r="P329" s="473">
        <v>6</v>
      </c>
      <c r="Q329" s="483">
        <v>2.1341999999999999</v>
      </c>
      <c r="R329" s="485">
        <f t="shared" ref="R329:R331" si="764">Y329*-1</f>
        <v>0</v>
      </c>
      <c r="S329" s="475">
        <v>0</v>
      </c>
      <c r="T329" s="475">
        <v>0</v>
      </c>
      <c r="U329" s="475">
        <v>0</v>
      </c>
      <c r="V329" s="475">
        <v>0</v>
      </c>
      <c r="W329" s="475">
        <v>0</v>
      </c>
      <c r="X329" s="475">
        <f t="shared" ref="X329:X331" si="765">SUM(R329:W329)</f>
        <v>0</v>
      </c>
      <c r="Y329" s="475">
        <v>0</v>
      </c>
      <c r="Z329" s="475">
        <v>0</v>
      </c>
      <c r="AA329" s="475">
        <v>0</v>
      </c>
      <c r="AB329" s="475">
        <f t="shared" ref="AB329:AB331" si="766">SUM(Y329:AA329)</f>
        <v>0</v>
      </c>
      <c r="AC329" s="475">
        <f t="shared" ref="AC329:AC331" si="767">X329+AB329</f>
        <v>0</v>
      </c>
      <c r="AD329" s="70">
        <f t="shared" ref="AD329:AD331" si="768">ROUND((X329+Y329+Z329)*33.8%,0)</f>
        <v>0</v>
      </c>
      <c r="AE329" s="70">
        <f t="shared" ref="AE329:AE331" si="769">ROUND(X329*2%,0)</f>
        <v>0</v>
      </c>
      <c r="AF329" s="475">
        <v>0</v>
      </c>
      <c r="AG329" s="475">
        <v>0</v>
      </c>
      <c r="AH329" s="475">
        <f t="shared" ref="AH329:AH331" si="770">SUM(AF329:AG329)</f>
        <v>0</v>
      </c>
      <c r="AI329" s="475">
        <f t="shared" ref="AI329:AI331" si="771">AC329+AD329+AE329+AH329</f>
        <v>0</v>
      </c>
      <c r="AJ329" s="476">
        <v>0</v>
      </c>
      <c r="AK329" s="476">
        <v>0</v>
      </c>
      <c r="AL329" s="476">
        <v>0</v>
      </c>
      <c r="AM329" s="476">
        <v>0</v>
      </c>
      <c r="AN329" s="476">
        <v>0</v>
      </c>
      <c r="AO329" s="476">
        <v>0</v>
      </c>
      <c r="AP329" s="476">
        <v>0</v>
      </c>
      <c r="AQ329" s="476">
        <v>0</v>
      </c>
      <c r="AR329" s="476">
        <f t="shared" si="625"/>
        <v>0</v>
      </c>
      <c r="AS329" s="476">
        <f t="shared" si="626"/>
        <v>0</v>
      </c>
      <c r="AT329" s="478">
        <f t="shared" si="627"/>
        <v>0</v>
      </c>
      <c r="AU329" s="484">
        <f>I329+AI329</f>
        <v>5199722</v>
      </c>
      <c r="AV329" s="475">
        <f>J329+X329</f>
        <v>3805760</v>
      </c>
      <c r="AW329" s="475">
        <f>K329+AB329</f>
        <v>0</v>
      </c>
      <c r="AX329" s="475">
        <f t="shared" ref="AX329:AY331" si="772">L329+AD329</f>
        <v>1286347</v>
      </c>
      <c r="AY329" s="475">
        <f t="shared" si="772"/>
        <v>76115</v>
      </c>
      <c r="AZ329" s="475">
        <f>N329+AH329</f>
        <v>31500</v>
      </c>
      <c r="BA329" s="476">
        <f>O329+AT329</f>
        <v>8.1341999999999999</v>
      </c>
      <c r="BB329" s="476">
        <f t="shared" ref="BB329:BC331" si="773">P329+AR329</f>
        <v>6</v>
      </c>
      <c r="BC329" s="478">
        <f t="shared" si="773"/>
        <v>2.1341999999999999</v>
      </c>
    </row>
    <row r="330" spans="1:55" ht="14.1" customHeight="1" x14ac:dyDescent="0.2">
      <c r="A330" s="68">
        <v>67</v>
      </c>
      <c r="B330" s="65">
        <v>2404</v>
      </c>
      <c r="C330" s="66">
        <v>600078957</v>
      </c>
      <c r="D330" s="65">
        <v>70983135</v>
      </c>
      <c r="E330" s="67" t="s">
        <v>700</v>
      </c>
      <c r="F330" s="68">
        <v>3111</v>
      </c>
      <c r="G330" s="80" t="s">
        <v>312</v>
      </c>
      <c r="H330" s="69" t="s">
        <v>278</v>
      </c>
      <c r="I330" s="477">
        <v>940939</v>
      </c>
      <c r="J330" s="472">
        <v>692886</v>
      </c>
      <c r="K330" s="472">
        <v>0</v>
      </c>
      <c r="L330" s="472">
        <v>234195</v>
      </c>
      <c r="M330" s="472">
        <v>13858</v>
      </c>
      <c r="N330" s="472">
        <v>0</v>
      </c>
      <c r="O330" s="473">
        <v>2</v>
      </c>
      <c r="P330" s="474">
        <v>2</v>
      </c>
      <c r="Q330" s="483">
        <v>0</v>
      </c>
      <c r="R330" s="485">
        <f t="shared" si="764"/>
        <v>0</v>
      </c>
      <c r="S330" s="475">
        <v>-115481</v>
      </c>
      <c r="T330" s="475">
        <v>0</v>
      </c>
      <c r="U330" s="475">
        <v>0</v>
      </c>
      <c r="V330" s="475">
        <v>0</v>
      </c>
      <c r="W330" s="475">
        <v>0</v>
      </c>
      <c r="X330" s="475">
        <f t="shared" si="765"/>
        <v>-115481</v>
      </c>
      <c r="Y330" s="475">
        <v>0</v>
      </c>
      <c r="Z330" s="475">
        <v>0</v>
      </c>
      <c r="AA330" s="475">
        <v>0</v>
      </c>
      <c r="AB330" s="475">
        <f t="shared" si="766"/>
        <v>0</v>
      </c>
      <c r="AC330" s="475">
        <f t="shared" si="767"/>
        <v>-115481</v>
      </c>
      <c r="AD330" s="70">
        <f t="shared" si="768"/>
        <v>-39033</v>
      </c>
      <c r="AE330" s="70">
        <f t="shared" si="769"/>
        <v>-2310</v>
      </c>
      <c r="AF330" s="475">
        <v>500</v>
      </c>
      <c r="AG330" s="475">
        <v>0</v>
      </c>
      <c r="AH330" s="475">
        <f t="shared" si="770"/>
        <v>500</v>
      </c>
      <c r="AI330" s="475">
        <f t="shared" si="771"/>
        <v>-156324</v>
      </c>
      <c r="AJ330" s="476">
        <v>0</v>
      </c>
      <c r="AK330" s="476">
        <v>0</v>
      </c>
      <c r="AL330" s="476">
        <v>-0.33</v>
      </c>
      <c r="AM330" s="476">
        <v>0</v>
      </c>
      <c r="AN330" s="476">
        <v>0</v>
      </c>
      <c r="AO330" s="476">
        <v>0</v>
      </c>
      <c r="AP330" s="476">
        <v>0</v>
      </c>
      <c r="AQ330" s="476">
        <v>0</v>
      </c>
      <c r="AR330" s="476">
        <f t="shared" si="625"/>
        <v>-0.33</v>
      </c>
      <c r="AS330" s="476">
        <f t="shared" si="626"/>
        <v>0</v>
      </c>
      <c r="AT330" s="478">
        <f t="shared" si="627"/>
        <v>-0.33</v>
      </c>
      <c r="AU330" s="484">
        <f>I330+AI330</f>
        <v>784615</v>
      </c>
      <c r="AV330" s="475">
        <f>J330+X330</f>
        <v>577405</v>
      </c>
      <c r="AW330" s="475">
        <f>K330+AB330</f>
        <v>0</v>
      </c>
      <c r="AX330" s="475">
        <f t="shared" si="772"/>
        <v>195162</v>
      </c>
      <c r="AY330" s="475">
        <f t="shared" si="772"/>
        <v>11548</v>
      </c>
      <c r="AZ330" s="475">
        <f>N330+AH330</f>
        <v>500</v>
      </c>
      <c r="BA330" s="476">
        <f>O330+AT330</f>
        <v>1.67</v>
      </c>
      <c r="BB330" s="476">
        <f t="shared" si="773"/>
        <v>1.67</v>
      </c>
      <c r="BC330" s="478">
        <f t="shared" si="773"/>
        <v>0</v>
      </c>
    </row>
    <row r="331" spans="1:55" ht="14.1" customHeight="1" x14ac:dyDescent="0.2">
      <c r="A331" s="68">
        <v>67</v>
      </c>
      <c r="B331" s="65">
        <v>2404</v>
      </c>
      <c r="C331" s="66">
        <v>600078957</v>
      </c>
      <c r="D331" s="65">
        <v>70983135</v>
      </c>
      <c r="E331" s="67" t="s">
        <v>700</v>
      </c>
      <c r="F331" s="68">
        <v>3141</v>
      </c>
      <c r="G331" s="67" t="s">
        <v>315</v>
      </c>
      <c r="H331" s="69" t="s">
        <v>278</v>
      </c>
      <c r="I331" s="477">
        <v>863507</v>
      </c>
      <c r="J331" s="472">
        <v>632877</v>
      </c>
      <c r="K331" s="472">
        <v>0</v>
      </c>
      <c r="L331" s="472">
        <v>213912</v>
      </c>
      <c r="M331" s="472">
        <v>12658</v>
      </c>
      <c r="N331" s="472">
        <v>4060</v>
      </c>
      <c r="O331" s="473">
        <v>1.99</v>
      </c>
      <c r="P331" s="474">
        <v>0</v>
      </c>
      <c r="Q331" s="483">
        <v>1.99</v>
      </c>
      <c r="R331" s="485">
        <f t="shared" si="764"/>
        <v>0</v>
      </c>
      <c r="S331" s="475">
        <v>0</v>
      </c>
      <c r="T331" s="755">
        <v>-2036</v>
      </c>
      <c r="U331" s="475">
        <v>0</v>
      </c>
      <c r="V331" s="475">
        <v>0</v>
      </c>
      <c r="W331" s="475">
        <v>0</v>
      </c>
      <c r="X331" s="475">
        <f t="shared" si="765"/>
        <v>-2036</v>
      </c>
      <c r="Y331" s="475">
        <v>0</v>
      </c>
      <c r="Z331" s="475">
        <v>0</v>
      </c>
      <c r="AA331" s="475">
        <v>0</v>
      </c>
      <c r="AB331" s="475">
        <f t="shared" si="766"/>
        <v>0</v>
      </c>
      <c r="AC331" s="475">
        <f t="shared" si="767"/>
        <v>-2036</v>
      </c>
      <c r="AD331" s="70">
        <f t="shared" si="768"/>
        <v>-688</v>
      </c>
      <c r="AE331" s="70">
        <f t="shared" si="769"/>
        <v>-41</v>
      </c>
      <c r="AF331" s="475">
        <v>0</v>
      </c>
      <c r="AG331" s="475">
        <v>0</v>
      </c>
      <c r="AH331" s="475">
        <f t="shared" si="770"/>
        <v>0</v>
      </c>
      <c r="AI331" s="475">
        <f t="shared" si="771"/>
        <v>-2765</v>
      </c>
      <c r="AJ331" s="476">
        <v>0</v>
      </c>
      <c r="AK331" s="476">
        <v>0</v>
      </c>
      <c r="AL331" s="476">
        <v>0</v>
      </c>
      <c r="AM331" s="476">
        <v>0</v>
      </c>
      <c r="AN331" s="756">
        <v>0</v>
      </c>
      <c r="AO331" s="476">
        <v>0</v>
      </c>
      <c r="AP331" s="476">
        <v>0</v>
      </c>
      <c r="AQ331" s="476">
        <v>0</v>
      </c>
      <c r="AR331" s="476">
        <f t="shared" si="625"/>
        <v>0</v>
      </c>
      <c r="AS331" s="476">
        <f t="shared" si="626"/>
        <v>0</v>
      </c>
      <c r="AT331" s="478">
        <f t="shared" si="627"/>
        <v>0</v>
      </c>
      <c r="AU331" s="484">
        <f>I331+AI331</f>
        <v>860742</v>
      </c>
      <c r="AV331" s="475">
        <f>J331+X331</f>
        <v>630841</v>
      </c>
      <c r="AW331" s="475">
        <f>K331+AB331</f>
        <v>0</v>
      </c>
      <c r="AX331" s="475">
        <f t="shared" si="772"/>
        <v>213224</v>
      </c>
      <c r="AY331" s="475">
        <f t="shared" si="772"/>
        <v>12617</v>
      </c>
      <c r="AZ331" s="475">
        <f>N331+AH331</f>
        <v>4060</v>
      </c>
      <c r="BA331" s="476">
        <f>O331+AT331</f>
        <v>1.99</v>
      </c>
      <c r="BB331" s="476">
        <f t="shared" si="773"/>
        <v>0</v>
      </c>
      <c r="BC331" s="478">
        <f t="shared" si="773"/>
        <v>1.99</v>
      </c>
    </row>
    <row r="332" spans="1:55" ht="14.1" customHeight="1" x14ac:dyDescent="0.2">
      <c r="A332" s="74">
        <v>67</v>
      </c>
      <c r="B332" s="71">
        <v>2404</v>
      </c>
      <c r="C332" s="72">
        <v>600078957</v>
      </c>
      <c r="D332" s="71">
        <v>70983135</v>
      </c>
      <c r="E332" s="73" t="s">
        <v>701</v>
      </c>
      <c r="F332" s="74"/>
      <c r="G332" s="73"/>
      <c r="H332" s="75"/>
      <c r="I332" s="76">
        <v>7004168</v>
      </c>
      <c r="J332" s="77">
        <v>5131523</v>
      </c>
      <c r="K332" s="77">
        <v>0</v>
      </c>
      <c r="L332" s="77">
        <v>1734454</v>
      </c>
      <c r="M332" s="77">
        <v>102631</v>
      </c>
      <c r="N332" s="77">
        <v>35560</v>
      </c>
      <c r="O332" s="78">
        <v>12.1242</v>
      </c>
      <c r="P332" s="78">
        <v>8</v>
      </c>
      <c r="Q332" s="718">
        <v>4.1242000000000001</v>
      </c>
      <c r="R332" s="76">
        <f t="shared" ref="R332:BC332" si="774">SUM(R329:R331)</f>
        <v>0</v>
      </c>
      <c r="S332" s="77">
        <f t="shared" si="774"/>
        <v>-115481</v>
      </c>
      <c r="T332" s="77">
        <f t="shared" si="774"/>
        <v>-2036</v>
      </c>
      <c r="U332" s="77">
        <f t="shared" si="774"/>
        <v>0</v>
      </c>
      <c r="V332" s="77">
        <f t="shared" si="774"/>
        <v>0</v>
      </c>
      <c r="W332" s="77">
        <f t="shared" si="774"/>
        <v>0</v>
      </c>
      <c r="X332" s="77">
        <f t="shared" si="774"/>
        <v>-117517</v>
      </c>
      <c r="Y332" s="77">
        <f t="shared" si="774"/>
        <v>0</v>
      </c>
      <c r="Z332" s="77">
        <f t="shared" si="774"/>
        <v>0</v>
      </c>
      <c r="AA332" s="77">
        <f t="shared" si="774"/>
        <v>0</v>
      </c>
      <c r="AB332" s="77">
        <f t="shared" si="774"/>
        <v>0</v>
      </c>
      <c r="AC332" s="77">
        <f t="shared" si="774"/>
        <v>-117517</v>
      </c>
      <c r="AD332" s="77">
        <f t="shared" si="774"/>
        <v>-39721</v>
      </c>
      <c r="AE332" s="77">
        <f t="shared" si="774"/>
        <v>-2351</v>
      </c>
      <c r="AF332" s="77">
        <f t="shared" si="774"/>
        <v>500</v>
      </c>
      <c r="AG332" s="77">
        <f t="shared" si="774"/>
        <v>0</v>
      </c>
      <c r="AH332" s="77">
        <f t="shared" si="774"/>
        <v>500</v>
      </c>
      <c r="AI332" s="77">
        <f t="shared" si="774"/>
        <v>-159089</v>
      </c>
      <c r="AJ332" s="78">
        <f t="shared" si="774"/>
        <v>0</v>
      </c>
      <c r="AK332" s="78">
        <f t="shared" si="774"/>
        <v>0</v>
      </c>
      <c r="AL332" s="78">
        <f t="shared" si="774"/>
        <v>-0.33</v>
      </c>
      <c r="AM332" s="78">
        <f t="shared" si="774"/>
        <v>0</v>
      </c>
      <c r="AN332" s="78">
        <f t="shared" si="774"/>
        <v>0</v>
      </c>
      <c r="AO332" s="78">
        <f t="shared" si="774"/>
        <v>0</v>
      </c>
      <c r="AP332" s="78">
        <f t="shared" si="774"/>
        <v>0</v>
      </c>
      <c r="AQ332" s="78">
        <f t="shared" si="774"/>
        <v>0</v>
      </c>
      <c r="AR332" s="78">
        <f t="shared" si="774"/>
        <v>-0.33</v>
      </c>
      <c r="AS332" s="78">
        <f t="shared" si="774"/>
        <v>0</v>
      </c>
      <c r="AT332" s="79">
        <f t="shared" si="774"/>
        <v>-0.33</v>
      </c>
      <c r="AU332" s="433">
        <f t="shared" si="774"/>
        <v>6845079</v>
      </c>
      <c r="AV332" s="77">
        <f t="shared" si="774"/>
        <v>5014006</v>
      </c>
      <c r="AW332" s="77">
        <f t="shared" si="774"/>
        <v>0</v>
      </c>
      <c r="AX332" s="77">
        <f t="shared" si="774"/>
        <v>1694733</v>
      </c>
      <c r="AY332" s="77">
        <f t="shared" si="774"/>
        <v>100280</v>
      </c>
      <c r="AZ332" s="77">
        <f t="shared" si="774"/>
        <v>36060</v>
      </c>
      <c r="BA332" s="78">
        <f t="shared" si="774"/>
        <v>11.7942</v>
      </c>
      <c r="BB332" s="78">
        <f t="shared" si="774"/>
        <v>7.67</v>
      </c>
      <c r="BC332" s="79">
        <f t="shared" si="774"/>
        <v>4.1242000000000001</v>
      </c>
    </row>
    <row r="333" spans="1:55" ht="14.1" customHeight="1" x14ac:dyDescent="0.2">
      <c r="A333" s="68">
        <v>68</v>
      </c>
      <c r="B333" s="65">
        <v>2439</v>
      </c>
      <c r="C333" s="66">
        <v>600078965</v>
      </c>
      <c r="D333" s="65">
        <v>70983143</v>
      </c>
      <c r="E333" s="67" t="s">
        <v>702</v>
      </c>
      <c r="F333" s="68">
        <v>3111</v>
      </c>
      <c r="G333" s="67" t="s">
        <v>311</v>
      </c>
      <c r="H333" s="69" t="s">
        <v>277</v>
      </c>
      <c r="I333" s="477">
        <v>3238480</v>
      </c>
      <c r="J333" s="643">
        <v>2371487</v>
      </c>
      <c r="K333" s="643">
        <v>0</v>
      </c>
      <c r="L333" s="472">
        <v>801563</v>
      </c>
      <c r="M333" s="472">
        <v>47430</v>
      </c>
      <c r="N333" s="472">
        <v>18000</v>
      </c>
      <c r="O333" s="473">
        <v>5.3898000000000001</v>
      </c>
      <c r="P333" s="473">
        <v>4</v>
      </c>
      <c r="Q333" s="483">
        <v>1.3897999999999999</v>
      </c>
      <c r="R333" s="485">
        <f t="shared" ref="R333:R334" si="775">Y333*-1</f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f t="shared" ref="X333:X334" si="776">SUM(R333:W333)</f>
        <v>0</v>
      </c>
      <c r="Y333" s="475">
        <v>0</v>
      </c>
      <c r="Z333" s="475">
        <v>0</v>
      </c>
      <c r="AA333" s="475">
        <v>0</v>
      </c>
      <c r="AB333" s="475">
        <f t="shared" ref="AB333:AB334" si="777">SUM(Y333:AA333)</f>
        <v>0</v>
      </c>
      <c r="AC333" s="475">
        <f t="shared" ref="AC333:AC334" si="778">X333+AB333</f>
        <v>0</v>
      </c>
      <c r="AD333" s="70">
        <f t="shared" ref="AD333:AD334" si="779">ROUND((X333+Y333+Z333)*33.8%,0)</f>
        <v>0</v>
      </c>
      <c r="AE333" s="70">
        <f t="shared" ref="AE333:AE334" si="780">ROUND(X333*2%,0)</f>
        <v>0</v>
      </c>
      <c r="AF333" s="475">
        <v>0</v>
      </c>
      <c r="AG333" s="475">
        <v>0</v>
      </c>
      <c r="AH333" s="475">
        <f t="shared" ref="AH333:AH334" si="781">SUM(AF333:AG333)</f>
        <v>0</v>
      </c>
      <c r="AI333" s="475">
        <f t="shared" ref="AI333:AI334" si="782">AC333+AD333+AE333+AH333</f>
        <v>0</v>
      </c>
      <c r="AJ333" s="476">
        <v>0</v>
      </c>
      <c r="AK333" s="476">
        <v>0</v>
      </c>
      <c r="AL333" s="476">
        <v>0</v>
      </c>
      <c r="AM333" s="476">
        <v>0</v>
      </c>
      <c r="AN333" s="476">
        <v>0</v>
      </c>
      <c r="AO333" s="476">
        <v>0</v>
      </c>
      <c r="AP333" s="476">
        <v>0</v>
      </c>
      <c r="AQ333" s="476">
        <v>0</v>
      </c>
      <c r="AR333" s="476">
        <f t="shared" ref="AR333:AR396" si="783">AJ333+AL333+AM333+AO333+AP333</f>
        <v>0</v>
      </c>
      <c r="AS333" s="476">
        <f t="shared" ref="AS333:AS396" si="784">AK333+AN333+AQ333</f>
        <v>0</v>
      </c>
      <c r="AT333" s="478">
        <f t="shared" ref="AT333:AT396" si="785">SUM(AR333:AS333)</f>
        <v>0</v>
      </c>
      <c r="AU333" s="484">
        <f>I333+AI333</f>
        <v>3238480</v>
      </c>
      <c r="AV333" s="475">
        <f>J333+X333</f>
        <v>2371487</v>
      </c>
      <c r="AW333" s="475">
        <f>K333+AB333</f>
        <v>0</v>
      </c>
      <c r="AX333" s="475">
        <f>L333+AD333</f>
        <v>801563</v>
      </c>
      <c r="AY333" s="475">
        <f>M333+AE333</f>
        <v>47430</v>
      </c>
      <c r="AZ333" s="475">
        <f>N333+AH333</f>
        <v>18000</v>
      </c>
      <c r="BA333" s="476">
        <f>O333+AT333</f>
        <v>5.3898000000000001</v>
      </c>
      <c r="BB333" s="476">
        <f>P333+AR333</f>
        <v>4</v>
      </c>
      <c r="BC333" s="478">
        <f>Q333+AS333</f>
        <v>1.3897999999999999</v>
      </c>
    </row>
    <row r="334" spans="1:55" ht="14.1" customHeight="1" x14ac:dyDescent="0.2">
      <c r="A334" s="68">
        <v>68</v>
      </c>
      <c r="B334" s="65">
        <v>2439</v>
      </c>
      <c r="C334" s="66">
        <v>600078965</v>
      </c>
      <c r="D334" s="65">
        <v>70983143</v>
      </c>
      <c r="E334" s="67" t="s">
        <v>702</v>
      </c>
      <c r="F334" s="68">
        <v>3141</v>
      </c>
      <c r="G334" s="67" t="s">
        <v>315</v>
      </c>
      <c r="H334" s="69" t="s">
        <v>278</v>
      </c>
      <c r="I334" s="477">
        <v>588940</v>
      </c>
      <c r="J334" s="472">
        <v>418673</v>
      </c>
      <c r="K334" s="472">
        <v>13500</v>
      </c>
      <c r="L334" s="472">
        <v>146074</v>
      </c>
      <c r="M334" s="472">
        <v>8373</v>
      </c>
      <c r="N334" s="472">
        <v>2320</v>
      </c>
      <c r="O334" s="473">
        <v>1.31</v>
      </c>
      <c r="P334" s="474">
        <v>0</v>
      </c>
      <c r="Q334" s="483">
        <v>1.31</v>
      </c>
      <c r="R334" s="485">
        <f t="shared" si="775"/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f t="shared" si="776"/>
        <v>0</v>
      </c>
      <c r="Y334" s="475">
        <v>0</v>
      </c>
      <c r="Z334" s="475">
        <v>0</v>
      </c>
      <c r="AA334" s="475">
        <v>0</v>
      </c>
      <c r="AB334" s="475">
        <f t="shared" si="777"/>
        <v>0</v>
      </c>
      <c r="AC334" s="475">
        <f t="shared" si="778"/>
        <v>0</v>
      </c>
      <c r="AD334" s="70">
        <f t="shared" si="779"/>
        <v>0</v>
      </c>
      <c r="AE334" s="70">
        <f t="shared" si="780"/>
        <v>0</v>
      </c>
      <c r="AF334" s="475">
        <v>0</v>
      </c>
      <c r="AG334" s="475">
        <v>0</v>
      </c>
      <c r="AH334" s="475">
        <f t="shared" si="781"/>
        <v>0</v>
      </c>
      <c r="AI334" s="475">
        <f t="shared" si="782"/>
        <v>0</v>
      </c>
      <c r="AJ334" s="476">
        <v>0</v>
      </c>
      <c r="AK334" s="476">
        <v>0</v>
      </c>
      <c r="AL334" s="476">
        <v>0</v>
      </c>
      <c r="AM334" s="476">
        <v>0</v>
      </c>
      <c r="AN334" s="476">
        <v>0</v>
      </c>
      <c r="AO334" s="476">
        <v>0</v>
      </c>
      <c r="AP334" s="476">
        <v>0</v>
      </c>
      <c r="AQ334" s="476">
        <v>0</v>
      </c>
      <c r="AR334" s="476">
        <f t="shared" si="783"/>
        <v>0</v>
      </c>
      <c r="AS334" s="476">
        <f t="shared" si="784"/>
        <v>0</v>
      </c>
      <c r="AT334" s="478">
        <f t="shared" si="785"/>
        <v>0</v>
      </c>
      <c r="AU334" s="484">
        <f>I334+AI334</f>
        <v>588940</v>
      </c>
      <c r="AV334" s="475">
        <f>J334+X334</f>
        <v>418673</v>
      </c>
      <c r="AW334" s="475">
        <f>K334+AB334</f>
        <v>13500</v>
      </c>
      <c r="AX334" s="475">
        <f>L334+AD334</f>
        <v>146074</v>
      </c>
      <c r="AY334" s="475">
        <f>M334+AE334</f>
        <v>8373</v>
      </c>
      <c r="AZ334" s="475">
        <f>N334+AH334</f>
        <v>2320</v>
      </c>
      <c r="BA334" s="476">
        <f>O334+AT334</f>
        <v>1.31</v>
      </c>
      <c r="BB334" s="476">
        <f>P334+AR334</f>
        <v>0</v>
      </c>
      <c r="BC334" s="478">
        <f>Q334+AS334</f>
        <v>1.31</v>
      </c>
    </row>
    <row r="335" spans="1:55" ht="14.1" customHeight="1" x14ac:dyDescent="0.2">
      <c r="A335" s="74">
        <v>68</v>
      </c>
      <c r="B335" s="71">
        <v>2439</v>
      </c>
      <c r="C335" s="72">
        <v>600078965</v>
      </c>
      <c r="D335" s="71">
        <v>70983143</v>
      </c>
      <c r="E335" s="73" t="s">
        <v>703</v>
      </c>
      <c r="F335" s="74"/>
      <c r="G335" s="73"/>
      <c r="H335" s="75"/>
      <c r="I335" s="76">
        <v>3827420</v>
      </c>
      <c r="J335" s="77">
        <v>2790160</v>
      </c>
      <c r="K335" s="77">
        <v>13500</v>
      </c>
      <c r="L335" s="77">
        <v>947637</v>
      </c>
      <c r="M335" s="77">
        <v>55803</v>
      </c>
      <c r="N335" s="77">
        <v>20320</v>
      </c>
      <c r="O335" s="78">
        <v>6.6997999999999998</v>
      </c>
      <c r="P335" s="78">
        <v>4</v>
      </c>
      <c r="Q335" s="718">
        <v>2.6997999999999998</v>
      </c>
      <c r="R335" s="76">
        <f t="shared" ref="R335:BC335" si="786">SUM(R333:R334)</f>
        <v>0</v>
      </c>
      <c r="S335" s="77">
        <f t="shared" si="786"/>
        <v>0</v>
      </c>
      <c r="T335" s="77">
        <f t="shared" si="786"/>
        <v>0</v>
      </c>
      <c r="U335" s="77">
        <f t="shared" si="786"/>
        <v>0</v>
      </c>
      <c r="V335" s="77">
        <f t="shared" si="786"/>
        <v>0</v>
      </c>
      <c r="W335" s="77">
        <f t="shared" si="786"/>
        <v>0</v>
      </c>
      <c r="X335" s="77">
        <f t="shared" si="786"/>
        <v>0</v>
      </c>
      <c r="Y335" s="77">
        <f t="shared" si="786"/>
        <v>0</v>
      </c>
      <c r="Z335" s="77">
        <f t="shared" si="786"/>
        <v>0</v>
      </c>
      <c r="AA335" s="77">
        <f t="shared" si="786"/>
        <v>0</v>
      </c>
      <c r="AB335" s="77">
        <f t="shared" si="786"/>
        <v>0</v>
      </c>
      <c r="AC335" s="77">
        <f t="shared" si="786"/>
        <v>0</v>
      </c>
      <c r="AD335" s="77">
        <f t="shared" si="786"/>
        <v>0</v>
      </c>
      <c r="AE335" s="77">
        <f t="shared" si="786"/>
        <v>0</v>
      </c>
      <c r="AF335" s="77">
        <f t="shared" si="786"/>
        <v>0</v>
      </c>
      <c r="AG335" s="77">
        <f t="shared" si="786"/>
        <v>0</v>
      </c>
      <c r="AH335" s="77">
        <f t="shared" si="786"/>
        <v>0</v>
      </c>
      <c r="AI335" s="77">
        <f t="shared" si="786"/>
        <v>0</v>
      </c>
      <c r="AJ335" s="78">
        <f t="shared" si="786"/>
        <v>0</v>
      </c>
      <c r="AK335" s="78">
        <f t="shared" si="786"/>
        <v>0</v>
      </c>
      <c r="AL335" s="78">
        <f t="shared" si="786"/>
        <v>0</v>
      </c>
      <c r="AM335" s="78">
        <f t="shared" si="786"/>
        <v>0</v>
      </c>
      <c r="AN335" s="78">
        <f t="shared" si="786"/>
        <v>0</v>
      </c>
      <c r="AO335" s="78">
        <f t="shared" si="786"/>
        <v>0</v>
      </c>
      <c r="AP335" s="78">
        <f t="shared" si="786"/>
        <v>0</v>
      </c>
      <c r="AQ335" s="78">
        <f t="shared" si="786"/>
        <v>0</v>
      </c>
      <c r="AR335" s="78">
        <f t="shared" si="786"/>
        <v>0</v>
      </c>
      <c r="AS335" s="78">
        <f t="shared" si="786"/>
        <v>0</v>
      </c>
      <c r="AT335" s="79">
        <f t="shared" si="786"/>
        <v>0</v>
      </c>
      <c r="AU335" s="433">
        <f t="shared" si="786"/>
        <v>3827420</v>
      </c>
      <c r="AV335" s="77">
        <f t="shared" si="786"/>
        <v>2790160</v>
      </c>
      <c r="AW335" s="77">
        <f t="shared" si="786"/>
        <v>13500</v>
      </c>
      <c r="AX335" s="77">
        <f t="shared" si="786"/>
        <v>947637</v>
      </c>
      <c r="AY335" s="77">
        <f t="shared" si="786"/>
        <v>55803</v>
      </c>
      <c r="AZ335" s="77">
        <f t="shared" si="786"/>
        <v>20320</v>
      </c>
      <c r="BA335" s="78">
        <f t="shared" si="786"/>
        <v>6.6997999999999998</v>
      </c>
      <c r="BB335" s="78">
        <f t="shared" si="786"/>
        <v>4</v>
      </c>
      <c r="BC335" s="79">
        <f t="shared" si="786"/>
        <v>2.6997999999999998</v>
      </c>
    </row>
    <row r="336" spans="1:55" ht="14.1" customHeight="1" x14ac:dyDescent="0.2">
      <c r="A336" s="68">
        <v>69</v>
      </c>
      <c r="B336" s="65">
        <v>2302</v>
      </c>
      <c r="C336" s="66">
        <v>600080366</v>
      </c>
      <c r="D336" s="65">
        <v>70983127</v>
      </c>
      <c r="E336" s="67" t="s">
        <v>704</v>
      </c>
      <c r="F336" s="68">
        <v>3111</v>
      </c>
      <c r="G336" s="67" t="s">
        <v>311</v>
      </c>
      <c r="H336" s="69" t="s">
        <v>277</v>
      </c>
      <c r="I336" s="477">
        <v>5567116</v>
      </c>
      <c r="J336" s="472">
        <v>4071477</v>
      </c>
      <c r="K336" s="472">
        <v>0</v>
      </c>
      <c r="L336" s="472">
        <v>1376159</v>
      </c>
      <c r="M336" s="472">
        <v>81430</v>
      </c>
      <c r="N336" s="472">
        <v>38050</v>
      </c>
      <c r="O336" s="473">
        <v>9.4359999999999999</v>
      </c>
      <c r="P336" s="473">
        <v>7.4452999999999996</v>
      </c>
      <c r="Q336" s="483">
        <v>1.9906999999999999</v>
      </c>
      <c r="R336" s="485">
        <f t="shared" ref="R336:R343" si="787">Y336*-1</f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f t="shared" ref="X336:X343" si="788">SUM(R336:W336)</f>
        <v>0</v>
      </c>
      <c r="Y336" s="475">
        <v>0</v>
      </c>
      <c r="Z336" s="475">
        <v>0</v>
      </c>
      <c r="AA336" s="475">
        <v>0</v>
      </c>
      <c r="AB336" s="475">
        <f t="shared" ref="AB336:AB343" si="789">SUM(Y336:AA336)</f>
        <v>0</v>
      </c>
      <c r="AC336" s="475">
        <f t="shared" ref="AC336:AC343" si="790">X336+AB336</f>
        <v>0</v>
      </c>
      <c r="AD336" s="70">
        <f t="shared" ref="AD336:AD343" si="791">ROUND((X336+Y336+Z336)*33.8%,0)</f>
        <v>0</v>
      </c>
      <c r="AE336" s="70">
        <f t="shared" ref="AE336:AE343" si="792">ROUND(X336*2%,0)</f>
        <v>0</v>
      </c>
      <c r="AF336" s="475">
        <v>0</v>
      </c>
      <c r="AG336" s="475">
        <v>0</v>
      </c>
      <c r="AH336" s="475">
        <f t="shared" ref="AH336:AH343" si="793">SUM(AF336:AG336)</f>
        <v>0</v>
      </c>
      <c r="AI336" s="475">
        <f t="shared" ref="AI336:AI343" si="794">AC336+AD336+AE336+AH336</f>
        <v>0</v>
      </c>
      <c r="AJ336" s="476">
        <v>0</v>
      </c>
      <c r="AK336" s="476">
        <v>0</v>
      </c>
      <c r="AL336" s="476">
        <v>0</v>
      </c>
      <c r="AM336" s="476">
        <v>0</v>
      </c>
      <c r="AN336" s="476">
        <v>0</v>
      </c>
      <c r="AO336" s="476">
        <v>0</v>
      </c>
      <c r="AP336" s="476">
        <v>0</v>
      </c>
      <c r="AQ336" s="476">
        <v>0</v>
      </c>
      <c r="AR336" s="476">
        <f t="shared" si="783"/>
        <v>0</v>
      </c>
      <c r="AS336" s="476">
        <f t="shared" si="784"/>
        <v>0</v>
      </c>
      <c r="AT336" s="478">
        <f t="shared" si="785"/>
        <v>0</v>
      </c>
      <c r="AU336" s="484">
        <f t="shared" ref="AU336:AU343" si="795">I336+AI336</f>
        <v>5567116</v>
      </c>
      <c r="AV336" s="475">
        <f t="shared" ref="AV336:AV343" si="796">J336+X336</f>
        <v>4071477</v>
      </c>
      <c r="AW336" s="475">
        <f t="shared" ref="AW336:AW343" si="797">K336+AB336</f>
        <v>0</v>
      </c>
      <c r="AX336" s="475">
        <f t="shared" ref="AX336:AY343" si="798">L336+AD336</f>
        <v>1376159</v>
      </c>
      <c r="AY336" s="475">
        <f t="shared" si="798"/>
        <v>81430</v>
      </c>
      <c r="AZ336" s="475">
        <f t="shared" ref="AZ336:AZ343" si="799">N336+AH336</f>
        <v>38050</v>
      </c>
      <c r="BA336" s="476">
        <f t="shared" ref="BA336:BA343" si="800">O336+AT336</f>
        <v>9.4359999999999999</v>
      </c>
      <c r="BB336" s="476">
        <f t="shared" ref="BB336:BC343" si="801">P336+AR336</f>
        <v>7.4452999999999996</v>
      </c>
      <c r="BC336" s="478">
        <f t="shared" si="801"/>
        <v>1.9906999999999999</v>
      </c>
    </row>
    <row r="337" spans="1:55" ht="14.1" customHeight="1" x14ac:dyDescent="0.2">
      <c r="A337" s="68">
        <v>69</v>
      </c>
      <c r="B337" s="65">
        <v>2302</v>
      </c>
      <c r="C337" s="66">
        <v>600080366</v>
      </c>
      <c r="D337" s="65">
        <v>70983127</v>
      </c>
      <c r="E337" s="67" t="s">
        <v>704</v>
      </c>
      <c r="F337" s="68">
        <v>3111</v>
      </c>
      <c r="G337" s="44" t="s">
        <v>313</v>
      </c>
      <c r="H337" s="69" t="s">
        <v>277</v>
      </c>
      <c r="I337" s="477">
        <v>538241</v>
      </c>
      <c r="J337" s="472">
        <v>396348</v>
      </c>
      <c r="K337" s="472">
        <v>0</v>
      </c>
      <c r="L337" s="472">
        <v>133966</v>
      </c>
      <c r="M337" s="472">
        <v>7927</v>
      </c>
      <c r="N337" s="472">
        <v>0</v>
      </c>
      <c r="O337" s="473">
        <v>1</v>
      </c>
      <c r="P337" s="474">
        <v>1</v>
      </c>
      <c r="Q337" s="483">
        <v>0</v>
      </c>
      <c r="R337" s="485">
        <f t="shared" si="787"/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f t="shared" si="788"/>
        <v>0</v>
      </c>
      <c r="Y337" s="475">
        <v>0</v>
      </c>
      <c r="Z337" s="475">
        <v>0</v>
      </c>
      <c r="AA337" s="475">
        <v>0</v>
      </c>
      <c r="AB337" s="475">
        <f t="shared" si="789"/>
        <v>0</v>
      </c>
      <c r="AC337" s="475">
        <f t="shared" si="790"/>
        <v>0</v>
      </c>
      <c r="AD337" s="70">
        <f t="shared" si="791"/>
        <v>0</v>
      </c>
      <c r="AE337" s="70">
        <f t="shared" si="792"/>
        <v>0</v>
      </c>
      <c r="AF337" s="475">
        <v>0</v>
      </c>
      <c r="AG337" s="475">
        <v>0</v>
      </c>
      <c r="AH337" s="475">
        <f t="shared" si="793"/>
        <v>0</v>
      </c>
      <c r="AI337" s="475">
        <f t="shared" si="794"/>
        <v>0</v>
      </c>
      <c r="AJ337" s="476">
        <v>0</v>
      </c>
      <c r="AK337" s="476">
        <v>0</v>
      </c>
      <c r="AL337" s="476">
        <v>0</v>
      </c>
      <c r="AM337" s="476">
        <v>0</v>
      </c>
      <c r="AN337" s="476">
        <v>0</v>
      </c>
      <c r="AO337" s="476">
        <v>0</v>
      </c>
      <c r="AP337" s="476">
        <v>0</v>
      </c>
      <c r="AQ337" s="476">
        <v>0</v>
      </c>
      <c r="AR337" s="476">
        <f t="shared" si="783"/>
        <v>0</v>
      </c>
      <c r="AS337" s="476">
        <f t="shared" si="784"/>
        <v>0</v>
      </c>
      <c r="AT337" s="478">
        <f t="shared" si="785"/>
        <v>0</v>
      </c>
      <c r="AU337" s="484">
        <f t="shared" si="795"/>
        <v>538241</v>
      </c>
      <c r="AV337" s="475">
        <f t="shared" si="796"/>
        <v>396348</v>
      </c>
      <c r="AW337" s="475">
        <f t="shared" si="797"/>
        <v>0</v>
      </c>
      <c r="AX337" s="475">
        <f t="shared" si="798"/>
        <v>133966</v>
      </c>
      <c r="AY337" s="475">
        <f t="shared" si="798"/>
        <v>7927</v>
      </c>
      <c r="AZ337" s="475">
        <f t="shared" si="799"/>
        <v>0</v>
      </c>
      <c r="BA337" s="476">
        <f t="shared" si="800"/>
        <v>1</v>
      </c>
      <c r="BB337" s="476">
        <f t="shared" si="801"/>
        <v>1</v>
      </c>
      <c r="BC337" s="478">
        <f t="shared" si="801"/>
        <v>0</v>
      </c>
    </row>
    <row r="338" spans="1:55" ht="14.1" customHeight="1" x14ac:dyDescent="0.2">
      <c r="A338" s="68">
        <v>69</v>
      </c>
      <c r="B338" s="65">
        <v>2302</v>
      </c>
      <c r="C338" s="66">
        <v>600080366</v>
      </c>
      <c r="D338" s="65">
        <v>70983127</v>
      </c>
      <c r="E338" s="67" t="s">
        <v>704</v>
      </c>
      <c r="F338" s="68">
        <v>3114</v>
      </c>
      <c r="G338" s="172" t="s">
        <v>556</v>
      </c>
      <c r="H338" s="69" t="s">
        <v>277</v>
      </c>
      <c r="I338" s="477">
        <v>10012579</v>
      </c>
      <c r="J338" s="472">
        <v>7222047</v>
      </c>
      <c r="K338" s="472">
        <v>80000</v>
      </c>
      <c r="L338" s="472">
        <v>2468091</v>
      </c>
      <c r="M338" s="472">
        <v>144441</v>
      </c>
      <c r="N338" s="472">
        <v>98000</v>
      </c>
      <c r="O338" s="473">
        <v>12.378599999999999</v>
      </c>
      <c r="P338" s="473">
        <v>9</v>
      </c>
      <c r="Q338" s="483">
        <v>3.3785999999999996</v>
      </c>
      <c r="R338" s="485">
        <f t="shared" si="787"/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f t="shared" si="788"/>
        <v>0</v>
      </c>
      <c r="Y338" s="475">
        <v>0</v>
      </c>
      <c r="Z338" s="475">
        <v>0</v>
      </c>
      <c r="AA338" s="475">
        <v>0</v>
      </c>
      <c r="AB338" s="475">
        <f t="shared" si="789"/>
        <v>0</v>
      </c>
      <c r="AC338" s="475">
        <f t="shared" si="790"/>
        <v>0</v>
      </c>
      <c r="AD338" s="70">
        <f t="shared" si="791"/>
        <v>0</v>
      </c>
      <c r="AE338" s="70">
        <f t="shared" si="792"/>
        <v>0</v>
      </c>
      <c r="AF338" s="475">
        <v>0</v>
      </c>
      <c r="AG338" s="475">
        <v>0</v>
      </c>
      <c r="AH338" s="475">
        <f t="shared" si="793"/>
        <v>0</v>
      </c>
      <c r="AI338" s="475">
        <f t="shared" si="794"/>
        <v>0</v>
      </c>
      <c r="AJ338" s="476">
        <v>0</v>
      </c>
      <c r="AK338" s="476">
        <v>0</v>
      </c>
      <c r="AL338" s="476">
        <v>0</v>
      </c>
      <c r="AM338" s="476">
        <v>0</v>
      </c>
      <c r="AN338" s="476">
        <v>0</v>
      </c>
      <c r="AO338" s="476">
        <v>0</v>
      </c>
      <c r="AP338" s="476">
        <v>0</v>
      </c>
      <c r="AQ338" s="476">
        <v>0</v>
      </c>
      <c r="AR338" s="476">
        <f t="shared" si="783"/>
        <v>0</v>
      </c>
      <c r="AS338" s="476">
        <f t="shared" si="784"/>
        <v>0</v>
      </c>
      <c r="AT338" s="478">
        <f t="shared" si="785"/>
        <v>0</v>
      </c>
      <c r="AU338" s="484">
        <f t="shared" si="795"/>
        <v>10012579</v>
      </c>
      <c r="AV338" s="475">
        <f t="shared" si="796"/>
        <v>7222047</v>
      </c>
      <c r="AW338" s="475">
        <f t="shared" si="797"/>
        <v>80000</v>
      </c>
      <c r="AX338" s="475">
        <f t="shared" si="798"/>
        <v>2468091</v>
      </c>
      <c r="AY338" s="475">
        <f t="shared" si="798"/>
        <v>144441</v>
      </c>
      <c r="AZ338" s="475">
        <f t="shared" si="799"/>
        <v>98000</v>
      </c>
      <c r="BA338" s="476">
        <f t="shared" si="800"/>
        <v>12.378599999999999</v>
      </c>
      <c r="BB338" s="476">
        <f t="shared" si="801"/>
        <v>9</v>
      </c>
      <c r="BC338" s="478">
        <f t="shared" si="801"/>
        <v>3.3785999999999996</v>
      </c>
    </row>
    <row r="339" spans="1:55" ht="14.1" customHeight="1" x14ac:dyDescent="0.2">
      <c r="A339" s="68">
        <v>69</v>
      </c>
      <c r="B339" s="65">
        <v>2302</v>
      </c>
      <c r="C339" s="66">
        <v>600080366</v>
      </c>
      <c r="D339" s="65">
        <v>70983127</v>
      </c>
      <c r="E339" s="67" t="s">
        <v>704</v>
      </c>
      <c r="F339" s="68">
        <v>3114</v>
      </c>
      <c r="G339" s="44" t="s">
        <v>313</v>
      </c>
      <c r="H339" s="69" t="s">
        <v>277</v>
      </c>
      <c r="I339" s="477">
        <v>2774759</v>
      </c>
      <c r="J339" s="472">
        <v>2043269</v>
      </c>
      <c r="K339" s="472">
        <v>0</v>
      </c>
      <c r="L339" s="472">
        <v>690625</v>
      </c>
      <c r="M339" s="472">
        <v>40865</v>
      </c>
      <c r="N339" s="472">
        <v>0</v>
      </c>
      <c r="O339" s="473">
        <v>5.2778</v>
      </c>
      <c r="P339" s="474">
        <v>5.2778</v>
      </c>
      <c r="Q339" s="483">
        <v>0</v>
      </c>
      <c r="R339" s="485">
        <f t="shared" si="787"/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f t="shared" si="788"/>
        <v>0</v>
      </c>
      <c r="Y339" s="475">
        <v>0</v>
      </c>
      <c r="Z339" s="475">
        <v>0</v>
      </c>
      <c r="AA339" s="475">
        <v>0</v>
      </c>
      <c r="AB339" s="475">
        <f t="shared" si="789"/>
        <v>0</v>
      </c>
      <c r="AC339" s="475">
        <f t="shared" si="790"/>
        <v>0</v>
      </c>
      <c r="AD339" s="70">
        <f t="shared" si="791"/>
        <v>0</v>
      </c>
      <c r="AE339" s="70">
        <f t="shared" si="792"/>
        <v>0</v>
      </c>
      <c r="AF339" s="475">
        <v>0</v>
      </c>
      <c r="AG339" s="475">
        <v>0</v>
      </c>
      <c r="AH339" s="475">
        <f t="shared" si="793"/>
        <v>0</v>
      </c>
      <c r="AI339" s="475">
        <f t="shared" si="794"/>
        <v>0</v>
      </c>
      <c r="AJ339" s="476">
        <v>0</v>
      </c>
      <c r="AK339" s="476">
        <v>0</v>
      </c>
      <c r="AL339" s="476">
        <v>0</v>
      </c>
      <c r="AM339" s="476">
        <v>0</v>
      </c>
      <c r="AN339" s="476">
        <v>0</v>
      </c>
      <c r="AO339" s="476">
        <v>0</v>
      </c>
      <c r="AP339" s="476">
        <v>0</v>
      </c>
      <c r="AQ339" s="476">
        <v>0</v>
      </c>
      <c r="AR339" s="476">
        <f t="shared" si="783"/>
        <v>0</v>
      </c>
      <c r="AS339" s="476">
        <f t="shared" si="784"/>
        <v>0</v>
      </c>
      <c r="AT339" s="478">
        <f t="shared" si="785"/>
        <v>0</v>
      </c>
      <c r="AU339" s="484">
        <f t="shared" si="795"/>
        <v>2774759</v>
      </c>
      <c r="AV339" s="475">
        <f t="shared" si="796"/>
        <v>2043269</v>
      </c>
      <c r="AW339" s="475">
        <f t="shared" si="797"/>
        <v>0</v>
      </c>
      <c r="AX339" s="475">
        <f t="shared" si="798"/>
        <v>690625</v>
      </c>
      <c r="AY339" s="475">
        <f t="shared" si="798"/>
        <v>40865</v>
      </c>
      <c r="AZ339" s="475">
        <f t="shared" si="799"/>
        <v>0</v>
      </c>
      <c r="BA339" s="476">
        <f t="shared" si="800"/>
        <v>5.2778</v>
      </c>
      <c r="BB339" s="476">
        <f t="shared" si="801"/>
        <v>5.2778</v>
      </c>
      <c r="BC339" s="478">
        <f t="shared" si="801"/>
        <v>0</v>
      </c>
    </row>
    <row r="340" spans="1:55" ht="14.1" customHeight="1" x14ac:dyDescent="0.2">
      <c r="A340" s="68">
        <v>69</v>
      </c>
      <c r="B340" s="65">
        <v>2302</v>
      </c>
      <c r="C340" s="66">
        <v>600080366</v>
      </c>
      <c r="D340" s="65">
        <v>70983127</v>
      </c>
      <c r="E340" s="67" t="s">
        <v>704</v>
      </c>
      <c r="F340" s="68">
        <v>3114</v>
      </c>
      <c r="G340" s="80" t="s">
        <v>312</v>
      </c>
      <c r="H340" s="69" t="s">
        <v>278</v>
      </c>
      <c r="I340" s="477">
        <v>670857</v>
      </c>
      <c r="J340" s="472">
        <v>494004</v>
      </c>
      <c r="K340" s="472">
        <v>0</v>
      </c>
      <c r="L340" s="472">
        <v>166973</v>
      </c>
      <c r="M340" s="472">
        <v>9880</v>
      </c>
      <c r="N340" s="472">
        <v>0</v>
      </c>
      <c r="O340" s="473">
        <v>1.42</v>
      </c>
      <c r="P340" s="474">
        <v>1.42</v>
      </c>
      <c r="Q340" s="483">
        <v>0</v>
      </c>
      <c r="R340" s="485">
        <f t="shared" si="787"/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f t="shared" si="788"/>
        <v>0</v>
      </c>
      <c r="Y340" s="475">
        <v>0</v>
      </c>
      <c r="Z340" s="475">
        <v>0</v>
      </c>
      <c r="AA340" s="475">
        <v>0</v>
      </c>
      <c r="AB340" s="475">
        <f t="shared" si="789"/>
        <v>0</v>
      </c>
      <c r="AC340" s="475">
        <f t="shared" si="790"/>
        <v>0</v>
      </c>
      <c r="AD340" s="70">
        <f t="shared" si="791"/>
        <v>0</v>
      </c>
      <c r="AE340" s="70">
        <f t="shared" si="792"/>
        <v>0</v>
      </c>
      <c r="AF340" s="475">
        <v>0</v>
      </c>
      <c r="AG340" s="475">
        <v>0</v>
      </c>
      <c r="AH340" s="475">
        <f t="shared" si="793"/>
        <v>0</v>
      </c>
      <c r="AI340" s="475">
        <f t="shared" si="794"/>
        <v>0</v>
      </c>
      <c r="AJ340" s="476">
        <v>0</v>
      </c>
      <c r="AK340" s="476">
        <v>0</v>
      </c>
      <c r="AL340" s="476">
        <v>0</v>
      </c>
      <c r="AM340" s="476">
        <v>0</v>
      </c>
      <c r="AN340" s="476">
        <v>0</v>
      </c>
      <c r="AO340" s="476">
        <v>0</v>
      </c>
      <c r="AP340" s="476">
        <v>0</v>
      </c>
      <c r="AQ340" s="476">
        <v>0</v>
      </c>
      <c r="AR340" s="476">
        <f t="shared" si="783"/>
        <v>0</v>
      </c>
      <c r="AS340" s="476">
        <f t="shared" si="784"/>
        <v>0</v>
      </c>
      <c r="AT340" s="478">
        <f t="shared" si="785"/>
        <v>0</v>
      </c>
      <c r="AU340" s="484">
        <f t="shared" si="795"/>
        <v>670857</v>
      </c>
      <c r="AV340" s="475">
        <f t="shared" si="796"/>
        <v>494004</v>
      </c>
      <c r="AW340" s="475">
        <f t="shared" si="797"/>
        <v>0</v>
      </c>
      <c r="AX340" s="475">
        <f t="shared" si="798"/>
        <v>166973</v>
      </c>
      <c r="AY340" s="475">
        <f t="shared" si="798"/>
        <v>9880</v>
      </c>
      <c r="AZ340" s="475">
        <f t="shared" si="799"/>
        <v>0</v>
      </c>
      <c r="BA340" s="476">
        <f t="shared" si="800"/>
        <v>1.42</v>
      </c>
      <c r="BB340" s="476">
        <f t="shared" si="801"/>
        <v>1.42</v>
      </c>
      <c r="BC340" s="478">
        <f t="shared" si="801"/>
        <v>0</v>
      </c>
    </row>
    <row r="341" spans="1:55" ht="14.1" customHeight="1" x14ac:dyDescent="0.2">
      <c r="A341" s="68">
        <v>69</v>
      </c>
      <c r="B341" s="65">
        <v>2302</v>
      </c>
      <c r="C341" s="66">
        <v>600080366</v>
      </c>
      <c r="D341" s="65">
        <v>70983127</v>
      </c>
      <c r="E341" s="67" t="s">
        <v>704</v>
      </c>
      <c r="F341" s="68">
        <v>3141</v>
      </c>
      <c r="G341" s="67" t="s">
        <v>315</v>
      </c>
      <c r="H341" s="69" t="s">
        <v>278</v>
      </c>
      <c r="I341" s="477">
        <v>509877</v>
      </c>
      <c r="J341" s="472">
        <v>372524</v>
      </c>
      <c r="K341" s="472">
        <v>0</v>
      </c>
      <c r="L341" s="472">
        <v>125913</v>
      </c>
      <c r="M341" s="472">
        <v>7450</v>
      </c>
      <c r="N341" s="472">
        <v>3990</v>
      </c>
      <c r="O341" s="473">
        <v>1.17</v>
      </c>
      <c r="P341" s="474">
        <v>0</v>
      </c>
      <c r="Q341" s="483">
        <v>1.17</v>
      </c>
      <c r="R341" s="485">
        <f t="shared" si="787"/>
        <v>0</v>
      </c>
      <c r="S341" s="475">
        <v>0</v>
      </c>
      <c r="T341" s="755">
        <v>-7113</v>
      </c>
      <c r="U341" s="475">
        <v>0</v>
      </c>
      <c r="V341" s="475">
        <v>0</v>
      </c>
      <c r="W341" s="475">
        <v>0</v>
      </c>
      <c r="X341" s="475">
        <f t="shared" si="788"/>
        <v>-7113</v>
      </c>
      <c r="Y341" s="475">
        <v>0</v>
      </c>
      <c r="Z341" s="475">
        <v>0</v>
      </c>
      <c r="AA341" s="475">
        <v>0</v>
      </c>
      <c r="AB341" s="475">
        <f t="shared" si="789"/>
        <v>0</v>
      </c>
      <c r="AC341" s="475">
        <f t="shared" si="790"/>
        <v>-7113</v>
      </c>
      <c r="AD341" s="70">
        <f t="shared" si="791"/>
        <v>-2404</v>
      </c>
      <c r="AE341" s="70">
        <f t="shared" si="792"/>
        <v>-142</v>
      </c>
      <c r="AF341" s="475">
        <v>0</v>
      </c>
      <c r="AG341" s="475">
        <v>0</v>
      </c>
      <c r="AH341" s="475">
        <f t="shared" si="793"/>
        <v>0</v>
      </c>
      <c r="AI341" s="475">
        <f t="shared" si="794"/>
        <v>-9659</v>
      </c>
      <c r="AJ341" s="476">
        <v>0</v>
      </c>
      <c r="AK341" s="476">
        <v>0</v>
      </c>
      <c r="AL341" s="476">
        <v>0</v>
      </c>
      <c r="AM341" s="476">
        <v>0</v>
      </c>
      <c r="AN341" s="756">
        <v>-2.0000000000000018E-2</v>
      </c>
      <c r="AO341" s="476">
        <v>0</v>
      </c>
      <c r="AP341" s="476">
        <v>0</v>
      </c>
      <c r="AQ341" s="476">
        <v>0</v>
      </c>
      <c r="AR341" s="476">
        <f t="shared" si="783"/>
        <v>0</v>
      </c>
      <c r="AS341" s="476">
        <f t="shared" si="784"/>
        <v>-2.0000000000000018E-2</v>
      </c>
      <c r="AT341" s="478">
        <f t="shared" si="785"/>
        <v>-2.0000000000000018E-2</v>
      </c>
      <c r="AU341" s="484">
        <f t="shared" si="795"/>
        <v>500218</v>
      </c>
      <c r="AV341" s="475">
        <f t="shared" si="796"/>
        <v>365411</v>
      </c>
      <c r="AW341" s="475">
        <f t="shared" si="797"/>
        <v>0</v>
      </c>
      <c r="AX341" s="475">
        <f t="shared" si="798"/>
        <v>123509</v>
      </c>
      <c r="AY341" s="475">
        <f t="shared" si="798"/>
        <v>7308</v>
      </c>
      <c r="AZ341" s="475">
        <f t="shared" si="799"/>
        <v>3990</v>
      </c>
      <c r="BA341" s="476">
        <f t="shared" si="800"/>
        <v>1.1499999999999999</v>
      </c>
      <c r="BB341" s="476">
        <f t="shared" si="801"/>
        <v>0</v>
      </c>
      <c r="BC341" s="478">
        <f t="shared" si="801"/>
        <v>1.1499999999999999</v>
      </c>
    </row>
    <row r="342" spans="1:55" ht="14.1" customHeight="1" x14ac:dyDescent="0.2">
      <c r="A342" s="68">
        <v>69</v>
      </c>
      <c r="B342" s="65">
        <v>2302</v>
      </c>
      <c r="C342" s="66">
        <v>600080366</v>
      </c>
      <c r="D342" s="65">
        <v>70983127</v>
      </c>
      <c r="E342" s="67" t="s">
        <v>704</v>
      </c>
      <c r="F342" s="68">
        <v>3143</v>
      </c>
      <c r="G342" s="80" t="s">
        <v>626</v>
      </c>
      <c r="H342" s="69" t="s">
        <v>277</v>
      </c>
      <c r="I342" s="477">
        <v>651482</v>
      </c>
      <c r="J342" s="472">
        <v>479736</v>
      </c>
      <c r="K342" s="472">
        <v>0</v>
      </c>
      <c r="L342" s="472">
        <v>162151</v>
      </c>
      <c r="M342" s="472">
        <v>9595</v>
      </c>
      <c r="N342" s="472">
        <v>0</v>
      </c>
      <c r="O342" s="473">
        <v>1</v>
      </c>
      <c r="P342" s="473">
        <v>1</v>
      </c>
      <c r="Q342" s="483">
        <v>0</v>
      </c>
      <c r="R342" s="485">
        <f t="shared" si="787"/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f t="shared" si="788"/>
        <v>0</v>
      </c>
      <c r="Y342" s="475">
        <v>0</v>
      </c>
      <c r="Z342" s="475">
        <v>0</v>
      </c>
      <c r="AA342" s="475">
        <v>0</v>
      </c>
      <c r="AB342" s="475">
        <f t="shared" si="789"/>
        <v>0</v>
      </c>
      <c r="AC342" s="475">
        <f t="shared" si="790"/>
        <v>0</v>
      </c>
      <c r="AD342" s="70">
        <f t="shared" si="791"/>
        <v>0</v>
      </c>
      <c r="AE342" s="70">
        <f t="shared" si="792"/>
        <v>0</v>
      </c>
      <c r="AF342" s="475">
        <v>0</v>
      </c>
      <c r="AG342" s="475">
        <v>0</v>
      </c>
      <c r="AH342" s="475">
        <f t="shared" si="793"/>
        <v>0</v>
      </c>
      <c r="AI342" s="475">
        <f t="shared" si="794"/>
        <v>0</v>
      </c>
      <c r="AJ342" s="476">
        <v>0</v>
      </c>
      <c r="AK342" s="476">
        <v>0</v>
      </c>
      <c r="AL342" s="476">
        <v>0</v>
      </c>
      <c r="AM342" s="476">
        <v>0</v>
      </c>
      <c r="AN342" s="476">
        <v>0</v>
      </c>
      <c r="AO342" s="476">
        <v>0</v>
      </c>
      <c r="AP342" s="476">
        <v>0</v>
      </c>
      <c r="AQ342" s="476">
        <v>0</v>
      </c>
      <c r="AR342" s="476">
        <f t="shared" si="783"/>
        <v>0</v>
      </c>
      <c r="AS342" s="476">
        <f t="shared" si="784"/>
        <v>0</v>
      </c>
      <c r="AT342" s="478">
        <f t="shared" si="785"/>
        <v>0</v>
      </c>
      <c r="AU342" s="484">
        <f t="shared" si="795"/>
        <v>651482</v>
      </c>
      <c r="AV342" s="475">
        <f t="shared" si="796"/>
        <v>479736</v>
      </c>
      <c r="AW342" s="475">
        <f t="shared" si="797"/>
        <v>0</v>
      </c>
      <c r="AX342" s="475">
        <f t="shared" si="798"/>
        <v>162151</v>
      </c>
      <c r="AY342" s="475">
        <f t="shared" si="798"/>
        <v>9595</v>
      </c>
      <c r="AZ342" s="475">
        <f t="shared" si="799"/>
        <v>0</v>
      </c>
      <c r="BA342" s="476">
        <f t="shared" si="800"/>
        <v>1</v>
      </c>
      <c r="BB342" s="476">
        <f t="shared" si="801"/>
        <v>1</v>
      </c>
      <c r="BC342" s="478">
        <f t="shared" si="801"/>
        <v>0</v>
      </c>
    </row>
    <row r="343" spans="1:55" ht="14.1" customHeight="1" x14ac:dyDescent="0.2">
      <c r="A343" s="68">
        <v>69</v>
      </c>
      <c r="B343" s="65">
        <v>2302</v>
      </c>
      <c r="C343" s="66">
        <v>600080366</v>
      </c>
      <c r="D343" s="65">
        <v>70983127</v>
      </c>
      <c r="E343" s="67" t="s">
        <v>704</v>
      </c>
      <c r="F343" s="68">
        <v>3143</v>
      </c>
      <c r="G343" s="80" t="s">
        <v>627</v>
      </c>
      <c r="H343" s="69" t="s">
        <v>278</v>
      </c>
      <c r="I343" s="477">
        <v>11339</v>
      </c>
      <c r="J343" s="472">
        <v>8019</v>
      </c>
      <c r="K343" s="472">
        <v>0</v>
      </c>
      <c r="L343" s="472">
        <v>2710</v>
      </c>
      <c r="M343" s="472">
        <v>160</v>
      </c>
      <c r="N343" s="472">
        <v>450</v>
      </c>
      <c r="O343" s="473">
        <v>0.03</v>
      </c>
      <c r="P343" s="474">
        <v>0</v>
      </c>
      <c r="Q343" s="483">
        <v>0.03</v>
      </c>
      <c r="R343" s="485">
        <f t="shared" si="787"/>
        <v>0</v>
      </c>
      <c r="S343" s="475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f t="shared" si="788"/>
        <v>0</v>
      </c>
      <c r="Y343" s="475">
        <v>0</v>
      </c>
      <c r="Z343" s="475">
        <v>0</v>
      </c>
      <c r="AA343" s="475">
        <v>0</v>
      </c>
      <c r="AB343" s="475">
        <f t="shared" si="789"/>
        <v>0</v>
      </c>
      <c r="AC343" s="475">
        <f t="shared" si="790"/>
        <v>0</v>
      </c>
      <c r="AD343" s="70">
        <f t="shared" si="791"/>
        <v>0</v>
      </c>
      <c r="AE343" s="70">
        <f t="shared" si="792"/>
        <v>0</v>
      </c>
      <c r="AF343" s="475">
        <v>0</v>
      </c>
      <c r="AG343" s="475">
        <v>0</v>
      </c>
      <c r="AH343" s="475">
        <f t="shared" si="793"/>
        <v>0</v>
      </c>
      <c r="AI343" s="475">
        <f t="shared" si="794"/>
        <v>0</v>
      </c>
      <c r="AJ343" s="476">
        <v>0</v>
      </c>
      <c r="AK343" s="476">
        <v>0</v>
      </c>
      <c r="AL343" s="476">
        <v>0</v>
      </c>
      <c r="AM343" s="476">
        <v>0</v>
      </c>
      <c r="AN343" s="476">
        <v>0</v>
      </c>
      <c r="AO343" s="476">
        <v>0</v>
      </c>
      <c r="AP343" s="476">
        <v>0</v>
      </c>
      <c r="AQ343" s="476">
        <v>0</v>
      </c>
      <c r="AR343" s="476">
        <f t="shared" si="783"/>
        <v>0</v>
      </c>
      <c r="AS343" s="476">
        <f t="shared" si="784"/>
        <v>0</v>
      </c>
      <c r="AT343" s="478">
        <f t="shared" si="785"/>
        <v>0</v>
      </c>
      <c r="AU343" s="484">
        <f t="shared" si="795"/>
        <v>11339</v>
      </c>
      <c r="AV343" s="475">
        <f t="shared" si="796"/>
        <v>8019</v>
      </c>
      <c r="AW343" s="475">
        <f t="shared" si="797"/>
        <v>0</v>
      </c>
      <c r="AX343" s="475">
        <f t="shared" si="798"/>
        <v>2710</v>
      </c>
      <c r="AY343" s="475">
        <f t="shared" si="798"/>
        <v>160</v>
      </c>
      <c r="AZ343" s="475">
        <f t="shared" si="799"/>
        <v>450</v>
      </c>
      <c r="BA343" s="476">
        <f t="shared" si="800"/>
        <v>0.03</v>
      </c>
      <c r="BB343" s="476">
        <f t="shared" si="801"/>
        <v>0</v>
      </c>
      <c r="BC343" s="478">
        <f t="shared" si="801"/>
        <v>0.03</v>
      </c>
    </row>
    <row r="344" spans="1:55" ht="14.1" customHeight="1" x14ac:dyDescent="0.2">
      <c r="A344" s="74">
        <v>69</v>
      </c>
      <c r="B344" s="71">
        <v>2302</v>
      </c>
      <c r="C344" s="72">
        <v>600080366</v>
      </c>
      <c r="D344" s="71">
        <v>70983127</v>
      </c>
      <c r="E344" s="73" t="s">
        <v>705</v>
      </c>
      <c r="F344" s="74"/>
      <c r="G344" s="73"/>
      <c r="H344" s="75"/>
      <c r="I344" s="76">
        <v>20736250</v>
      </c>
      <c r="J344" s="77">
        <v>15087424</v>
      </c>
      <c r="K344" s="77">
        <v>80000</v>
      </c>
      <c r="L344" s="77">
        <v>5126588</v>
      </c>
      <c r="M344" s="77">
        <v>301748</v>
      </c>
      <c r="N344" s="77">
        <v>140490</v>
      </c>
      <c r="O344" s="78">
        <v>31.712400000000002</v>
      </c>
      <c r="P344" s="78">
        <v>25.143099999999997</v>
      </c>
      <c r="Q344" s="718">
        <v>6.5692999999999993</v>
      </c>
      <c r="R344" s="76">
        <f t="shared" ref="R344:BC344" si="802">SUM(R336:R343)</f>
        <v>0</v>
      </c>
      <c r="S344" s="77">
        <f t="shared" si="802"/>
        <v>0</v>
      </c>
      <c r="T344" s="77">
        <f t="shared" si="802"/>
        <v>-7113</v>
      </c>
      <c r="U344" s="77">
        <f t="shared" si="802"/>
        <v>0</v>
      </c>
      <c r="V344" s="77">
        <f t="shared" si="802"/>
        <v>0</v>
      </c>
      <c r="W344" s="77">
        <f t="shared" si="802"/>
        <v>0</v>
      </c>
      <c r="X344" s="77">
        <f t="shared" si="802"/>
        <v>-7113</v>
      </c>
      <c r="Y344" s="77">
        <f t="shared" si="802"/>
        <v>0</v>
      </c>
      <c r="Z344" s="77">
        <f t="shared" si="802"/>
        <v>0</v>
      </c>
      <c r="AA344" s="77">
        <f t="shared" si="802"/>
        <v>0</v>
      </c>
      <c r="AB344" s="77">
        <f t="shared" si="802"/>
        <v>0</v>
      </c>
      <c r="AC344" s="77">
        <f t="shared" si="802"/>
        <v>-7113</v>
      </c>
      <c r="AD344" s="77">
        <f t="shared" si="802"/>
        <v>-2404</v>
      </c>
      <c r="AE344" s="77">
        <f t="shared" si="802"/>
        <v>-142</v>
      </c>
      <c r="AF344" s="77">
        <f t="shared" si="802"/>
        <v>0</v>
      </c>
      <c r="AG344" s="77">
        <f t="shared" si="802"/>
        <v>0</v>
      </c>
      <c r="AH344" s="77">
        <f t="shared" si="802"/>
        <v>0</v>
      </c>
      <c r="AI344" s="77">
        <f t="shared" si="802"/>
        <v>-9659</v>
      </c>
      <c r="AJ344" s="78">
        <f t="shared" si="802"/>
        <v>0</v>
      </c>
      <c r="AK344" s="78">
        <f t="shared" si="802"/>
        <v>0</v>
      </c>
      <c r="AL344" s="78">
        <f t="shared" si="802"/>
        <v>0</v>
      </c>
      <c r="AM344" s="78">
        <f t="shared" si="802"/>
        <v>0</v>
      </c>
      <c r="AN344" s="78">
        <f t="shared" si="802"/>
        <v>-2.0000000000000018E-2</v>
      </c>
      <c r="AO344" s="78">
        <f t="shared" si="802"/>
        <v>0</v>
      </c>
      <c r="AP344" s="78">
        <f t="shared" si="802"/>
        <v>0</v>
      </c>
      <c r="AQ344" s="78">
        <f t="shared" si="802"/>
        <v>0</v>
      </c>
      <c r="AR344" s="78">
        <f t="shared" si="802"/>
        <v>0</v>
      </c>
      <c r="AS344" s="78">
        <f t="shared" si="802"/>
        <v>-2.0000000000000018E-2</v>
      </c>
      <c r="AT344" s="79">
        <f t="shared" si="802"/>
        <v>-2.0000000000000018E-2</v>
      </c>
      <c r="AU344" s="433">
        <f t="shared" si="802"/>
        <v>20726591</v>
      </c>
      <c r="AV344" s="77">
        <f t="shared" si="802"/>
        <v>15080311</v>
      </c>
      <c r="AW344" s="77">
        <f t="shared" si="802"/>
        <v>80000</v>
      </c>
      <c r="AX344" s="77">
        <f t="shared" si="802"/>
        <v>5124184</v>
      </c>
      <c r="AY344" s="77">
        <f t="shared" si="802"/>
        <v>301606</v>
      </c>
      <c r="AZ344" s="77">
        <f t="shared" si="802"/>
        <v>140490</v>
      </c>
      <c r="BA344" s="78">
        <f t="shared" si="802"/>
        <v>31.692399999999999</v>
      </c>
      <c r="BB344" s="78">
        <f t="shared" si="802"/>
        <v>25.143099999999997</v>
      </c>
      <c r="BC344" s="79">
        <f t="shared" si="802"/>
        <v>6.5492999999999997</v>
      </c>
    </row>
    <row r="345" spans="1:55" ht="14.1" customHeight="1" x14ac:dyDescent="0.2">
      <c r="A345" s="68">
        <v>70</v>
      </c>
      <c r="B345" s="65">
        <v>2454</v>
      </c>
      <c r="C345" s="66">
        <v>600079759</v>
      </c>
      <c r="D345" s="65">
        <v>70983119</v>
      </c>
      <c r="E345" s="67" t="s">
        <v>706</v>
      </c>
      <c r="F345" s="68">
        <v>3117</v>
      </c>
      <c r="G345" s="67" t="s">
        <v>314</v>
      </c>
      <c r="H345" s="69" t="s">
        <v>277</v>
      </c>
      <c r="I345" s="477">
        <v>6612112</v>
      </c>
      <c r="J345" s="472">
        <v>4665524</v>
      </c>
      <c r="K345" s="472">
        <v>80000</v>
      </c>
      <c r="L345" s="472">
        <v>1603988</v>
      </c>
      <c r="M345" s="472">
        <v>93310</v>
      </c>
      <c r="N345" s="472">
        <v>169290</v>
      </c>
      <c r="O345" s="473">
        <v>8.8673000000000002</v>
      </c>
      <c r="P345" s="473">
        <v>6.3195999999999994</v>
      </c>
      <c r="Q345" s="483">
        <v>2.5476999999999999</v>
      </c>
      <c r="R345" s="485">
        <f t="shared" ref="R345:R349" si="803">Y345*-1</f>
        <v>0</v>
      </c>
      <c r="S345" s="475">
        <v>0</v>
      </c>
      <c r="T345" s="475">
        <v>0</v>
      </c>
      <c r="U345" s="475">
        <v>0</v>
      </c>
      <c r="V345" s="475">
        <v>0</v>
      </c>
      <c r="W345" s="475">
        <v>0</v>
      </c>
      <c r="X345" s="475">
        <f t="shared" ref="X345:X349" si="804">SUM(R345:W345)</f>
        <v>0</v>
      </c>
      <c r="Y345" s="475">
        <v>0</v>
      </c>
      <c r="Z345" s="475">
        <v>0</v>
      </c>
      <c r="AA345" s="475">
        <v>0</v>
      </c>
      <c r="AB345" s="475">
        <f t="shared" ref="AB345:AB349" si="805">SUM(Y345:AA345)</f>
        <v>0</v>
      </c>
      <c r="AC345" s="475">
        <f t="shared" ref="AC345:AC349" si="806">X345+AB345</f>
        <v>0</v>
      </c>
      <c r="AD345" s="70">
        <f t="shared" ref="AD345:AD349" si="807">ROUND((X345+Y345+Z345)*33.8%,0)</f>
        <v>0</v>
      </c>
      <c r="AE345" s="70">
        <f t="shared" ref="AE345:AE349" si="808">ROUND(X345*2%,0)</f>
        <v>0</v>
      </c>
      <c r="AF345" s="475">
        <v>0</v>
      </c>
      <c r="AG345" s="475">
        <v>0</v>
      </c>
      <c r="AH345" s="475">
        <f t="shared" ref="AH345:AH349" si="809">SUM(AF345:AG345)</f>
        <v>0</v>
      </c>
      <c r="AI345" s="475">
        <f t="shared" ref="AI345:AI349" si="810">AC345+AD345+AE345+AH345</f>
        <v>0</v>
      </c>
      <c r="AJ345" s="476">
        <v>0</v>
      </c>
      <c r="AK345" s="476">
        <v>0</v>
      </c>
      <c r="AL345" s="476">
        <v>0</v>
      </c>
      <c r="AM345" s="476">
        <v>0</v>
      </c>
      <c r="AN345" s="476">
        <v>0</v>
      </c>
      <c r="AO345" s="476">
        <v>0</v>
      </c>
      <c r="AP345" s="476">
        <v>0</v>
      </c>
      <c r="AQ345" s="476">
        <v>0</v>
      </c>
      <c r="AR345" s="476">
        <f t="shared" si="783"/>
        <v>0</v>
      </c>
      <c r="AS345" s="476">
        <f t="shared" si="784"/>
        <v>0</v>
      </c>
      <c r="AT345" s="478">
        <f t="shared" si="785"/>
        <v>0</v>
      </c>
      <c r="AU345" s="484">
        <f>I345+AI345</f>
        <v>6612112</v>
      </c>
      <c r="AV345" s="475">
        <f>J345+X345</f>
        <v>4665524</v>
      </c>
      <c r="AW345" s="475">
        <f>K345+AB345</f>
        <v>80000</v>
      </c>
      <c r="AX345" s="475">
        <f t="shared" ref="AX345:AY349" si="811">L345+AD345</f>
        <v>1603988</v>
      </c>
      <c r="AY345" s="475">
        <f t="shared" si="811"/>
        <v>93310</v>
      </c>
      <c r="AZ345" s="475">
        <f>N345+AH345</f>
        <v>169290</v>
      </c>
      <c r="BA345" s="476">
        <f>O345+AT345</f>
        <v>8.8673000000000002</v>
      </c>
      <c r="BB345" s="476">
        <f t="shared" ref="BB345:BC349" si="812">P345+AR345</f>
        <v>6.3195999999999994</v>
      </c>
      <c r="BC345" s="478">
        <f t="shared" si="812"/>
        <v>2.5476999999999999</v>
      </c>
    </row>
    <row r="346" spans="1:55" ht="14.1" customHeight="1" x14ac:dyDescent="0.2">
      <c r="A346" s="68">
        <v>70</v>
      </c>
      <c r="B346" s="65">
        <v>2454</v>
      </c>
      <c r="C346" s="66">
        <v>600079759</v>
      </c>
      <c r="D346" s="65">
        <v>70983119</v>
      </c>
      <c r="E346" s="67" t="s">
        <v>706</v>
      </c>
      <c r="F346" s="68">
        <v>3117</v>
      </c>
      <c r="G346" s="80" t="s">
        <v>312</v>
      </c>
      <c r="H346" s="69" t="s">
        <v>278</v>
      </c>
      <c r="I346" s="477">
        <v>1727855</v>
      </c>
      <c r="J346" s="472">
        <v>1270696</v>
      </c>
      <c r="K346" s="472">
        <v>0</v>
      </c>
      <c r="L346" s="472">
        <v>429495</v>
      </c>
      <c r="M346" s="472">
        <v>25414</v>
      </c>
      <c r="N346" s="472">
        <v>2250</v>
      </c>
      <c r="O346" s="473">
        <v>3.5799999999999996</v>
      </c>
      <c r="P346" s="474">
        <v>3.5799999999999996</v>
      </c>
      <c r="Q346" s="483">
        <v>0</v>
      </c>
      <c r="R346" s="485">
        <f t="shared" si="803"/>
        <v>0</v>
      </c>
      <c r="S346" s="475">
        <v>-3422</v>
      </c>
      <c r="T346" s="475">
        <v>0</v>
      </c>
      <c r="U346" s="475">
        <v>0</v>
      </c>
      <c r="V346" s="475">
        <v>0</v>
      </c>
      <c r="W346" s="475">
        <v>0</v>
      </c>
      <c r="X346" s="475">
        <f t="shared" si="804"/>
        <v>-3422</v>
      </c>
      <c r="Y346" s="475">
        <v>0</v>
      </c>
      <c r="Z346" s="475">
        <v>0</v>
      </c>
      <c r="AA346" s="475">
        <v>0</v>
      </c>
      <c r="AB346" s="475">
        <f t="shared" si="805"/>
        <v>0</v>
      </c>
      <c r="AC346" s="475">
        <f t="shared" si="806"/>
        <v>-3422</v>
      </c>
      <c r="AD346" s="70">
        <f t="shared" si="807"/>
        <v>-1157</v>
      </c>
      <c r="AE346" s="70">
        <f t="shared" si="808"/>
        <v>-68</v>
      </c>
      <c r="AF346" s="475">
        <v>0</v>
      </c>
      <c r="AG346" s="475">
        <v>0</v>
      </c>
      <c r="AH346" s="475">
        <f t="shared" si="809"/>
        <v>0</v>
      </c>
      <c r="AI346" s="475">
        <f t="shared" si="810"/>
        <v>-4647</v>
      </c>
      <c r="AJ346" s="476">
        <v>0</v>
      </c>
      <c r="AK346" s="476">
        <v>0</v>
      </c>
      <c r="AL346" s="476">
        <v>0</v>
      </c>
      <c r="AM346" s="476">
        <v>0</v>
      </c>
      <c r="AN346" s="476">
        <v>0</v>
      </c>
      <c r="AO346" s="476">
        <v>0</v>
      </c>
      <c r="AP346" s="476">
        <v>0</v>
      </c>
      <c r="AQ346" s="476">
        <v>0</v>
      </c>
      <c r="AR346" s="476">
        <f t="shared" si="783"/>
        <v>0</v>
      </c>
      <c r="AS346" s="476">
        <f t="shared" si="784"/>
        <v>0</v>
      </c>
      <c r="AT346" s="478">
        <f t="shared" si="785"/>
        <v>0</v>
      </c>
      <c r="AU346" s="484">
        <f>I346+AI346</f>
        <v>1723208</v>
      </c>
      <c r="AV346" s="475">
        <f>J346+X346</f>
        <v>1267274</v>
      </c>
      <c r="AW346" s="475">
        <f>K346+AB346</f>
        <v>0</v>
      </c>
      <c r="AX346" s="475">
        <f t="shared" si="811"/>
        <v>428338</v>
      </c>
      <c r="AY346" s="475">
        <f t="shared" si="811"/>
        <v>25346</v>
      </c>
      <c r="AZ346" s="475">
        <f>N346+AH346</f>
        <v>2250</v>
      </c>
      <c r="BA346" s="476">
        <f>O346+AT346</f>
        <v>3.5799999999999996</v>
      </c>
      <c r="BB346" s="476">
        <f t="shared" si="812"/>
        <v>3.5799999999999996</v>
      </c>
      <c r="BC346" s="478">
        <f t="shared" si="812"/>
        <v>0</v>
      </c>
    </row>
    <row r="347" spans="1:55" ht="14.1" customHeight="1" x14ac:dyDescent="0.2">
      <c r="A347" s="68">
        <v>70</v>
      </c>
      <c r="B347" s="65">
        <v>2454</v>
      </c>
      <c r="C347" s="66">
        <v>600079759</v>
      </c>
      <c r="D347" s="65">
        <v>70983119</v>
      </c>
      <c r="E347" s="67" t="s">
        <v>706</v>
      </c>
      <c r="F347" s="68">
        <v>3141</v>
      </c>
      <c r="G347" s="67" t="s">
        <v>315</v>
      </c>
      <c r="H347" s="69" t="s">
        <v>278</v>
      </c>
      <c r="I347" s="477">
        <v>332788</v>
      </c>
      <c r="J347" s="472">
        <v>242483</v>
      </c>
      <c r="K347" s="472">
        <v>0</v>
      </c>
      <c r="L347" s="472">
        <v>81959</v>
      </c>
      <c r="M347" s="472">
        <v>4850</v>
      </c>
      <c r="N347" s="472">
        <v>3496</v>
      </c>
      <c r="O347" s="473">
        <v>0.76</v>
      </c>
      <c r="P347" s="474">
        <v>0</v>
      </c>
      <c r="Q347" s="483">
        <v>0.76</v>
      </c>
      <c r="R347" s="485">
        <f t="shared" si="803"/>
        <v>0</v>
      </c>
      <c r="S347" s="475">
        <v>0</v>
      </c>
      <c r="T347" s="755">
        <v>-12239</v>
      </c>
      <c r="U347" s="475">
        <v>0</v>
      </c>
      <c r="V347" s="475">
        <v>0</v>
      </c>
      <c r="W347" s="475">
        <v>0</v>
      </c>
      <c r="X347" s="475">
        <f t="shared" si="804"/>
        <v>-12239</v>
      </c>
      <c r="Y347" s="475">
        <v>0</v>
      </c>
      <c r="Z347" s="475">
        <v>0</v>
      </c>
      <c r="AA347" s="475">
        <v>0</v>
      </c>
      <c r="AB347" s="475">
        <f t="shared" si="805"/>
        <v>0</v>
      </c>
      <c r="AC347" s="475">
        <f t="shared" si="806"/>
        <v>-12239</v>
      </c>
      <c r="AD347" s="70">
        <f t="shared" si="807"/>
        <v>-4137</v>
      </c>
      <c r="AE347" s="70">
        <f t="shared" si="808"/>
        <v>-245</v>
      </c>
      <c r="AF347" s="475">
        <v>0</v>
      </c>
      <c r="AG347" s="475">
        <v>0</v>
      </c>
      <c r="AH347" s="475">
        <f t="shared" si="809"/>
        <v>0</v>
      </c>
      <c r="AI347" s="475">
        <f t="shared" si="810"/>
        <v>-16621</v>
      </c>
      <c r="AJ347" s="476">
        <v>0</v>
      </c>
      <c r="AK347" s="476">
        <v>0</v>
      </c>
      <c r="AL347" s="476">
        <v>0</v>
      </c>
      <c r="AM347" s="476">
        <v>0</v>
      </c>
      <c r="AN347" s="756">
        <v>-0.03</v>
      </c>
      <c r="AO347" s="476">
        <v>0</v>
      </c>
      <c r="AP347" s="476">
        <v>0</v>
      </c>
      <c r="AQ347" s="476">
        <v>0</v>
      </c>
      <c r="AR347" s="476">
        <f t="shared" si="783"/>
        <v>0</v>
      </c>
      <c r="AS347" s="476">
        <f t="shared" si="784"/>
        <v>-0.03</v>
      </c>
      <c r="AT347" s="478">
        <f t="shared" si="785"/>
        <v>-0.03</v>
      </c>
      <c r="AU347" s="484">
        <f>I347+AI347</f>
        <v>316167</v>
      </c>
      <c r="AV347" s="475">
        <f>J347+X347</f>
        <v>230244</v>
      </c>
      <c r="AW347" s="475">
        <f>K347+AB347</f>
        <v>0</v>
      </c>
      <c r="AX347" s="475">
        <f t="shared" si="811"/>
        <v>77822</v>
      </c>
      <c r="AY347" s="475">
        <f t="shared" si="811"/>
        <v>4605</v>
      </c>
      <c r="AZ347" s="475">
        <f>N347+AH347</f>
        <v>3496</v>
      </c>
      <c r="BA347" s="476">
        <f>O347+AT347</f>
        <v>0.73</v>
      </c>
      <c r="BB347" s="476">
        <f t="shared" si="812"/>
        <v>0</v>
      </c>
      <c r="BC347" s="478">
        <f t="shared" si="812"/>
        <v>0.73</v>
      </c>
    </row>
    <row r="348" spans="1:55" ht="14.1" customHeight="1" x14ac:dyDescent="0.2">
      <c r="A348" s="68">
        <v>70</v>
      </c>
      <c r="B348" s="65">
        <v>2454</v>
      </c>
      <c r="C348" s="66">
        <v>600079759</v>
      </c>
      <c r="D348" s="65">
        <v>70983119</v>
      </c>
      <c r="E348" s="67" t="s">
        <v>706</v>
      </c>
      <c r="F348" s="68">
        <v>3143</v>
      </c>
      <c r="G348" s="80" t="s">
        <v>626</v>
      </c>
      <c r="H348" s="69" t="s">
        <v>277</v>
      </c>
      <c r="I348" s="477">
        <v>932377</v>
      </c>
      <c r="J348" s="472">
        <v>686581</v>
      </c>
      <c r="K348" s="472">
        <v>0</v>
      </c>
      <c r="L348" s="472">
        <v>232064</v>
      </c>
      <c r="M348" s="472">
        <v>13732</v>
      </c>
      <c r="N348" s="472">
        <v>0</v>
      </c>
      <c r="O348" s="473">
        <v>1.45</v>
      </c>
      <c r="P348" s="473">
        <v>1.45</v>
      </c>
      <c r="Q348" s="483">
        <v>0</v>
      </c>
      <c r="R348" s="485">
        <f t="shared" si="803"/>
        <v>0</v>
      </c>
      <c r="S348" s="475">
        <v>0</v>
      </c>
      <c r="T348" s="475">
        <v>0</v>
      </c>
      <c r="U348" s="475">
        <v>0</v>
      </c>
      <c r="V348" s="475">
        <v>0</v>
      </c>
      <c r="W348" s="475">
        <v>0</v>
      </c>
      <c r="X348" s="475">
        <f t="shared" si="804"/>
        <v>0</v>
      </c>
      <c r="Y348" s="475">
        <v>0</v>
      </c>
      <c r="Z348" s="475">
        <v>0</v>
      </c>
      <c r="AA348" s="475">
        <v>0</v>
      </c>
      <c r="AB348" s="475">
        <f t="shared" si="805"/>
        <v>0</v>
      </c>
      <c r="AC348" s="475">
        <f t="shared" si="806"/>
        <v>0</v>
      </c>
      <c r="AD348" s="70">
        <f t="shared" si="807"/>
        <v>0</v>
      </c>
      <c r="AE348" s="70">
        <f t="shared" si="808"/>
        <v>0</v>
      </c>
      <c r="AF348" s="475">
        <v>0</v>
      </c>
      <c r="AG348" s="475">
        <v>0</v>
      </c>
      <c r="AH348" s="475">
        <f t="shared" si="809"/>
        <v>0</v>
      </c>
      <c r="AI348" s="475">
        <f t="shared" si="810"/>
        <v>0</v>
      </c>
      <c r="AJ348" s="476">
        <v>0</v>
      </c>
      <c r="AK348" s="476">
        <v>0</v>
      </c>
      <c r="AL348" s="476">
        <v>0</v>
      </c>
      <c r="AM348" s="476">
        <v>0</v>
      </c>
      <c r="AN348" s="476">
        <v>0</v>
      </c>
      <c r="AO348" s="476">
        <v>0</v>
      </c>
      <c r="AP348" s="476">
        <v>0</v>
      </c>
      <c r="AQ348" s="476">
        <v>0</v>
      </c>
      <c r="AR348" s="476">
        <f t="shared" si="783"/>
        <v>0</v>
      </c>
      <c r="AS348" s="476">
        <f t="shared" si="784"/>
        <v>0</v>
      </c>
      <c r="AT348" s="478">
        <f t="shared" si="785"/>
        <v>0</v>
      </c>
      <c r="AU348" s="484">
        <f>I348+AI348</f>
        <v>932377</v>
      </c>
      <c r="AV348" s="475">
        <f>J348+X348</f>
        <v>686581</v>
      </c>
      <c r="AW348" s="475">
        <f>K348+AB348</f>
        <v>0</v>
      </c>
      <c r="AX348" s="475">
        <f t="shared" si="811"/>
        <v>232064</v>
      </c>
      <c r="AY348" s="475">
        <f t="shared" si="811"/>
        <v>13732</v>
      </c>
      <c r="AZ348" s="475">
        <f>N348+AH348</f>
        <v>0</v>
      </c>
      <c r="BA348" s="476">
        <f>O348+AT348</f>
        <v>1.45</v>
      </c>
      <c r="BB348" s="476">
        <f t="shared" si="812"/>
        <v>1.45</v>
      </c>
      <c r="BC348" s="478">
        <f t="shared" si="812"/>
        <v>0</v>
      </c>
    </row>
    <row r="349" spans="1:55" ht="14.1" customHeight="1" x14ac:dyDescent="0.2">
      <c r="A349" s="68">
        <v>70</v>
      </c>
      <c r="B349" s="65">
        <v>2454</v>
      </c>
      <c r="C349" s="66">
        <v>600079759</v>
      </c>
      <c r="D349" s="65">
        <v>70983119</v>
      </c>
      <c r="E349" s="67" t="s">
        <v>706</v>
      </c>
      <c r="F349" s="68">
        <v>3143</v>
      </c>
      <c r="G349" s="80" t="s">
        <v>627</v>
      </c>
      <c r="H349" s="69" t="s">
        <v>278</v>
      </c>
      <c r="I349" s="477">
        <v>37800</v>
      </c>
      <c r="J349" s="472">
        <v>26730</v>
      </c>
      <c r="K349" s="472">
        <v>0</v>
      </c>
      <c r="L349" s="472">
        <v>9035</v>
      </c>
      <c r="M349" s="472">
        <v>535</v>
      </c>
      <c r="N349" s="472">
        <v>1500</v>
      </c>
      <c r="O349" s="473">
        <v>0.1</v>
      </c>
      <c r="P349" s="474">
        <v>0</v>
      </c>
      <c r="Q349" s="483">
        <v>0.1</v>
      </c>
      <c r="R349" s="485">
        <f t="shared" si="803"/>
        <v>0</v>
      </c>
      <c r="S349" s="475">
        <v>0</v>
      </c>
      <c r="T349" s="475">
        <v>0</v>
      </c>
      <c r="U349" s="475">
        <v>0</v>
      </c>
      <c r="V349" s="475">
        <v>0</v>
      </c>
      <c r="W349" s="475">
        <v>0</v>
      </c>
      <c r="X349" s="475">
        <f t="shared" si="804"/>
        <v>0</v>
      </c>
      <c r="Y349" s="475">
        <v>0</v>
      </c>
      <c r="Z349" s="475">
        <v>0</v>
      </c>
      <c r="AA349" s="475">
        <v>0</v>
      </c>
      <c r="AB349" s="475">
        <f t="shared" si="805"/>
        <v>0</v>
      </c>
      <c r="AC349" s="475">
        <f t="shared" si="806"/>
        <v>0</v>
      </c>
      <c r="AD349" s="70">
        <f t="shared" si="807"/>
        <v>0</v>
      </c>
      <c r="AE349" s="70">
        <f t="shared" si="808"/>
        <v>0</v>
      </c>
      <c r="AF349" s="475">
        <v>0</v>
      </c>
      <c r="AG349" s="475">
        <v>0</v>
      </c>
      <c r="AH349" s="475">
        <f t="shared" si="809"/>
        <v>0</v>
      </c>
      <c r="AI349" s="475">
        <f t="shared" si="810"/>
        <v>0</v>
      </c>
      <c r="AJ349" s="476">
        <v>0</v>
      </c>
      <c r="AK349" s="476">
        <v>0</v>
      </c>
      <c r="AL349" s="476">
        <v>0</v>
      </c>
      <c r="AM349" s="476">
        <v>0</v>
      </c>
      <c r="AN349" s="476">
        <v>0</v>
      </c>
      <c r="AO349" s="476">
        <v>0</v>
      </c>
      <c r="AP349" s="476">
        <v>0</v>
      </c>
      <c r="AQ349" s="476">
        <v>0</v>
      </c>
      <c r="AR349" s="476">
        <f t="shared" si="783"/>
        <v>0</v>
      </c>
      <c r="AS349" s="476">
        <f t="shared" si="784"/>
        <v>0</v>
      </c>
      <c r="AT349" s="478">
        <f t="shared" si="785"/>
        <v>0</v>
      </c>
      <c r="AU349" s="484">
        <f>I349+AI349</f>
        <v>37800</v>
      </c>
      <c r="AV349" s="475">
        <f>J349+X349</f>
        <v>26730</v>
      </c>
      <c r="AW349" s="475">
        <f>K349+AB349</f>
        <v>0</v>
      </c>
      <c r="AX349" s="475">
        <f t="shared" si="811"/>
        <v>9035</v>
      </c>
      <c r="AY349" s="475">
        <f t="shared" si="811"/>
        <v>535</v>
      </c>
      <c r="AZ349" s="475">
        <f>N349+AH349</f>
        <v>1500</v>
      </c>
      <c r="BA349" s="476">
        <f>O349+AT349</f>
        <v>0.1</v>
      </c>
      <c r="BB349" s="476">
        <f t="shared" si="812"/>
        <v>0</v>
      </c>
      <c r="BC349" s="478">
        <f t="shared" si="812"/>
        <v>0.1</v>
      </c>
    </row>
    <row r="350" spans="1:55" ht="14.1" customHeight="1" x14ac:dyDescent="0.2">
      <c r="A350" s="74">
        <v>70</v>
      </c>
      <c r="B350" s="71">
        <v>2454</v>
      </c>
      <c r="C350" s="72">
        <v>600079759</v>
      </c>
      <c r="D350" s="71">
        <v>70983119</v>
      </c>
      <c r="E350" s="73" t="s">
        <v>707</v>
      </c>
      <c r="F350" s="74"/>
      <c r="G350" s="73"/>
      <c r="H350" s="75"/>
      <c r="I350" s="76">
        <v>9642932</v>
      </c>
      <c r="J350" s="77">
        <v>6892014</v>
      </c>
      <c r="K350" s="77">
        <v>80000</v>
      </c>
      <c r="L350" s="77">
        <v>2356541</v>
      </c>
      <c r="M350" s="77">
        <v>137841</v>
      </c>
      <c r="N350" s="77">
        <v>176536</v>
      </c>
      <c r="O350" s="78">
        <v>14.757299999999999</v>
      </c>
      <c r="P350" s="78">
        <v>11.349599999999999</v>
      </c>
      <c r="Q350" s="718">
        <v>3.4076999999999997</v>
      </c>
      <c r="R350" s="76">
        <f t="shared" ref="R350:BC350" si="813">SUM(R345:R349)</f>
        <v>0</v>
      </c>
      <c r="S350" s="77">
        <f t="shared" si="813"/>
        <v>-3422</v>
      </c>
      <c r="T350" s="77">
        <f t="shared" si="813"/>
        <v>-12239</v>
      </c>
      <c r="U350" s="77">
        <f t="shared" si="813"/>
        <v>0</v>
      </c>
      <c r="V350" s="77">
        <f t="shared" si="813"/>
        <v>0</v>
      </c>
      <c r="W350" s="77">
        <f t="shared" si="813"/>
        <v>0</v>
      </c>
      <c r="X350" s="77">
        <f t="shared" si="813"/>
        <v>-15661</v>
      </c>
      <c r="Y350" s="77">
        <f t="shared" si="813"/>
        <v>0</v>
      </c>
      <c r="Z350" s="77">
        <f t="shared" si="813"/>
        <v>0</v>
      </c>
      <c r="AA350" s="77">
        <f t="shared" si="813"/>
        <v>0</v>
      </c>
      <c r="AB350" s="77">
        <f t="shared" si="813"/>
        <v>0</v>
      </c>
      <c r="AC350" s="77">
        <f t="shared" si="813"/>
        <v>-15661</v>
      </c>
      <c r="AD350" s="77">
        <f t="shared" si="813"/>
        <v>-5294</v>
      </c>
      <c r="AE350" s="77">
        <f t="shared" si="813"/>
        <v>-313</v>
      </c>
      <c r="AF350" s="77">
        <f t="shared" si="813"/>
        <v>0</v>
      </c>
      <c r="AG350" s="77">
        <f t="shared" si="813"/>
        <v>0</v>
      </c>
      <c r="AH350" s="77">
        <f t="shared" si="813"/>
        <v>0</v>
      </c>
      <c r="AI350" s="77">
        <f t="shared" si="813"/>
        <v>-21268</v>
      </c>
      <c r="AJ350" s="78">
        <f t="shared" si="813"/>
        <v>0</v>
      </c>
      <c r="AK350" s="78">
        <f t="shared" si="813"/>
        <v>0</v>
      </c>
      <c r="AL350" s="78">
        <f t="shared" si="813"/>
        <v>0</v>
      </c>
      <c r="AM350" s="78">
        <f t="shared" si="813"/>
        <v>0</v>
      </c>
      <c r="AN350" s="78">
        <f t="shared" si="813"/>
        <v>-0.03</v>
      </c>
      <c r="AO350" s="78">
        <f t="shared" si="813"/>
        <v>0</v>
      </c>
      <c r="AP350" s="78">
        <f t="shared" si="813"/>
        <v>0</v>
      </c>
      <c r="AQ350" s="78">
        <f t="shared" si="813"/>
        <v>0</v>
      </c>
      <c r="AR350" s="78">
        <f t="shared" si="813"/>
        <v>0</v>
      </c>
      <c r="AS350" s="78">
        <f t="shared" si="813"/>
        <v>-0.03</v>
      </c>
      <c r="AT350" s="79">
        <f t="shared" si="813"/>
        <v>-0.03</v>
      </c>
      <c r="AU350" s="433">
        <f t="shared" si="813"/>
        <v>9621664</v>
      </c>
      <c r="AV350" s="77">
        <f t="shared" si="813"/>
        <v>6876353</v>
      </c>
      <c r="AW350" s="77">
        <f t="shared" si="813"/>
        <v>80000</v>
      </c>
      <c r="AX350" s="77">
        <f t="shared" si="813"/>
        <v>2351247</v>
      </c>
      <c r="AY350" s="77">
        <f t="shared" si="813"/>
        <v>137528</v>
      </c>
      <c r="AZ350" s="77">
        <f t="shared" si="813"/>
        <v>176536</v>
      </c>
      <c r="BA350" s="78">
        <f t="shared" si="813"/>
        <v>14.7273</v>
      </c>
      <c r="BB350" s="78">
        <f t="shared" si="813"/>
        <v>11.349599999999999</v>
      </c>
      <c r="BC350" s="79">
        <f t="shared" si="813"/>
        <v>3.3776999999999999</v>
      </c>
    </row>
    <row r="351" spans="1:55" ht="14.1" customHeight="1" x14ac:dyDescent="0.2">
      <c r="A351" s="68">
        <v>71</v>
      </c>
      <c r="B351" s="65">
        <v>2492</v>
      </c>
      <c r="C351" s="66">
        <v>600079767</v>
      </c>
      <c r="D351" s="65">
        <v>70983011</v>
      </c>
      <c r="E351" s="67" t="s">
        <v>799</v>
      </c>
      <c r="F351" s="68">
        <v>3113</v>
      </c>
      <c r="G351" s="67" t="s">
        <v>314</v>
      </c>
      <c r="H351" s="69" t="s">
        <v>277</v>
      </c>
      <c r="I351" s="477">
        <v>21270865</v>
      </c>
      <c r="J351" s="472">
        <v>15305672</v>
      </c>
      <c r="K351" s="472">
        <v>26400</v>
      </c>
      <c r="L351" s="472">
        <v>5182240</v>
      </c>
      <c r="M351" s="472">
        <v>306113</v>
      </c>
      <c r="N351" s="472">
        <v>450440</v>
      </c>
      <c r="O351" s="473">
        <v>27.6738</v>
      </c>
      <c r="P351" s="473">
        <v>21.363600000000002</v>
      </c>
      <c r="Q351" s="483">
        <v>6.3102</v>
      </c>
      <c r="R351" s="485">
        <f t="shared" ref="R351:R356" si="814">Y351*-1</f>
        <v>0</v>
      </c>
      <c r="S351" s="475">
        <v>0</v>
      </c>
      <c r="T351" s="475">
        <v>564171</v>
      </c>
      <c r="U351" s="475">
        <v>0</v>
      </c>
      <c r="V351" s="475">
        <v>0</v>
      </c>
      <c r="W351" s="475">
        <v>0</v>
      </c>
      <c r="X351" s="475">
        <f t="shared" ref="X351:X356" si="815">SUM(R351:W351)</f>
        <v>564171</v>
      </c>
      <c r="Y351" s="475">
        <v>0</v>
      </c>
      <c r="Z351" s="475">
        <v>0</v>
      </c>
      <c r="AA351" s="475">
        <v>0</v>
      </c>
      <c r="AB351" s="475">
        <f t="shared" ref="AB351:AB356" si="816">SUM(Y351:AA351)</f>
        <v>0</v>
      </c>
      <c r="AC351" s="475">
        <f t="shared" ref="AC351:AC356" si="817">X351+AB351</f>
        <v>564171</v>
      </c>
      <c r="AD351" s="70">
        <f t="shared" ref="AD351:AD356" si="818">ROUND((X351+Y351+Z351)*33.8%,0)</f>
        <v>190690</v>
      </c>
      <c r="AE351" s="70">
        <f t="shared" ref="AE351:AE356" si="819">ROUND(X351*2%,0)</f>
        <v>11283</v>
      </c>
      <c r="AF351" s="475">
        <v>0</v>
      </c>
      <c r="AG351" s="475">
        <v>0</v>
      </c>
      <c r="AH351" s="475">
        <f t="shared" ref="AH351:AH356" si="820">SUM(AF351:AG351)</f>
        <v>0</v>
      </c>
      <c r="AI351" s="475">
        <f t="shared" ref="AI351:AI356" si="821">AC351+AD351+AE351+AH351</f>
        <v>766144</v>
      </c>
      <c r="AJ351" s="476">
        <v>0</v>
      </c>
      <c r="AK351" s="476">
        <v>0</v>
      </c>
      <c r="AL351" s="476">
        <v>0</v>
      </c>
      <c r="AM351" s="476">
        <v>0.91</v>
      </c>
      <c r="AN351" s="476">
        <v>0</v>
      </c>
      <c r="AO351" s="476">
        <v>0</v>
      </c>
      <c r="AP351" s="476">
        <v>0</v>
      </c>
      <c r="AQ351" s="476">
        <v>0</v>
      </c>
      <c r="AR351" s="476">
        <f t="shared" si="783"/>
        <v>0.91</v>
      </c>
      <c r="AS351" s="476">
        <f t="shared" si="784"/>
        <v>0</v>
      </c>
      <c r="AT351" s="478">
        <f t="shared" si="785"/>
        <v>0.91</v>
      </c>
      <c r="AU351" s="484">
        <f t="shared" ref="AU351:AU356" si="822">I351+AI351</f>
        <v>22037009</v>
      </c>
      <c r="AV351" s="475">
        <f t="shared" ref="AV351:AV356" si="823">J351+X351</f>
        <v>15869843</v>
      </c>
      <c r="AW351" s="475">
        <f t="shared" ref="AW351:AW356" si="824">K351+AB351</f>
        <v>26400</v>
      </c>
      <c r="AX351" s="475">
        <f t="shared" ref="AX351:AY356" si="825">L351+AD351</f>
        <v>5372930</v>
      </c>
      <c r="AY351" s="475">
        <f t="shared" si="825"/>
        <v>317396</v>
      </c>
      <c r="AZ351" s="475">
        <f t="shared" ref="AZ351:AZ356" si="826">N351+AH351</f>
        <v>450440</v>
      </c>
      <c r="BA351" s="476">
        <f t="shared" ref="BA351:BA356" si="827">O351+AT351</f>
        <v>28.5838</v>
      </c>
      <c r="BB351" s="476">
        <f t="shared" ref="BB351:BC356" si="828">P351+AR351</f>
        <v>22.273600000000002</v>
      </c>
      <c r="BC351" s="478">
        <f t="shared" si="828"/>
        <v>6.3102</v>
      </c>
    </row>
    <row r="352" spans="1:55" ht="14.1" customHeight="1" x14ac:dyDescent="0.2">
      <c r="A352" s="68">
        <v>71</v>
      </c>
      <c r="B352" s="65">
        <v>2492</v>
      </c>
      <c r="C352" s="66">
        <v>600079767</v>
      </c>
      <c r="D352" s="65">
        <v>70983011</v>
      </c>
      <c r="E352" s="67" t="s">
        <v>799</v>
      </c>
      <c r="F352" s="68">
        <v>3113</v>
      </c>
      <c r="G352" s="80" t="s">
        <v>312</v>
      </c>
      <c r="H352" s="69" t="s">
        <v>278</v>
      </c>
      <c r="I352" s="477">
        <v>2272642</v>
      </c>
      <c r="J352" s="472">
        <v>1672601</v>
      </c>
      <c r="K352" s="472">
        <v>0</v>
      </c>
      <c r="L352" s="472">
        <v>565339</v>
      </c>
      <c r="M352" s="472">
        <v>33452</v>
      </c>
      <c r="N352" s="472">
        <v>1250</v>
      </c>
      <c r="O352" s="473">
        <v>4.8099999999999996</v>
      </c>
      <c r="P352" s="474">
        <v>4.8099999999999996</v>
      </c>
      <c r="Q352" s="483">
        <v>0</v>
      </c>
      <c r="R352" s="485">
        <f t="shared" si="814"/>
        <v>0</v>
      </c>
      <c r="S352" s="475">
        <v>23136</v>
      </c>
      <c r="T352" s="475">
        <v>0</v>
      </c>
      <c r="U352" s="475">
        <v>0</v>
      </c>
      <c r="V352" s="475">
        <v>0</v>
      </c>
      <c r="W352" s="475">
        <v>0</v>
      </c>
      <c r="X352" s="475">
        <f t="shared" si="815"/>
        <v>23136</v>
      </c>
      <c r="Y352" s="475">
        <v>0</v>
      </c>
      <c r="Z352" s="475">
        <v>0</v>
      </c>
      <c r="AA352" s="475">
        <v>0</v>
      </c>
      <c r="AB352" s="475">
        <f t="shared" si="816"/>
        <v>0</v>
      </c>
      <c r="AC352" s="475">
        <f t="shared" si="817"/>
        <v>23136</v>
      </c>
      <c r="AD352" s="70">
        <f t="shared" si="818"/>
        <v>7820</v>
      </c>
      <c r="AE352" s="70">
        <f t="shared" si="819"/>
        <v>463</v>
      </c>
      <c r="AF352" s="475">
        <v>4000</v>
      </c>
      <c r="AG352" s="475">
        <v>0</v>
      </c>
      <c r="AH352" s="475">
        <f t="shared" si="820"/>
        <v>4000</v>
      </c>
      <c r="AI352" s="475">
        <f t="shared" si="821"/>
        <v>35419</v>
      </c>
      <c r="AJ352" s="476">
        <v>0</v>
      </c>
      <c r="AK352" s="476">
        <v>0</v>
      </c>
      <c r="AL352" s="476">
        <v>0.06</v>
      </c>
      <c r="AM352" s="476">
        <v>0</v>
      </c>
      <c r="AN352" s="476">
        <v>0</v>
      </c>
      <c r="AO352" s="476">
        <v>0</v>
      </c>
      <c r="AP352" s="476">
        <v>0</v>
      </c>
      <c r="AQ352" s="476">
        <v>0</v>
      </c>
      <c r="AR352" s="476">
        <f t="shared" si="783"/>
        <v>0.06</v>
      </c>
      <c r="AS352" s="476">
        <f t="shared" si="784"/>
        <v>0</v>
      </c>
      <c r="AT352" s="478">
        <f t="shared" si="785"/>
        <v>0.06</v>
      </c>
      <c r="AU352" s="484">
        <f t="shared" si="822"/>
        <v>2308061</v>
      </c>
      <c r="AV352" s="475">
        <f t="shared" si="823"/>
        <v>1695737</v>
      </c>
      <c r="AW352" s="475">
        <f t="shared" si="824"/>
        <v>0</v>
      </c>
      <c r="AX352" s="475">
        <f t="shared" si="825"/>
        <v>573159</v>
      </c>
      <c r="AY352" s="475">
        <f t="shared" si="825"/>
        <v>33915</v>
      </c>
      <c r="AZ352" s="475">
        <f t="shared" si="826"/>
        <v>5250</v>
      </c>
      <c r="BA352" s="476">
        <f t="shared" si="827"/>
        <v>4.8699999999999992</v>
      </c>
      <c r="BB352" s="476">
        <f t="shared" si="828"/>
        <v>4.8699999999999992</v>
      </c>
      <c r="BC352" s="478">
        <f t="shared" si="828"/>
        <v>0</v>
      </c>
    </row>
    <row r="353" spans="1:55" ht="14.1" customHeight="1" x14ac:dyDescent="0.2">
      <c r="A353" s="68">
        <v>71</v>
      </c>
      <c r="B353" s="65">
        <v>2492</v>
      </c>
      <c r="C353" s="66">
        <v>600079767</v>
      </c>
      <c r="D353" s="65">
        <v>70983011</v>
      </c>
      <c r="E353" s="67" t="s">
        <v>799</v>
      </c>
      <c r="F353" s="68">
        <v>3141</v>
      </c>
      <c r="G353" s="67" t="s">
        <v>315</v>
      </c>
      <c r="H353" s="69" t="s">
        <v>278</v>
      </c>
      <c r="I353" s="477">
        <v>3973461</v>
      </c>
      <c r="J353" s="472">
        <v>2901831</v>
      </c>
      <c r="K353" s="472">
        <v>0</v>
      </c>
      <c r="L353" s="472">
        <v>980819</v>
      </c>
      <c r="M353" s="472">
        <v>58037</v>
      </c>
      <c r="N353" s="472">
        <v>32774</v>
      </c>
      <c r="O353" s="473">
        <v>9.14</v>
      </c>
      <c r="P353" s="474">
        <v>0</v>
      </c>
      <c r="Q353" s="483">
        <v>9.14</v>
      </c>
      <c r="R353" s="485">
        <f t="shared" si="814"/>
        <v>0</v>
      </c>
      <c r="S353" s="475">
        <v>0</v>
      </c>
      <c r="T353" s="755">
        <v>61114</v>
      </c>
      <c r="U353" s="475">
        <v>0</v>
      </c>
      <c r="V353" s="475">
        <v>0</v>
      </c>
      <c r="W353" s="475">
        <v>0</v>
      </c>
      <c r="X353" s="475">
        <f t="shared" si="815"/>
        <v>61114</v>
      </c>
      <c r="Y353" s="475">
        <v>0</v>
      </c>
      <c r="Z353" s="475">
        <v>0</v>
      </c>
      <c r="AA353" s="475">
        <v>0</v>
      </c>
      <c r="AB353" s="475">
        <f t="shared" si="816"/>
        <v>0</v>
      </c>
      <c r="AC353" s="475">
        <f t="shared" si="817"/>
        <v>61114</v>
      </c>
      <c r="AD353" s="70">
        <f t="shared" si="818"/>
        <v>20657</v>
      </c>
      <c r="AE353" s="70">
        <f t="shared" si="819"/>
        <v>1222</v>
      </c>
      <c r="AF353" s="475">
        <v>0</v>
      </c>
      <c r="AG353" s="475">
        <v>0</v>
      </c>
      <c r="AH353" s="475">
        <f t="shared" si="820"/>
        <v>0</v>
      </c>
      <c r="AI353" s="475">
        <f t="shared" si="821"/>
        <v>82993</v>
      </c>
      <c r="AJ353" s="476">
        <v>0</v>
      </c>
      <c r="AK353" s="476">
        <v>0</v>
      </c>
      <c r="AL353" s="476">
        <v>0</v>
      </c>
      <c r="AM353" s="476">
        <v>0</v>
      </c>
      <c r="AN353" s="756">
        <v>0.19000000000000039</v>
      </c>
      <c r="AO353" s="476">
        <v>0</v>
      </c>
      <c r="AP353" s="476">
        <v>0</v>
      </c>
      <c r="AQ353" s="476">
        <v>0</v>
      </c>
      <c r="AR353" s="476">
        <f t="shared" si="783"/>
        <v>0</v>
      </c>
      <c r="AS353" s="476">
        <f t="shared" si="784"/>
        <v>0.19000000000000039</v>
      </c>
      <c r="AT353" s="478">
        <f t="shared" si="785"/>
        <v>0.19000000000000039</v>
      </c>
      <c r="AU353" s="484">
        <f t="shared" si="822"/>
        <v>4056454</v>
      </c>
      <c r="AV353" s="475">
        <f t="shared" si="823"/>
        <v>2962945</v>
      </c>
      <c r="AW353" s="475">
        <f t="shared" si="824"/>
        <v>0</v>
      </c>
      <c r="AX353" s="475">
        <f t="shared" si="825"/>
        <v>1001476</v>
      </c>
      <c r="AY353" s="475">
        <f t="shared" si="825"/>
        <v>59259</v>
      </c>
      <c r="AZ353" s="475">
        <f t="shared" si="826"/>
        <v>32774</v>
      </c>
      <c r="BA353" s="476">
        <f t="shared" si="827"/>
        <v>9.3300000000000018</v>
      </c>
      <c r="BB353" s="476">
        <f t="shared" si="828"/>
        <v>0</v>
      </c>
      <c r="BC353" s="478">
        <f t="shared" si="828"/>
        <v>9.3300000000000018</v>
      </c>
    </row>
    <row r="354" spans="1:55" ht="14.1" customHeight="1" x14ac:dyDescent="0.2">
      <c r="A354" s="68">
        <v>71</v>
      </c>
      <c r="B354" s="65">
        <v>2492</v>
      </c>
      <c r="C354" s="66">
        <v>600079767</v>
      </c>
      <c r="D354" s="65">
        <v>70983011</v>
      </c>
      <c r="E354" s="67" t="s">
        <v>799</v>
      </c>
      <c r="F354" s="68">
        <v>3143</v>
      </c>
      <c r="G354" s="80" t="s">
        <v>626</v>
      </c>
      <c r="H354" s="69" t="s">
        <v>277</v>
      </c>
      <c r="I354" s="477">
        <v>1659001</v>
      </c>
      <c r="J354" s="472">
        <v>1218103</v>
      </c>
      <c r="K354" s="472">
        <v>3600</v>
      </c>
      <c r="L354" s="472">
        <v>412936</v>
      </c>
      <c r="M354" s="472">
        <v>24362</v>
      </c>
      <c r="N354" s="472">
        <v>0</v>
      </c>
      <c r="O354" s="473">
        <v>2.5</v>
      </c>
      <c r="P354" s="473">
        <v>2.5</v>
      </c>
      <c r="Q354" s="483">
        <v>0</v>
      </c>
      <c r="R354" s="485">
        <f t="shared" si="814"/>
        <v>0</v>
      </c>
      <c r="S354" s="475">
        <v>0</v>
      </c>
      <c r="T354" s="475">
        <v>0</v>
      </c>
      <c r="U354" s="475">
        <v>0</v>
      </c>
      <c r="V354" s="475">
        <v>0</v>
      </c>
      <c r="W354" s="475">
        <v>0</v>
      </c>
      <c r="X354" s="475">
        <f t="shared" si="815"/>
        <v>0</v>
      </c>
      <c r="Y354" s="475">
        <v>0</v>
      </c>
      <c r="Z354" s="475">
        <v>0</v>
      </c>
      <c r="AA354" s="475">
        <v>0</v>
      </c>
      <c r="AB354" s="475">
        <f t="shared" si="816"/>
        <v>0</v>
      </c>
      <c r="AC354" s="475">
        <f t="shared" si="817"/>
        <v>0</v>
      </c>
      <c r="AD354" s="70">
        <f t="shared" si="818"/>
        <v>0</v>
      </c>
      <c r="AE354" s="70">
        <f t="shared" si="819"/>
        <v>0</v>
      </c>
      <c r="AF354" s="475">
        <v>0</v>
      </c>
      <c r="AG354" s="475">
        <v>0</v>
      </c>
      <c r="AH354" s="475">
        <f t="shared" si="820"/>
        <v>0</v>
      </c>
      <c r="AI354" s="475">
        <f t="shared" si="821"/>
        <v>0</v>
      </c>
      <c r="AJ354" s="476">
        <v>0</v>
      </c>
      <c r="AK354" s="476">
        <v>0</v>
      </c>
      <c r="AL354" s="476">
        <v>0</v>
      </c>
      <c r="AM354" s="476">
        <v>0</v>
      </c>
      <c r="AN354" s="476">
        <v>0</v>
      </c>
      <c r="AO354" s="476">
        <v>0</v>
      </c>
      <c r="AP354" s="476">
        <v>0</v>
      </c>
      <c r="AQ354" s="476">
        <v>0</v>
      </c>
      <c r="AR354" s="476">
        <f t="shared" si="783"/>
        <v>0</v>
      </c>
      <c r="AS354" s="476">
        <f t="shared" si="784"/>
        <v>0</v>
      </c>
      <c r="AT354" s="478">
        <f t="shared" si="785"/>
        <v>0</v>
      </c>
      <c r="AU354" s="484">
        <f t="shared" si="822"/>
        <v>1659001</v>
      </c>
      <c r="AV354" s="475">
        <f t="shared" si="823"/>
        <v>1218103</v>
      </c>
      <c r="AW354" s="475">
        <f t="shared" si="824"/>
        <v>3600</v>
      </c>
      <c r="AX354" s="475">
        <f t="shared" si="825"/>
        <v>412936</v>
      </c>
      <c r="AY354" s="475">
        <f t="shared" si="825"/>
        <v>24362</v>
      </c>
      <c r="AZ354" s="475">
        <f t="shared" si="826"/>
        <v>0</v>
      </c>
      <c r="BA354" s="476">
        <f t="shared" si="827"/>
        <v>2.5</v>
      </c>
      <c r="BB354" s="476">
        <f t="shared" si="828"/>
        <v>2.5</v>
      </c>
      <c r="BC354" s="478">
        <f t="shared" si="828"/>
        <v>0</v>
      </c>
    </row>
    <row r="355" spans="1:55" ht="14.1" customHeight="1" x14ac:dyDescent="0.2">
      <c r="A355" s="68">
        <v>71</v>
      </c>
      <c r="B355" s="65">
        <v>2492</v>
      </c>
      <c r="C355" s="66">
        <v>600079767</v>
      </c>
      <c r="D355" s="65">
        <v>70983011</v>
      </c>
      <c r="E355" s="67" t="s">
        <v>799</v>
      </c>
      <c r="F355" s="68">
        <v>3143</v>
      </c>
      <c r="G355" s="80" t="s">
        <v>627</v>
      </c>
      <c r="H355" s="69" t="s">
        <v>278</v>
      </c>
      <c r="I355" s="477">
        <v>50652</v>
      </c>
      <c r="J355" s="472">
        <v>35819</v>
      </c>
      <c r="K355" s="472">
        <v>0</v>
      </c>
      <c r="L355" s="472">
        <v>12107</v>
      </c>
      <c r="M355" s="472">
        <v>716</v>
      </c>
      <c r="N355" s="472">
        <v>2010</v>
      </c>
      <c r="O355" s="473">
        <v>0.14000000000000001</v>
      </c>
      <c r="P355" s="474">
        <v>0</v>
      </c>
      <c r="Q355" s="483">
        <v>0.14000000000000001</v>
      </c>
      <c r="R355" s="485">
        <f t="shared" si="814"/>
        <v>0</v>
      </c>
      <c r="S355" s="475">
        <v>0</v>
      </c>
      <c r="T355" s="475">
        <v>0</v>
      </c>
      <c r="U355" s="475">
        <v>0</v>
      </c>
      <c r="V355" s="475">
        <v>0</v>
      </c>
      <c r="W355" s="475">
        <v>0</v>
      </c>
      <c r="X355" s="475">
        <f t="shared" si="815"/>
        <v>0</v>
      </c>
      <c r="Y355" s="475">
        <v>0</v>
      </c>
      <c r="Z355" s="475">
        <v>0</v>
      </c>
      <c r="AA355" s="475">
        <v>0</v>
      </c>
      <c r="AB355" s="475">
        <f t="shared" si="816"/>
        <v>0</v>
      </c>
      <c r="AC355" s="475">
        <f t="shared" si="817"/>
        <v>0</v>
      </c>
      <c r="AD355" s="70">
        <f t="shared" si="818"/>
        <v>0</v>
      </c>
      <c r="AE355" s="70">
        <f t="shared" si="819"/>
        <v>0</v>
      </c>
      <c r="AF355" s="475">
        <v>0</v>
      </c>
      <c r="AG355" s="475">
        <v>0</v>
      </c>
      <c r="AH355" s="475">
        <f t="shared" si="820"/>
        <v>0</v>
      </c>
      <c r="AI355" s="475">
        <f t="shared" si="821"/>
        <v>0</v>
      </c>
      <c r="AJ355" s="476">
        <v>0</v>
      </c>
      <c r="AK355" s="476">
        <v>0</v>
      </c>
      <c r="AL355" s="476">
        <v>0</v>
      </c>
      <c r="AM355" s="476">
        <v>0</v>
      </c>
      <c r="AN355" s="476">
        <v>0</v>
      </c>
      <c r="AO355" s="476">
        <v>0</v>
      </c>
      <c r="AP355" s="476">
        <v>0</v>
      </c>
      <c r="AQ355" s="476">
        <v>0</v>
      </c>
      <c r="AR355" s="476">
        <f t="shared" si="783"/>
        <v>0</v>
      </c>
      <c r="AS355" s="476">
        <f t="shared" si="784"/>
        <v>0</v>
      </c>
      <c r="AT355" s="478">
        <f t="shared" si="785"/>
        <v>0</v>
      </c>
      <c r="AU355" s="484">
        <f t="shared" si="822"/>
        <v>50652</v>
      </c>
      <c r="AV355" s="475">
        <f t="shared" si="823"/>
        <v>35819</v>
      </c>
      <c r="AW355" s="475">
        <f t="shared" si="824"/>
        <v>0</v>
      </c>
      <c r="AX355" s="475">
        <f t="shared" si="825"/>
        <v>12107</v>
      </c>
      <c r="AY355" s="475">
        <f t="shared" si="825"/>
        <v>716</v>
      </c>
      <c r="AZ355" s="475">
        <f t="shared" si="826"/>
        <v>2010</v>
      </c>
      <c r="BA355" s="476">
        <f t="shared" si="827"/>
        <v>0.14000000000000001</v>
      </c>
      <c r="BB355" s="476">
        <f t="shared" si="828"/>
        <v>0</v>
      </c>
      <c r="BC355" s="478">
        <f t="shared" si="828"/>
        <v>0.14000000000000001</v>
      </c>
    </row>
    <row r="356" spans="1:55" ht="14.1" customHeight="1" x14ac:dyDescent="0.2">
      <c r="A356" s="68">
        <v>71</v>
      </c>
      <c r="B356" s="65">
        <v>2492</v>
      </c>
      <c r="C356" s="66">
        <v>600079767</v>
      </c>
      <c r="D356" s="65">
        <v>70983011</v>
      </c>
      <c r="E356" s="67" t="s">
        <v>800</v>
      </c>
      <c r="F356" s="68">
        <v>3231</v>
      </c>
      <c r="G356" s="80" t="s">
        <v>316</v>
      </c>
      <c r="H356" s="69" t="s">
        <v>277</v>
      </c>
      <c r="I356" s="477">
        <v>2082990</v>
      </c>
      <c r="J356" s="472">
        <v>1528936</v>
      </c>
      <c r="K356" s="472">
        <v>0</v>
      </c>
      <c r="L356" s="472">
        <v>516780</v>
      </c>
      <c r="M356" s="472">
        <v>30579</v>
      </c>
      <c r="N356" s="472">
        <v>6695</v>
      </c>
      <c r="O356" s="473">
        <v>2.8395999999999999</v>
      </c>
      <c r="P356" s="474">
        <v>2.5230000000000001</v>
      </c>
      <c r="Q356" s="483">
        <v>0.31659999999999999</v>
      </c>
      <c r="R356" s="485">
        <f t="shared" si="814"/>
        <v>0</v>
      </c>
      <c r="S356" s="475">
        <v>0</v>
      </c>
      <c r="T356" s="475">
        <v>187156</v>
      </c>
      <c r="U356" s="475">
        <v>0</v>
      </c>
      <c r="V356" s="475">
        <v>0</v>
      </c>
      <c r="W356" s="475">
        <v>0</v>
      </c>
      <c r="X356" s="475">
        <f t="shared" si="815"/>
        <v>187156</v>
      </c>
      <c r="Y356" s="475">
        <v>0</v>
      </c>
      <c r="Z356" s="475">
        <v>0</v>
      </c>
      <c r="AA356" s="475">
        <v>0</v>
      </c>
      <c r="AB356" s="475">
        <f t="shared" si="816"/>
        <v>0</v>
      </c>
      <c r="AC356" s="475">
        <f t="shared" si="817"/>
        <v>187156</v>
      </c>
      <c r="AD356" s="70">
        <f t="shared" si="818"/>
        <v>63259</v>
      </c>
      <c r="AE356" s="70">
        <f t="shared" si="819"/>
        <v>3743</v>
      </c>
      <c r="AF356" s="475">
        <v>0</v>
      </c>
      <c r="AG356" s="475">
        <v>0</v>
      </c>
      <c r="AH356" s="475">
        <f t="shared" si="820"/>
        <v>0</v>
      </c>
      <c r="AI356" s="475">
        <f t="shared" si="821"/>
        <v>254158</v>
      </c>
      <c r="AJ356" s="476">
        <v>0</v>
      </c>
      <c r="AK356" s="476">
        <v>0</v>
      </c>
      <c r="AL356" s="476">
        <v>0</v>
      </c>
      <c r="AM356" s="476">
        <v>0.33</v>
      </c>
      <c r="AN356" s="476">
        <v>0</v>
      </c>
      <c r="AO356" s="476">
        <v>0</v>
      </c>
      <c r="AP356" s="476">
        <v>0</v>
      </c>
      <c r="AQ356" s="476">
        <v>0</v>
      </c>
      <c r="AR356" s="476">
        <f t="shared" si="783"/>
        <v>0.33</v>
      </c>
      <c r="AS356" s="476">
        <f t="shared" si="784"/>
        <v>0</v>
      </c>
      <c r="AT356" s="478">
        <f t="shared" si="785"/>
        <v>0.33</v>
      </c>
      <c r="AU356" s="484">
        <f t="shared" si="822"/>
        <v>2337148</v>
      </c>
      <c r="AV356" s="475">
        <f t="shared" si="823"/>
        <v>1716092</v>
      </c>
      <c r="AW356" s="475">
        <f t="shared" si="824"/>
        <v>0</v>
      </c>
      <c r="AX356" s="475">
        <f t="shared" si="825"/>
        <v>580039</v>
      </c>
      <c r="AY356" s="475">
        <f t="shared" si="825"/>
        <v>34322</v>
      </c>
      <c r="AZ356" s="475">
        <f t="shared" si="826"/>
        <v>6695</v>
      </c>
      <c r="BA356" s="476">
        <f t="shared" si="827"/>
        <v>3.1696</v>
      </c>
      <c r="BB356" s="476">
        <f t="shared" si="828"/>
        <v>2.8530000000000002</v>
      </c>
      <c r="BC356" s="478">
        <f t="shared" si="828"/>
        <v>0.31659999999999999</v>
      </c>
    </row>
    <row r="357" spans="1:55" ht="14.1" customHeight="1" x14ac:dyDescent="0.2">
      <c r="A357" s="74">
        <v>71</v>
      </c>
      <c r="B357" s="71">
        <v>2492</v>
      </c>
      <c r="C357" s="72">
        <v>600079767</v>
      </c>
      <c r="D357" s="71">
        <v>70983011</v>
      </c>
      <c r="E357" s="73" t="s">
        <v>801</v>
      </c>
      <c r="F357" s="74"/>
      <c r="G357" s="73"/>
      <c r="H357" s="75"/>
      <c r="I357" s="76">
        <v>31309611</v>
      </c>
      <c r="J357" s="77">
        <v>22662962</v>
      </c>
      <c r="K357" s="77">
        <v>30000</v>
      </c>
      <c r="L357" s="77">
        <v>7670221</v>
      </c>
      <c r="M357" s="77">
        <v>453259</v>
      </c>
      <c r="N357" s="77">
        <v>493169</v>
      </c>
      <c r="O357" s="78">
        <v>47.103400000000001</v>
      </c>
      <c r="P357" s="78">
        <v>31.1966</v>
      </c>
      <c r="Q357" s="718">
        <v>15.9068</v>
      </c>
      <c r="R357" s="76">
        <f t="shared" ref="R357:BC357" si="829">SUM(R351:R356)</f>
        <v>0</v>
      </c>
      <c r="S357" s="77">
        <f t="shared" si="829"/>
        <v>23136</v>
      </c>
      <c r="T357" s="77">
        <f t="shared" si="829"/>
        <v>812441</v>
      </c>
      <c r="U357" s="77">
        <f t="shared" si="829"/>
        <v>0</v>
      </c>
      <c r="V357" s="77">
        <f t="shared" si="829"/>
        <v>0</v>
      </c>
      <c r="W357" s="77">
        <f t="shared" si="829"/>
        <v>0</v>
      </c>
      <c r="X357" s="77">
        <f t="shared" si="829"/>
        <v>835577</v>
      </c>
      <c r="Y357" s="77">
        <f t="shared" si="829"/>
        <v>0</v>
      </c>
      <c r="Z357" s="77">
        <f t="shared" si="829"/>
        <v>0</v>
      </c>
      <c r="AA357" s="77">
        <f t="shared" si="829"/>
        <v>0</v>
      </c>
      <c r="AB357" s="77">
        <f t="shared" si="829"/>
        <v>0</v>
      </c>
      <c r="AC357" s="77">
        <f t="shared" si="829"/>
        <v>835577</v>
      </c>
      <c r="AD357" s="77">
        <f t="shared" si="829"/>
        <v>282426</v>
      </c>
      <c r="AE357" s="77">
        <f t="shared" si="829"/>
        <v>16711</v>
      </c>
      <c r="AF357" s="77">
        <f t="shared" si="829"/>
        <v>4000</v>
      </c>
      <c r="AG357" s="77">
        <f t="shared" si="829"/>
        <v>0</v>
      </c>
      <c r="AH357" s="77">
        <f t="shared" si="829"/>
        <v>4000</v>
      </c>
      <c r="AI357" s="77">
        <f t="shared" si="829"/>
        <v>1138714</v>
      </c>
      <c r="AJ357" s="78">
        <f t="shared" si="829"/>
        <v>0</v>
      </c>
      <c r="AK357" s="78">
        <f t="shared" si="829"/>
        <v>0</v>
      </c>
      <c r="AL357" s="78">
        <f t="shared" si="829"/>
        <v>0.06</v>
      </c>
      <c r="AM357" s="78">
        <f t="shared" si="829"/>
        <v>1.24</v>
      </c>
      <c r="AN357" s="78">
        <f t="shared" si="829"/>
        <v>0.19000000000000039</v>
      </c>
      <c r="AO357" s="78">
        <f t="shared" si="829"/>
        <v>0</v>
      </c>
      <c r="AP357" s="78">
        <f t="shared" si="829"/>
        <v>0</v>
      </c>
      <c r="AQ357" s="78">
        <f t="shared" si="829"/>
        <v>0</v>
      </c>
      <c r="AR357" s="78">
        <f t="shared" si="829"/>
        <v>1.3</v>
      </c>
      <c r="AS357" s="78">
        <f t="shared" si="829"/>
        <v>0.19000000000000039</v>
      </c>
      <c r="AT357" s="79">
        <f t="shared" si="829"/>
        <v>1.4900000000000004</v>
      </c>
      <c r="AU357" s="433">
        <f t="shared" si="829"/>
        <v>32448325</v>
      </c>
      <c r="AV357" s="77">
        <f t="shared" si="829"/>
        <v>23498539</v>
      </c>
      <c r="AW357" s="77">
        <f t="shared" si="829"/>
        <v>30000</v>
      </c>
      <c r="AX357" s="77">
        <f t="shared" si="829"/>
        <v>7952647</v>
      </c>
      <c r="AY357" s="77">
        <f t="shared" si="829"/>
        <v>469970</v>
      </c>
      <c r="AZ357" s="77">
        <f t="shared" si="829"/>
        <v>497169</v>
      </c>
      <c r="BA357" s="78">
        <f t="shared" si="829"/>
        <v>48.593400000000003</v>
      </c>
      <c r="BB357" s="78">
        <f t="shared" si="829"/>
        <v>32.496600000000001</v>
      </c>
      <c r="BC357" s="79">
        <f t="shared" si="829"/>
        <v>16.096800000000002</v>
      </c>
    </row>
    <row r="358" spans="1:55" ht="14.1" customHeight="1" x14ac:dyDescent="0.2">
      <c r="A358" s="68">
        <v>72</v>
      </c>
      <c r="B358" s="65">
        <v>2491</v>
      </c>
      <c r="C358" s="66">
        <v>600079775</v>
      </c>
      <c r="D358" s="65">
        <v>70983003</v>
      </c>
      <c r="E358" s="67" t="s">
        <v>708</v>
      </c>
      <c r="F358" s="68">
        <v>3113</v>
      </c>
      <c r="G358" s="67" t="s">
        <v>314</v>
      </c>
      <c r="H358" s="69" t="s">
        <v>277</v>
      </c>
      <c r="I358" s="477">
        <v>27180229</v>
      </c>
      <c r="J358" s="472">
        <v>19636619</v>
      </c>
      <c r="K358" s="472">
        <v>0</v>
      </c>
      <c r="L358" s="472">
        <v>6637177</v>
      </c>
      <c r="M358" s="472">
        <v>392733</v>
      </c>
      <c r="N358" s="472">
        <v>513700</v>
      </c>
      <c r="O358" s="473">
        <v>35.5899</v>
      </c>
      <c r="P358" s="473">
        <v>28.318100000000001</v>
      </c>
      <c r="Q358" s="483">
        <v>7.2717999999999998</v>
      </c>
      <c r="R358" s="485">
        <f t="shared" ref="R358:R361" si="830">Y358*-1</f>
        <v>0</v>
      </c>
      <c r="S358" s="475">
        <v>0</v>
      </c>
      <c r="T358" s="475">
        <v>0</v>
      </c>
      <c r="U358" s="475">
        <v>0</v>
      </c>
      <c r="V358" s="475">
        <v>0</v>
      </c>
      <c r="W358" s="475">
        <v>0</v>
      </c>
      <c r="X358" s="475">
        <f t="shared" ref="X358:X361" si="831">SUM(R358:W358)</f>
        <v>0</v>
      </c>
      <c r="Y358" s="475">
        <v>0</v>
      </c>
      <c r="Z358" s="475">
        <v>0</v>
      </c>
      <c r="AA358" s="475">
        <v>0</v>
      </c>
      <c r="AB358" s="475">
        <f t="shared" ref="AB358:AB361" si="832">SUM(Y358:AA358)</f>
        <v>0</v>
      </c>
      <c r="AC358" s="475">
        <f t="shared" ref="AC358:AC361" si="833">X358+AB358</f>
        <v>0</v>
      </c>
      <c r="AD358" s="70">
        <f t="shared" ref="AD358:AD361" si="834">ROUND((X358+Y358+Z358)*33.8%,0)</f>
        <v>0</v>
      </c>
      <c r="AE358" s="70">
        <f t="shared" ref="AE358:AE361" si="835">ROUND(X358*2%,0)</f>
        <v>0</v>
      </c>
      <c r="AF358" s="475">
        <v>0</v>
      </c>
      <c r="AG358" s="475">
        <v>0</v>
      </c>
      <c r="AH358" s="475">
        <f t="shared" ref="AH358:AH361" si="836">SUM(AF358:AG358)</f>
        <v>0</v>
      </c>
      <c r="AI358" s="475">
        <f t="shared" ref="AI358:AI361" si="837">AC358+AD358+AE358+AH358</f>
        <v>0</v>
      </c>
      <c r="AJ358" s="476">
        <v>0</v>
      </c>
      <c r="AK358" s="476">
        <v>0</v>
      </c>
      <c r="AL358" s="476">
        <v>0</v>
      </c>
      <c r="AM358" s="476">
        <v>0</v>
      </c>
      <c r="AN358" s="476">
        <v>0</v>
      </c>
      <c r="AO358" s="476">
        <v>0</v>
      </c>
      <c r="AP358" s="476">
        <v>0</v>
      </c>
      <c r="AQ358" s="476">
        <v>0</v>
      </c>
      <c r="AR358" s="476">
        <f t="shared" si="783"/>
        <v>0</v>
      </c>
      <c r="AS358" s="476">
        <f t="shared" si="784"/>
        <v>0</v>
      </c>
      <c r="AT358" s="478">
        <f t="shared" si="785"/>
        <v>0</v>
      </c>
      <c r="AU358" s="484">
        <f>I358+AI358</f>
        <v>27180229</v>
      </c>
      <c r="AV358" s="475">
        <f>J358+X358</f>
        <v>19636619</v>
      </c>
      <c r="AW358" s="475">
        <f>K358+AB358</f>
        <v>0</v>
      </c>
      <c r="AX358" s="475">
        <f t="shared" ref="AX358:AY361" si="838">L358+AD358</f>
        <v>6637177</v>
      </c>
      <c r="AY358" s="475">
        <f t="shared" si="838"/>
        <v>392733</v>
      </c>
      <c r="AZ358" s="475">
        <f>N358+AH358</f>
        <v>513700</v>
      </c>
      <c r="BA358" s="476">
        <f>O358+AT358</f>
        <v>35.5899</v>
      </c>
      <c r="BB358" s="476">
        <f t="shared" ref="BB358:BC361" si="839">P358+AR358</f>
        <v>28.318100000000001</v>
      </c>
      <c r="BC358" s="478">
        <f t="shared" si="839"/>
        <v>7.2717999999999998</v>
      </c>
    </row>
    <row r="359" spans="1:55" ht="14.1" customHeight="1" x14ac:dyDescent="0.2">
      <c r="A359" s="68">
        <v>72</v>
      </c>
      <c r="B359" s="65">
        <v>2491</v>
      </c>
      <c r="C359" s="66">
        <v>600079775</v>
      </c>
      <c r="D359" s="65">
        <v>70983003</v>
      </c>
      <c r="E359" s="67" t="s">
        <v>708</v>
      </c>
      <c r="F359" s="68">
        <v>3113</v>
      </c>
      <c r="G359" s="80" t="s">
        <v>312</v>
      </c>
      <c r="H359" s="69" t="s">
        <v>278</v>
      </c>
      <c r="I359" s="477">
        <v>1696225</v>
      </c>
      <c r="J359" s="472">
        <v>1247036</v>
      </c>
      <c r="K359" s="472">
        <v>0</v>
      </c>
      <c r="L359" s="472">
        <v>421498</v>
      </c>
      <c r="M359" s="472">
        <v>24941</v>
      </c>
      <c r="N359" s="472">
        <v>2750</v>
      </c>
      <c r="O359" s="473">
        <v>3.38</v>
      </c>
      <c r="P359" s="474">
        <v>3.38</v>
      </c>
      <c r="Q359" s="483">
        <v>0</v>
      </c>
      <c r="R359" s="485">
        <f t="shared" si="830"/>
        <v>0</v>
      </c>
      <c r="S359" s="475">
        <v>-57741</v>
      </c>
      <c r="T359" s="475">
        <v>0</v>
      </c>
      <c r="U359" s="475">
        <v>0</v>
      </c>
      <c r="V359" s="475">
        <v>0</v>
      </c>
      <c r="W359" s="475">
        <v>0</v>
      </c>
      <c r="X359" s="475">
        <f t="shared" si="831"/>
        <v>-57741</v>
      </c>
      <c r="Y359" s="475">
        <v>0</v>
      </c>
      <c r="Z359" s="475">
        <v>0</v>
      </c>
      <c r="AA359" s="475">
        <v>0</v>
      </c>
      <c r="AB359" s="475">
        <f t="shared" si="832"/>
        <v>0</v>
      </c>
      <c r="AC359" s="475">
        <f t="shared" si="833"/>
        <v>-57741</v>
      </c>
      <c r="AD359" s="70">
        <f t="shared" si="834"/>
        <v>-19516</v>
      </c>
      <c r="AE359" s="70">
        <f t="shared" si="835"/>
        <v>-1155</v>
      </c>
      <c r="AF359" s="475">
        <v>0</v>
      </c>
      <c r="AG359" s="475">
        <v>0</v>
      </c>
      <c r="AH359" s="475">
        <f t="shared" si="836"/>
        <v>0</v>
      </c>
      <c r="AI359" s="475">
        <f t="shared" si="837"/>
        <v>-78412</v>
      </c>
      <c r="AJ359" s="476">
        <v>0</v>
      </c>
      <c r="AK359" s="476">
        <v>0</v>
      </c>
      <c r="AL359" s="476">
        <v>-0.17</v>
      </c>
      <c r="AM359" s="476">
        <v>0</v>
      </c>
      <c r="AN359" s="476">
        <v>0</v>
      </c>
      <c r="AO359" s="476">
        <v>0</v>
      </c>
      <c r="AP359" s="476">
        <v>0</v>
      </c>
      <c r="AQ359" s="476">
        <v>0</v>
      </c>
      <c r="AR359" s="476">
        <f t="shared" si="783"/>
        <v>-0.17</v>
      </c>
      <c r="AS359" s="476">
        <f t="shared" si="784"/>
        <v>0</v>
      </c>
      <c r="AT359" s="478">
        <f t="shared" si="785"/>
        <v>-0.17</v>
      </c>
      <c r="AU359" s="484">
        <f>I359+AI359</f>
        <v>1617813</v>
      </c>
      <c r="AV359" s="475">
        <f>J359+X359</f>
        <v>1189295</v>
      </c>
      <c r="AW359" s="475">
        <f>K359+AB359</f>
        <v>0</v>
      </c>
      <c r="AX359" s="475">
        <f t="shared" si="838"/>
        <v>401982</v>
      </c>
      <c r="AY359" s="475">
        <f t="shared" si="838"/>
        <v>23786</v>
      </c>
      <c r="AZ359" s="475">
        <f>N359+AH359</f>
        <v>2750</v>
      </c>
      <c r="BA359" s="476">
        <f>O359+AT359</f>
        <v>3.21</v>
      </c>
      <c r="BB359" s="476">
        <f t="shared" si="839"/>
        <v>3.21</v>
      </c>
      <c r="BC359" s="478">
        <f t="shared" si="839"/>
        <v>0</v>
      </c>
    </row>
    <row r="360" spans="1:55" ht="14.1" customHeight="1" x14ac:dyDescent="0.2">
      <c r="A360" s="68">
        <v>72</v>
      </c>
      <c r="B360" s="65">
        <v>2491</v>
      </c>
      <c r="C360" s="66">
        <v>600079775</v>
      </c>
      <c r="D360" s="65">
        <v>70983003</v>
      </c>
      <c r="E360" s="67" t="s">
        <v>708</v>
      </c>
      <c r="F360" s="68">
        <v>3143</v>
      </c>
      <c r="G360" s="80" t="s">
        <v>626</v>
      </c>
      <c r="H360" s="69" t="s">
        <v>277</v>
      </c>
      <c r="I360" s="477">
        <v>2344341</v>
      </c>
      <c r="J360" s="472">
        <v>1726319</v>
      </c>
      <c r="K360" s="472">
        <v>0</v>
      </c>
      <c r="L360" s="472">
        <v>583496</v>
      </c>
      <c r="M360" s="472">
        <v>34526</v>
      </c>
      <c r="N360" s="472">
        <v>0</v>
      </c>
      <c r="O360" s="473">
        <v>3.5714000000000001</v>
      </c>
      <c r="P360" s="473">
        <v>3.5714000000000001</v>
      </c>
      <c r="Q360" s="483">
        <v>0</v>
      </c>
      <c r="R360" s="485">
        <f t="shared" si="830"/>
        <v>0</v>
      </c>
      <c r="S360" s="475">
        <v>0</v>
      </c>
      <c r="T360" s="475">
        <v>0</v>
      </c>
      <c r="U360" s="475">
        <v>0</v>
      </c>
      <c r="V360" s="475">
        <v>0</v>
      </c>
      <c r="W360" s="475">
        <v>0</v>
      </c>
      <c r="X360" s="475">
        <f t="shared" si="831"/>
        <v>0</v>
      </c>
      <c r="Y360" s="475">
        <v>0</v>
      </c>
      <c r="Z360" s="475">
        <v>0</v>
      </c>
      <c r="AA360" s="475">
        <v>0</v>
      </c>
      <c r="AB360" s="475">
        <f t="shared" si="832"/>
        <v>0</v>
      </c>
      <c r="AC360" s="475">
        <f t="shared" si="833"/>
        <v>0</v>
      </c>
      <c r="AD360" s="70">
        <f t="shared" si="834"/>
        <v>0</v>
      </c>
      <c r="AE360" s="70">
        <f t="shared" si="835"/>
        <v>0</v>
      </c>
      <c r="AF360" s="475">
        <v>0</v>
      </c>
      <c r="AG360" s="475">
        <v>0</v>
      </c>
      <c r="AH360" s="475">
        <f t="shared" si="836"/>
        <v>0</v>
      </c>
      <c r="AI360" s="475">
        <f t="shared" si="837"/>
        <v>0</v>
      </c>
      <c r="AJ360" s="476">
        <v>0</v>
      </c>
      <c r="AK360" s="476">
        <v>0</v>
      </c>
      <c r="AL360" s="476">
        <v>0</v>
      </c>
      <c r="AM360" s="476">
        <v>0</v>
      </c>
      <c r="AN360" s="476">
        <v>0</v>
      </c>
      <c r="AO360" s="476">
        <v>0</v>
      </c>
      <c r="AP360" s="476">
        <v>0</v>
      </c>
      <c r="AQ360" s="476">
        <v>0</v>
      </c>
      <c r="AR360" s="476">
        <f t="shared" si="783"/>
        <v>0</v>
      </c>
      <c r="AS360" s="476">
        <f t="shared" si="784"/>
        <v>0</v>
      </c>
      <c r="AT360" s="478">
        <f t="shared" si="785"/>
        <v>0</v>
      </c>
      <c r="AU360" s="484">
        <f>I360+AI360</f>
        <v>2344341</v>
      </c>
      <c r="AV360" s="475">
        <f>J360+X360</f>
        <v>1726319</v>
      </c>
      <c r="AW360" s="475">
        <f>K360+AB360</f>
        <v>0</v>
      </c>
      <c r="AX360" s="475">
        <f t="shared" si="838"/>
        <v>583496</v>
      </c>
      <c r="AY360" s="475">
        <f t="shared" si="838"/>
        <v>34526</v>
      </c>
      <c r="AZ360" s="475">
        <f>N360+AH360</f>
        <v>0</v>
      </c>
      <c r="BA360" s="476">
        <f>O360+AT360</f>
        <v>3.5714000000000001</v>
      </c>
      <c r="BB360" s="476">
        <f t="shared" si="839"/>
        <v>3.5714000000000001</v>
      </c>
      <c r="BC360" s="478">
        <f t="shared" si="839"/>
        <v>0</v>
      </c>
    </row>
    <row r="361" spans="1:55" ht="14.1" customHeight="1" x14ac:dyDescent="0.2">
      <c r="A361" s="68">
        <v>72</v>
      </c>
      <c r="B361" s="65">
        <v>2491</v>
      </c>
      <c r="C361" s="66">
        <v>600079775</v>
      </c>
      <c r="D361" s="65">
        <v>70983003</v>
      </c>
      <c r="E361" s="67" t="s">
        <v>708</v>
      </c>
      <c r="F361" s="68">
        <v>3143</v>
      </c>
      <c r="G361" s="80" t="s">
        <v>627</v>
      </c>
      <c r="H361" s="69" t="s">
        <v>278</v>
      </c>
      <c r="I361" s="477">
        <v>68040</v>
      </c>
      <c r="J361" s="472">
        <v>48115</v>
      </c>
      <c r="K361" s="472">
        <v>0</v>
      </c>
      <c r="L361" s="472">
        <v>16263</v>
      </c>
      <c r="M361" s="472">
        <v>962</v>
      </c>
      <c r="N361" s="472">
        <v>2700</v>
      </c>
      <c r="O361" s="473">
        <v>0.19</v>
      </c>
      <c r="P361" s="474">
        <v>0</v>
      </c>
      <c r="Q361" s="483">
        <v>0.19</v>
      </c>
      <c r="R361" s="485">
        <f t="shared" si="830"/>
        <v>0</v>
      </c>
      <c r="S361" s="475">
        <v>0</v>
      </c>
      <c r="T361" s="475">
        <v>0</v>
      </c>
      <c r="U361" s="475">
        <v>0</v>
      </c>
      <c r="V361" s="475">
        <v>0</v>
      </c>
      <c r="W361" s="475">
        <v>0</v>
      </c>
      <c r="X361" s="475">
        <f t="shared" si="831"/>
        <v>0</v>
      </c>
      <c r="Y361" s="475">
        <v>0</v>
      </c>
      <c r="Z361" s="475">
        <v>0</v>
      </c>
      <c r="AA361" s="475">
        <v>0</v>
      </c>
      <c r="AB361" s="475">
        <f t="shared" si="832"/>
        <v>0</v>
      </c>
      <c r="AC361" s="475">
        <f t="shared" si="833"/>
        <v>0</v>
      </c>
      <c r="AD361" s="70">
        <f t="shared" si="834"/>
        <v>0</v>
      </c>
      <c r="AE361" s="70">
        <f t="shared" si="835"/>
        <v>0</v>
      </c>
      <c r="AF361" s="475">
        <v>0</v>
      </c>
      <c r="AG361" s="475">
        <v>0</v>
      </c>
      <c r="AH361" s="475">
        <f t="shared" si="836"/>
        <v>0</v>
      </c>
      <c r="AI361" s="475">
        <f t="shared" si="837"/>
        <v>0</v>
      </c>
      <c r="AJ361" s="476">
        <v>0</v>
      </c>
      <c r="AK361" s="476">
        <v>0</v>
      </c>
      <c r="AL361" s="476">
        <v>0</v>
      </c>
      <c r="AM361" s="476">
        <v>0</v>
      </c>
      <c r="AN361" s="476">
        <v>0</v>
      </c>
      <c r="AO361" s="476">
        <v>0</v>
      </c>
      <c r="AP361" s="476">
        <v>0</v>
      </c>
      <c r="AQ361" s="476">
        <v>0</v>
      </c>
      <c r="AR361" s="476">
        <f t="shared" si="783"/>
        <v>0</v>
      </c>
      <c r="AS361" s="476">
        <f t="shared" si="784"/>
        <v>0</v>
      </c>
      <c r="AT361" s="478">
        <f t="shared" si="785"/>
        <v>0</v>
      </c>
      <c r="AU361" s="484">
        <f>I361+AI361</f>
        <v>68040</v>
      </c>
      <c r="AV361" s="475">
        <f>J361+X361</f>
        <v>48115</v>
      </c>
      <c r="AW361" s="475">
        <f>K361+AB361</f>
        <v>0</v>
      </c>
      <c r="AX361" s="475">
        <f t="shared" si="838"/>
        <v>16263</v>
      </c>
      <c r="AY361" s="475">
        <f t="shared" si="838"/>
        <v>962</v>
      </c>
      <c r="AZ361" s="475">
        <f>N361+AH361</f>
        <v>2700</v>
      </c>
      <c r="BA361" s="476">
        <f>O361+AT361</f>
        <v>0.19</v>
      </c>
      <c r="BB361" s="476">
        <f t="shared" si="839"/>
        <v>0</v>
      </c>
      <c r="BC361" s="478">
        <f t="shared" si="839"/>
        <v>0.19</v>
      </c>
    </row>
    <row r="362" spans="1:55" ht="14.1" customHeight="1" x14ac:dyDescent="0.2">
      <c r="A362" s="74">
        <v>72</v>
      </c>
      <c r="B362" s="71">
        <v>2491</v>
      </c>
      <c r="C362" s="72">
        <v>600079775</v>
      </c>
      <c r="D362" s="71">
        <v>70983003</v>
      </c>
      <c r="E362" s="73" t="s">
        <v>709</v>
      </c>
      <c r="F362" s="74"/>
      <c r="G362" s="73"/>
      <c r="H362" s="75"/>
      <c r="I362" s="76">
        <v>31288835</v>
      </c>
      <c r="J362" s="77">
        <v>22658089</v>
      </c>
      <c r="K362" s="77">
        <v>0</v>
      </c>
      <c r="L362" s="77">
        <v>7658434</v>
      </c>
      <c r="M362" s="77">
        <v>453162</v>
      </c>
      <c r="N362" s="77">
        <v>519150</v>
      </c>
      <c r="O362" s="78">
        <v>42.731299999999997</v>
      </c>
      <c r="P362" s="78">
        <v>35.269500000000001</v>
      </c>
      <c r="Q362" s="718">
        <v>7.4618000000000002</v>
      </c>
      <c r="R362" s="76">
        <f t="shared" ref="R362:BC362" si="840">SUM(R358:R361)</f>
        <v>0</v>
      </c>
      <c r="S362" s="77">
        <f t="shared" si="840"/>
        <v>-57741</v>
      </c>
      <c r="T362" s="77">
        <f t="shared" si="840"/>
        <v>0</v>
      </c>
      <c r="U362" s="77">
        <f t="shared" si="840"/>
        <v>0</v>
      </c>
      <c r="V362" s="77">
        <f t="shared" si="840"/>
        <v>0</v>
      </c>
      <c r="W362" s="77">
        <f t="shared" si="840"/>
        <v>0</v>
      </c>
      <c r="X362" s="77">
        <f t="shared" si="840"/>
        <v>-57741</v>
      </c>
      <c r="Y362" s="77">
        <f t="shared" si="840"/>
        <v>0</v>
      </c>
      <c r="Z362" s="77">
        <f t="shared" si="840"/>
        <v>0</v>
      </c>
      <c r="AA362" s="77">
        <f t="shared" si="840"/>
        <v>0</v>
      </c>
      <c r="AB362" s="77">
        <f t="shared" si="840"/>
        <v>0</v>
      </c>
      <c r="AC362" s="77">
        <f t="shared" si="840"/>
        <v>-57741</v>
      </c>
      <c r="AD362" s="77">
        <f t="shared" si="840"/>
        <v>-19516</v>
      </c>
      <c r="AE362" s="77">
        <f t="shared" si="840"/>
        <v>-1155</v>
      </c>
      <c r="AF362" s="77">
        <f t="shared" si="840"/>
        <v>0</v>
      </c>
      <c r="AG362" s="77">
        <f t="shared" si="840"/>
        <v>0</v>
      </c>
      <c r="AH362" s="77">
        <f t="shared" si="840"/>
        <v>0</v>
      </c>
      <c r="AI362" s="77">
        <f t="shared" si="840"/>
        <v>-78412</v>
      </c>
      <c r="AJ362" s="78">
        <f t="shared" si="840"/>
        <v>0</v>
      </c>
      <c r="AK362" s="78">
        <f t="shared" si="840"/>
        <v>0</v>
      </c>
      <c r="AL362" s="78">
        <f t="shared" si="840"/>
        <v>-0.17</v>
      </c>
      <c r="AM362" s="78">
        <f t="shared" si="840"/>
        <v>0</v>
      </c>
      <c r="AN362" s="78">
        <f t="shared" si="840"/>
        <v>0</v>
      </c>
      <c r="AO362" s="78">
        <f t="shared" si="840"/>
        <v>0</v>
      </c>
      <c r="AP362" s="78">
        <f t="shared" si="840"/>
        <v>0</v>
      </c>
      <c r="AQ362" s="78">
        <f t="shared" si="840"/>
        <v>0</v>
      </c>
      <c r="AR362" s="78">
        <f t="shared" si="840"/>
        <v>-0.17</v>
      </c>
      <c r="AS362" s="78">
        <f t="shared" si="840"/>
        <v>0</v>
      </c>
      <c r="AT362" s="79">
        <f t="shared" si="840"/>
        <v>-0.17</v>
      </c>
      <c r="AU362" s="433">
        <f t="shared" si="840"/>
        <v>31210423</v>
      </c>
      <c r="AV362" s="77">
        <f t="shared" si="840"/>
        <v>22600348</v>
      </c>
      <c r="AW362" s="77">
        <f t="shared" si="840"/>
        <v>0</v>
      </c>
      <c r="AX362" s="77">
        <f t="shared" si="840"/>
        <v>7638918</v>
      </c>
      <c r="AY362" s="77">
        <f t="shared" si="840"/>
        <v>452007</v>
      </c>
      <c r="AZ362" s="77">
        <f t="shared" si="840"/>
        <v>519150</v>
      </c>
      <c r="BA362" s="78">
        <f t="shared" si="840"/>
        <v>42.561299999999996</v>
      </c>
      <c r="BB362" s="78">
        <f t="shared" si="840"/>
        <v>35.099499999999999</v>
      </c>
      <c r="BC362" s="79">
        <f t="shared" si="840"/>
        <v>7.4618000000000002</v>
      </c>
    </row>
    <row r="363" spans="1:55" ht="14.1" customHeight="1" x14ac:dyDescent="0.2">
      <c r="A363" s="68">
        <v>73</v>
      </c>
      <c r="B363" s="65">
        <v>2459</v>
      </c>
      <c r="C363" s="66">
        <v>650030583</v>
      </c>
      <c r="D363" s="65">
        <v>72744707</v>
      </c>
      <c r="E363" s="67" t="s">
        <v>710</v>
      </c>
      <c r="F363" s="68">
        <v>3111</v>
      </c>
      <c r="G363" s="67" t="s">
        <v>311</v>
      </c>
      <c r="H363" s="69" t="s">
        <v>277</v>
      </c>
      <c r="I363" s="477">
        <v>3268703</v>
      </c>
      <c r="J363" s="472">
        <v>2391092</v>
      </c>
      <c r="K363" s="472">
        <v>0</v>
      </c>
      <c r="L363" s="472">
        <v>808189</v>
      </c>
      <c r="M363" s="472">
        <v>47822</v>
      </c>
      <c r="N363" s="472">
        <v>21600</v>
      </c>
      <c r="O363" s="473">
        <v>5.0217999999999998</v>
      </c>
      <c r="P363" s="473">
        <v>4</v>
      </c>
      <c r="Q363" s="483">
        <v>1.0218</v>
      </c>
      <c r="R363" s="485">
        <f t="shared" ref="R363:R368" si="841">Y363*-1</f>
        <v>0</v>
      </c>
      <c r="S363" s="475">
        <v>0</v>
      </c>
      <c r="T363" s="475">
        <v>0</v>
      </c>
      <c r="U363" s="475">
        <v>0</v>
      </c>
      <c r="V363" s="475">
        <v>0</v>
      </c>
      <c r="W363" s="475">
        <v>0</v>
      </c>
      <c r="X363" s="475">
        <f t="shared" ref="X363:X368" si="842">SUM(R363:W363)</f>
        <v>0</v>
      </c>
      <c r="Y363" s="475">
        <v>0</v>
      </c>
      <c r="Z363" s="475">
        <v>0</v>
      </c>
      <c r="AA363" s="475">
        <v>0</v>
      </c>
      <c r="AB363" s="475">
        <f t="shared" ref="AB363:AB368" si="843">SUM(Y363:AA363)</f>
        <v>0</v>
      </c>
      <c r="AC363" s="475">
        <f t="shared" ref="AC363:AC368" si="844">X363+AB363</f>
        <v>0</v>
      </c>
      <c r="AD363" s="70">
        <f t="shared" ref="AD363:AD368" si="845">ROUND((X363+Y363+Z363)*33.8%,0)</f>
        <v>0</v>
      </c>
      <c r="AE363" s="70">
        <f t="shared" ref="AE363:AE368" si="846">ROUND(X363*2%,0)</f>
        <v>0</v>
      </c>
      <c r="AF363" s="475">
        <v>0</v>
      </c>
      <c r="AG363" s="475">
        <v>0</v>
      </c>
      <c r="AH363" s="475">
        <f t="shared" ref="AH363:AH368" si="847">SUM(AF363:AG363)</f>
        <v>0</v>
      </c>
      <c r="AI363" s="475">
        <f t="shared" ref="AI363:AI368" si="848">AC363+AD363+AE363+AH363</f>
        <v>0</v>
      </c>
      <c r="AJ363" s="476">
        <v>0</v>
      </c>
      <c r="AK363" s="476">
        <v>0</v>
      </c>
      <c r="AL363" s="476">
        <v>0</v>
      </c>
      <c r="AM363" s="476">
        <v>0</v>
      </c>
      <c r="AN363" s="476">
        <v>0</v>
      </c>
      <c r="AO363" s="476">
        <v>0</v>
      </c>
      <c r="AP363" s="476">
        <v>0</v>
      </c>
      <c r="AQ363" s="476">
        <v>0</v>
      </c>
      <c r="AR363" s="476">
        <f t="shared" si="783"/>
        <v>0</v>
      </c>
      <c r="AS363" s="476">
        <f t="shared" si="784"/>
        <v>0</v>
      </c>
      <c r="AT363" s="478">
        <f t="shared" si="785"/>
        <v>0</v>
      </c>
      <c r="AU363" s="484">
        <f t="shared" ref="AU363:AU368" si="849">I363+AI363</f>
        <v>3268703</v>
      </c>
      <c r="AV363" s="475">
        <f t="shared" ref="AV363:AV368" si="850">J363+X363</f>
        <v>2391092</v>
      </c>
      <c r="AW363" s="475">
        <f t="shared" ref="AW363:AW368" si="851">K363+AB363</f>
        <v>0</v>
      </c>
      <c r="AX363" s="475">
        <f t="shared" ref="AX363:AY368" si="852">L363+AD363</f>
        <v>808189</v>
      </c>
      <c r="AY363" s="475">
        <f t="shared" si="852"/>
        <v>47822</v>
      </c>
      <c r="AZ363" s="475">
        <f t="shared" ref="AZ363:AZ368" si="853">N363+AH363</f>
        <v>21600</v>
      </c>
      <c r="BA363" s="476">
        <f t="shared" ref="BA363:BA368" si="854">O363+AT363</f>
        <v>5.0217999999999998</v>
      </c>
      <c r="BB363" s="476">
        <f t="shared" ref="BB363:BC368" si="855">P363+AR363</f>
        <v>4</v>
      </c>
      <c r="BC363" s="478">
        <f t="shared" si="855"/>
        <v>1.0218</v>
      </c>
    </row>
    <row r="364" spans="1:55" ht="14.1" customHeight="1" x14ac:dyDescent="0.2">
      <c r="A364" s="68">
        <v>73</v>
      </c>
      <c r="B364" s="65">
        <v>2459</v>
      </c>
      <c r="C364" s="66">
        <v>650030583</v>
      </c>
      <c r="D364" s="65">
        <v>72744707</v>
      </c>
      <c r="E364" s="67" t="s">
        <v>710</v>
      </c>
      <c r="F364" s="68">
        <v>3117</v>
      </c>
      <c r="G364" s="67" t="s">
        <v>314</v>
      </c>
      <c r="H364" s="69" t="s">
        <v>277</v>
      </c>
      <c r="I364" s="477">
        <v>5928868</v>
      </c>
      <c r="J364" s="472">
        <v>4161370</v>
      </c>
      <c r="K364" s="472">
        <v>136000</v>
      </c>
      <c r="L364" s="472">
        <v>1452511</v>
      </c>
      <c r="M364" s="472">
        <v>83227</v>
      </c>
      <c r="N364" s="472">
        <v>95760</v>
      </c>
      <c r="O364" s="473">
        <v>7.6071000000000009</v>
      </c>
      <c r="P364" s="473">
        <v>5.3545000000000007</v>
      </c>
      <c r="Q364" s="483">
        <v>2.2526000000000002</v>
      </c>
      <c r="R364" s="485">
        <f t="shared" si="841"/>
        <v>0</v>
      </c>
      <c r="S364" s="475">
        <v>0</v>
      </c>
      <c r="T364" s="475">
        <v>0</v>
      </c>
      <c r="U364" s="475">
        <v>0</v>
      </c>
      <c r="V364" s="475">
        <v>0</v>
      </c>
      <c r="W364" s="475">
        <v>0</v>
      </c>
      <c r="X364" s="475">
        <f t="shared" si="842"/>
        <v>0</v>
      </c>
      <c r="Y364" s="475">
        <v>0</v>
      </c>
      <c r="Z364" s="475">
        <v>0</v>
      </c>
      <c r="AA364" s="475">
        <v>0</v>
      </c>
      <c r="AB364" s="475">
        <f t="shared" si="843"/>
        <v>0</v>
      </c>
      <c r="AC364" s="475">
        <f t="shared" si="844"/>
        <v>0</v>
      </c>
      <c r="AD364" s="70">
        <f t="shared" si="845"/>
        <v>0</v>
      </c>
      <c r="AE364" s="70">
        <f t="shared" si="846"/>
        <v>0</v>
      </c>
      <c r="AF364" s="475">
        <v>0</v>
      </c>
      <c r="AG364" s="475">
        <v>0</v>
      </c>
      <c r="AH364" s="475">
        <f t="shared" si="847"/>
        <v>0</v>
      </c>
      <c r="AI364" s="475">
        <f t="shared" si="848"/>
        <v>0</v>
      </c>
      <c r="AJ364" s="476">
        <v>0</v>
      </c>
      <c r="AK364" s="476">
        <v>0</v>
      </c>
      <c r="AL364" s="476">
        <v>0</v>
      </c>
      <c r="AM364" s="476">
        <v>0</v>
      </c>
      <c r="AN364" s="476">
        <v>0</v>
      </c>
      <c r="AO364" s="476">
        <v>0</v>
      </c>
      <c r="AP364" s="476">
        <v>0</v>
      </c>
      <c r="AQ364" s="476">
        <v>0</v>
      </c>
      <c r="AR364" s="476">
        <f t="shared" si="783"/>
        <v>0</v>
      </c>
      <c r="AS364" s="476">
        <f t="shared" si="784"/>
        <v>0</v>
      </c>
      <c r="AT364" s="478">
        <f t="shared" si="785"/>
        <v>0</v>
      </c>
      <c r="AU364" s="484">
        <f t="shared" si="849"/>
        <v>5928868</v>
      </c>
      <c r="AV364" s="475">
        <f t="shared" si="850"/>
        <v>4161370</v>
      </c>
      <c r="AW364" s="475">
        <f t="shared" si="851"/>
        <v>136000</v>
      </c>
      <c r="AX364" s="475">
        <f t="shared" si="852"/>
        <v>1452511</v>
      </c>
      <c r="AY364" s="475">
        <f t="shared" si="852"/>
        <v>83227</v>
      </c>
      <c r="AZ364" s="475">
        <f t="shared" si="853"/>
        <v>95760</v>
      </c>
      <c r="BA364" s="476">
        <f t="shared" si="854"/>
        <v>7.6071000000000009</v>
      </c>
      <c r="BB364" s="476">
        <f t="shared" si="855"/>
        <v>5.3545000000000007</v>
      </c>
      <c r="BC364" s="478">
        <f t="shared" si="855"/>
        <v>2.2526000000000002</v>
      </c>
    </row>
    <row r="365" spans="1:55" ht="14.1" customHeight="1" x14ac:dyDescent="0.2">
      <c r="A365" s="68">
        <v>73</v>
      </c>
      <c r="B365" s="65">
        <v>2459</v>
      </c>
      <c r="C365" s="66">
        <v>650030583</v>
      </c>
      <c r="D365" s="65">
        <v>72744707</v>
      </c>
      <c r="E365" s="67" t="s">
        <v>710</v>
      </c>
      <c r="F365" s="68">
        <v>3117</v>
      </c>
      <c r="G365" s="80" t="s">
        <v>312</v>
      </c>
      <c r="H365" s="69" t="s">
        <v>278</v>
      </c>
      <c r="I365" s="477">
        <v>833889</v>
      </c>
      <c r="J365" s="472">
        <v>614057</v>
      </c>
      <c r="K365" s="472">
        <v>0</v>
      </c>
      <c r="L365" s="472">
        <v>207551</v>
      </c>
      <c r="M365" s="472">
        <v>12281</v>
      </c>
      <c r="N365" s="472">
        <v>0</v>
      </c>
      <c r="O365" s="473">
        <v>1.74</v>
      </c>
      <c r="P365" s="474">
        <v>1.74</v>
      </c>
      <c r="Q365" s="483">
        <v>0</v>
      </c>
      <c r="R365" s="485">
        <f t="shared" si="841"/>
        <v>0</v>
      </c>
      <c r="S365" s="475">
        <v>-22746</v>
      </c>
      <c r="T365" s="475">
        <v>0</v>
      </c>
      <c r="U365" s="475">
        <v>0</v>
      </c>
      <c r="V365" s="475">
        <v>0</v>
      </c>
      <c r="W365" s="475">
        <v>0</v>
      </c>
      <c r="X365" s="475">
        <f t="shared" si="842"/>
        <v>-22746</v>
      </c>
      <c r="Y365" s="475">
        <v>0</v>
      </c>
      <c r="Z365" s="475">
        <v>0</v>
      </c>
      <c r="AA365" s="475">
        <v>0</v>
      </c>
      <c r="AB365" s="475">
        <f t="shared" si="843"/>
        <v>0</v>
      </c>
      <c r="AC365" s="475">
        <f t="shared" si="844"/>
        <v>-22746</v>
      </c>
      <c r="AD365" s="70">
        <f t="shared" si="845"/>
        <v>-7688</v>
      </c>
      <c r="AE365" s="70">
        <f t="shared" si="846"/>
        <v>-455</v>
      </c>
      <c r="AF365" s="475">
        <v>0</v>
      </c>
      <c r="AG365" s="475">
        <v>0</v>
      </c>
      <c r="AH365" s="475">
        <f t="shared" si="847"/>
        <v>0</v>
      </c>
      <c r="AI365" s="475">
        <f t="shared" si="848"/>
        <v>-30889</v>
      </c>
      <c r="AJ365" s="476">
        <v>0</v>
      </c>
      <c r="AK365" s="476">
        <v>0</v>
      </c>
      <c r="AL365" s="476">
        <v>-7.0000000000000007E-2</v>
      </c>
      <c r="AM365" s="476">
        <v>0</v>
      </c>
      <c r="AN365" s="476">
        <v>0</v>
      </c>
      <c r="AO365" s="476">
        <v>0</v>
      </c>
      <c r="AP365" s="476">
        <v>0</v>
      </c>
      <c r="AQ365" s="476">
        <v>0</v>
      </c>
      <c r="AR365" s="476">
        <f t="shared" si="783"/>
        <v>-7.0000000000000007E-2</v>
      </c>
      <c r="AS365" s="476">
        <f t="shared" si="784"/>
        <v>0</v>
      </c>
      <c r="AT365" s="478">
        <f t="shared" si="785"/>
        <v>-7.0000000000000007E-2</v>
      </c>
      <c r="AU365" s="484">
        <f t="shared" si="849"/>
        <v>803000</v>
      </c>
      <c r="AV365" s="475">
        <f t="shared" si="850"/>
        <v>591311</v>
      </c>
      <c r="AW365" s="475">
        <f t="shared" si="851"/>
        <v>0</v>
      </c>
      <c r="AX365" s="475">
        <f t="shared" si="852"/>
        <v>199863</v>
      </c>
      <c r="AY365" s="475">
        <f t="shared" si="852"/>
        <v>11826</v>
      </c>
      <c r="AZ365" s="475">
        <f t="shared" si="853"/>
        <v>0</v>
      </c>
      <c r="BA365" s="476">
        <f t="shared" si="854"/>
        <v>1.67</v>
      </c>
      <c r="BB365" s="476">
        <f t="shared" si="855"/>
        <v>1.67</v>
      </c>
      <c r="BC365" s="478">
        <f t="shared" si="855"/>
        <v>0</v>
      </c>
    </row>
    <row r="366" spans="1:55" ht="14.1" customHeight="1" x14ac:dyDescent="0.2">
      <c r="A366" s="68">
        <v>73</v>
      </c>
      <c r="B366" s="65">
        <v>2459</v>
      </c>
      <c r="C366" s="66">
        <v>650030583</v>
      </c>
      <c r="D366" s="65">
        <v>72744707</v>
      </c>
      <c r="E366" s="67" t="s">
        <v>710</v>
      </c>
      <c r="F366" s="68">
        <v>3141</v>
      </c>
      <c r="G366" s="67" t="s">
        <v>315</v>
      </c>
      <c r="H366" s="69" t="s">
        <v>278</v>
      </c>
      <c r="I366" s="477">
        <v>1171980</v>
      </c>
      <c r="J366" s="472">
        <v>858962</v>
      </c>
      <c r="K366" s="472">
        <v>0</v>
      </c>
      <c r="L366" s="472">
        <v>290329</v>
      </c>
      <c r="M366" s="472">
        <v>17179</v>
      </c>
      <c r="N366" s="472">
        <v>5510</v>
      </c>
      <c r="O366" s="473">
        <v>2.71</v>
      </c>
      <c r="P366" s="474">
        <v>0</v>
      </c>
      <c r="Q366" s="483">
        <v>2.71</v>
      </c>
      <c r="R366" s="485">
        <f t="shared" si="841"/>
        <v>0</v>
      </c>
      <c r="S366" s="475">
        <v>0</v>
      </c>
      <c r="T366" s="755">
        <v>-962</v>
      </c>
      <c r="U366" s="475">
        <v>0</v>
      </c>
      <c r="V366" s="475">
        <v>0</v>
      </c>
      <c r="W366" s="475">
        <v>0</v>
      </c>
      <c r="X366" s="475">
        <f t="shared" si="842"/>
        <v>-962</v>
      </c>
      <c r="Y366" s="475">
        <v>0</v>
      </c>
      <c r="Z366" s="475">
        <v>0</v>
      </c>
      <c r="AA366" s="475">
        <v>0</v>
      </c>
      <c r="AB366" s="475">
        <f t="shared" si="843"/>
        <v>0</v>
      </c>
      <c r="AC366" s="475">
        <f t="shared" si="844"/>
        <v>-962</v>
      </c>
      <c r="AD366" s="70">
        <f t="shared" si="845"/>
        <v>-325</v>
      </c>
      <c r="AE366" s="70">
        <f t="shared" si="846"/>
        <v>-19</v>
      </c>
      <c r="AF366" s="475">
        <v>0</v>
      </c>
      <c r="AG366" s="475">
        <v>0</v>
      </c>
      <c r="AH366" s="475">
        <f t="shared" si="847"/>
        <v>0</v>
      </c>
      <c r="AI366" s="475">
        <f t="shared" si="848"/>
        <v>-1306</v>
      </c>
      <c r="AJ366" s="476">
        <v>0</v>
      </c>
      <c r="AK366" s="476">
        <v>0</v>
      </c>
      <c r="AL366" s="476">
        <v>0</v>
      </c>
      <c r="AM366" s="476">
        <v>0</v>
      </c>
      <c r="AN366" s="756">
        <v>0</v>
      </c>
      <c r="AO366" s="476">
        <v>0</v>
      </c>
      <c r="AP366" s="476">
        <v>0</v>
      </c>
      <c r="AQ366" s="476">
        <v>0</v>
      </c>
      <c r="AR366" s="476">
        <f t="shared" si="783"/>
        <v>0</v>
      </c>
      <c r="AS366" s="476">
        <f t="shared" si="784"/>
        <v>0</v>
      </c>
      <c r="AT366" s="478">
        <f t="shared" si="785"/>
        <v>0</v>
      </c>
      <c r="AU366" s="484">
        <f t="shared" si="849"/>
        <v>1170674</v>
      </c>
      <c r="AV366" s="475">
        <f t="shared" si="850"/>
        <v>858000</v>
      </c>
      <c r="AW366" s="475">
        <f t="shared" si="851"/>
        <v>0</v>
      </c>
      <c r="AX366" s="475">
        <f t="shared" si="852"/>
        <v>290004</v>
      </c>
      <c r="AY366" s="475">
        <f t="shared" si="852"/>
        <v>17160</v>
      </c>
      <c r="AZ366" s="475">
        <f t="shared" si="853"/>
        <v>5510</v>
      </c>
      <c r="BA366" s="476">
        <f t="shared" si="854"/>
        <v>2.71</v>
      </c>
      <c r="BB366" s="476">
        <f t="shared" si="855"/>
        <v>0</v>
      </c>
      <c r="BC366" s="478">
        <f t="shared" si="855"/>
        <v>2.71</v>
      </c>
    </row>
    <row r="367" spans="1:55" ht="14.1" customHeight="1" x14ac:dyDescent="0.2">
      <c r="A367" s="68">
        <v>73</v>
      </c>
      <c r="B367" s="65">
        <v>2459</v>
      </c>
      <c r="C367" s="66">
        <v>650030583</v>
      </c>
      <c r="D367" s="65">
        <v>72744707</v>
      </c>
      <c r="E367" s="67" t="s">
        <v>710</v>
      </c>
      <c r="F367" s="68">
        <v>3143</v>
      </c>
      <c r="G367" s="80" t="s">
        <v>626</v>
      </c>
      <c r="H367" s="69" t="s">
        <v>277</v>
      </c>
      <c r="I367" s="477">
        <v>421329</v>
      </c>
      <c r="J367" s="472">
        <v>310257</v>
      </c>
      <c r="K367" s="472">
        <v>0</v>
      </c>
      <c r="L367" s="472">
        <v>104867</v>
      </c>
      <c r="M367" s="472">
        <v>6205</v>
      </c>
      <c r="N367" s="472">
        <v>0</v>
      </c>
      <c r="O367" s="473">
        <v>0.66</v>
      </c>
      <c r="P367" s="473">
        <v>0.66</v>
      </c>
      <c r="Q367" s="483">
        <v>0</v>
      </c>
      <c r="R367" s="485">
        <f t="shared" si="841"/>
        <v>0</v>
      </c>
      <c r="S367" s="475">
        <v>0</v>
      </c>
      <c r="T367" s="475">
        <v>0</v>
      </c>
      <c r="U367" s="475">
        <v>0</v>
      </c>
      <c r="V367" s="475">
        <v>0</v>
      </c>
      <c r="W367" s="475">
        <v>0</v>
      </c>
      <c r="X367" s="475">
        <f t="shared" si="842"/>
        <v>0</v>
      </c>
      <c r="Y367" s="475">
        <v>0</v>
      </c>
      <c r="Z367" s="475">
        <v>0</v>
      </c>
      <c r="AA367" s="475">
        <v>0</v>
      </c>
      <c r="AB367" s="475">
        <f t="shared" si="843"/>
        <v>0</v>
      </c>
      <c r="AC367" s="475">
        <f t="shared" si="844"/>
        <v>0</v>
      </c>
      <c r="AD367" s="70">
        <f t="shared" si="845"/>
        <v>0</v>
      </c>
      <c r="AE367" s="70">
        <f t="shared" si="846"/>
        <v>0</v>
      </c>
      <c r="AF367" s="475">
        <v>0</v>
      </c>
      <c r="AG367" s="475">
        <v>0</v>
      </c>
      <c r="AH367" s="475">
        <f t="shared" si="847"/>
        <v>0</v>
      </c>
      <c r="AI367" s="475">
        <f t="shared" si="848"/>
        <v>0</v>
      </c>
      <c r="AJ367" s="476">
        <v>0</v>
      </c>
      <c r="AK367" s="476">
        <v>0</v>
      </c>
      <c r="AL367" s="476">
        <v>0</v>
      </c>
      <c r="AM367" s="476">
        <v>0</v>
      </c>
      <c r="AN367" s="476">
        <v>0</v>
      </c>
      <c r="AO367" s="476">
        <v>0</v>
      </c>
      <c r="AP367" s="476">
        <v>0</v>
      </c>
      <c r="AQ367" s="476">
        <v>0</v>
      </c>
      <c r="AR367" s="476">
        <f t="shared" si="783"/>
        <v>0</v>
      </c>
      <c r="AS367" s="476">
        <f t="shared" si="784"/>
        <v>0</v>
      </c>
      <c r="AT367" s="478">
        <f t="shared" si="785"/>
        <v>0</v>
      </c>
      <c r="AU367" s="484">
        <f t="shared" si="849"/>
        <v>421329</v>
      </c>
      <c r="AV367" s="475">
        <f t="shared" si="850"/>
        <v>310257</v>
      </c>
      <c r="AW367" s="475">
        <f t="shared" si="851"/>
        <v>0</v>
      </c>
      <c r="AX367" s="475">
        <f t="shared" si="852"/>
        <v>104867</v>
      </c>
      <c r="AY367" s="475">
        <f t="shared" si="852"/>
        <v>6205</v>
      </c>
      <c r="AZ367" s="475">
        <f t="shared" si="853"/>
        <v>0</v>
      </c>
      <c r="BA367" s="476">
        <f t="shared" si="854"/>
        <v>0.66</v>
      </c>
      <c r="BB367" s="476">
        <f t="shared" si="855"/>
        <v>0.66</v>
      </c>
      <c r="BC367" s="478">
        <f t="shared" si="855"/>
        <v>0</v>
      </c>
    </row>
    <row r="368" spans="1:55" ht="14.1" customHeight="1" x14ac:dyDescent="0.2">
      <c r="A368" s="68">
        <v>73</v>
      </c>
      <c r="B368" s="65">
        <v>2459</v>
      </c>
      <c r="C368" s="66">
        <v>650030583</v>
      </c>
      <c r="D368" s="65">
        <v>72744707</v>
      </c>
      <c r="E368" s="67" t="s">
        <v>710</v>
      </c>
      <c r="F368" s="68">
        <v>3143</v>
      </c>
      <c r="G368" s="80" t="s">
        <v>627</v>
      </c>
      <c r="H368" s="69" t="s">
        <v>278</v>
      </c>
      <c r="I368" s="477">
        <v>18145</v>
      </c>
      <c r="J368" s="472">
        <v>12831</v>
      </c>
      <c r="K368" s="472">
        <v>0</v>
      </c>
      <c r="L368" s="472">
        <v>4337</v>
      </c>
      <c r="M368" s="472">
        <v>257</v>
      </c>
      <c r="N368" s="472">
        <v>720</v>
      </c>
      <c r="O368" s="473">
        <v>0.05</v>
      </c>
      <c r="P368" s="474">
        <v>0</v>
      </c>
      <c r="Q368" s="483">
        <v>0.05</v>
      </c>
      <c r="R368" s="485">
        <f t="shared" si="841"/>
        <v>0</v>
      </c>
      <c r="S368" s="475">
        <v>0</v>
      </c>
      <c r="T368" s="475">
        <v>0</v>
      </c>
      <c r="U368" s="475">
        <v>0</v>
      </c>
      <c r="V368" s="475">
        <v>0</v>
      </c>
      <c r="W368" s="475">
        <v>0</v>
      </c>
      <c r="X368" s="475">
        <f t="shared" si="842"/>
        <v>0</v>
      </c>
      <c r="Y368" s="475">
        <v>0</v>
      </c>
      <c r="Z368" s="475">
        <v>0</v>
      </c>
      <c r="AA368" s="475">
        <v>0</v>
      </c>
      <c r="AB368" s="475">
        <f t="shared" si="843"/>
        <v>0</v>
      </c>
      <c r="AC368" s="475">
        <f t="shared" si="844"/>
        <v>0</v>
      </c>
      <c r="AD368" s="70">
        <f t="shared" si="845"/>
        <v>0</v>
      </c>
      <c r="AE368" s="70">
        <f t="shared" si="846"/>
        <v>0</v>
      </c>
      <c r="AF368" s="475">
        <v>0</v>
      </c>
      <c r="AG368" s="475">
        <v>0</v>
      </c>
      <c r="AH368" s="475">
        <f t="shared" si="847"/>
        <v>0</v>
      </c>
      <c r="AI368" s="475">
        <f t="shared" si="848"/>
        <v>0</v>
      </c>
      <c r="AJ368" s="476">
        <v>0</v>
      </c>
      <c r="AK368" s="476">
        <v>0</v>
      </c>
      <c r="AL368" s="476">
        <v>0</v>
      </c>
      <c r="AM368" s="476">
        <v>0</v>
      </c>
      <c r="AN368" s="476">
        <v>0</v>
      </c>
      <c r="AO368" s="476">
        <v>0</v>
      </c>
      <c r="AP368" s="476">
        <v>0</v>
      </c>
      <c r="AQ368" s="476">
        <v>0</v>
      </c>
      <c r="AR368" s="476">
        <f t="shared" si="783"/>
        <v>0</v>
      </c>
      <c r="AS368" s="476">
        <f t="shared" si="784"/>
        <v>0</v>
      </c>
      <c r="AT368" s="478">
        <f t="shared" si="785"/>
        <v>0</v>
      </c>
      <c r="AU368" s="484">
        <f t="shared" si="849"/>
        <v>18145</v>
      </c>
      <c r="AV368" s="475">
        <f t="shared" si="850"/>
        <v>12831</v>
      </c>
      <c r="AW368" s="475">
        <f t="shared" si="851"/>
        <v>0</v>
      </c>
      <c r="AX368" s="475">
        <f t="shared" si="852"/>
        <v>4337</v>
      </c>
      <c r="AY368" s="475">
        <f t="shared" si="852"/>
        <v>257</v>
      </c>
      <c r="AZ368" s="475">
        <f t="shared" si="853"/>
        <v>720</v>
      </c>
      <c r="BA368" s="476">
        <f t="shared" si="854"/>
        <v>0.05</v>
      </c>
      <c r="BB368" s="476">
        <f t="shared" si="855"/>
        <v>0</v>
      </c>
      <c r="BC368" s="478">
        <f t="shared" si="855"/>
        <v>0.05</v>
      </c>
    </row>
    <row r="369" spans="1:55" ht="14.1" customHeight="1" x14ac:dyDescent="0.2">
      <c r="A369" s="74">
        <v>73</v>
      </c>
      <c r="B369" s="71">
        <v>2459</v>
      </c>
      <c r="C369" s="72">
        <v>650030583</v>
      </c>
      <c r="D369" s="71">
        <v>72744707</v>
      </c>
      <c r="E369" s="73" t="s">
        <v>711</v>
      </c>
      <c r="F369" s="74"/>
      <c r="G369" s="73"/>
      <c r="H369" s="75"/>
      <c r="I369" s="76">
        <v>11642914</v>
      </c>
      <c r="J369" s="77">
        <v>8348569</v>
      </c>
      <c r="K369" s="77">
        <v>136000</v>
      </c>
      <c r="L369" s="77">
        <v>2867784</v>
      </c>
      <c r="M369" s="77">
        <v>166971</v>
      </c>
      <c r="N369" s="77">
        <v>123590</v>
      </c>
      <c r="O369" s="78">
        <v>17.788900000000002</v>
      </c>
      <c r="P369" s="78">
        <v>11.754500000000002</v>
      </c>
      <c r="Q369" s="718">
        <v>6.0343999999999998</v>
      </c>
      <c r="R369" s="76">
        <f t="shared" ref="R369:BC369" si="856">SUM(R363:R368)</f>
        <v>0</v>
      </c>
      <c r="S369" s="77">
        <f t="shared" si="856"/>
        <v>-22746</v>
      </c>
      <c r="T369" s="77">
        <f t="shared" si="856"/>
        <v>-962</v>
      </c>
      <c r="U369" s="77">
        <f t="shared" si="856"/>
        <v>0</v>
      </c>
      <c r="V369" s="77">
        <f t="shared" si="856"/>
        <v>0</v>
      </c>
      <c r="W369" s="77">
        <f t="shared" si="856"/>
        <v>0</v>
      </c>
      <c r="X369" s="77">
        <f t="shared" si="856"/>
        <v>-23708</v>
      </c>
      <c r="Y369" s="77">
        <f t="shared" si="856"/>
        <v>0</v>
      </c>
      <c r="Z369" s="77">
        <f t="shared" si="856"/>
        <v>0</v>
      </c>
      <c r="AA369" s="77">
        <f t="shared" si="856"/>
        <v>0</v>
      </c>
      <c r="AB369" s="77">
        <f t="shared" si="856"/>
        <v>0</v>
      </c>
      <c r="AC369" s="77">
        <f t="shared" si="856"/>
        <v>-23708</v>
      </c>
      <c r="AD369" s="77">
        <f t="shared" si="856"/>
        <v>-8013</v>
      </c>
      <c r="AE369" s="77">
        <f t="shared" si="856"/>
        <v>-474</v>
      </c>
      <c r="AF369" s="77">
        <f t="shared" si="856"/>
        <v>0</v>
      </c>
      <c r="AG369" s="77">
        <f t="shared" si="856"/>
        <v>0</v>
      </c>
      <c r="AH369" s="77">
        <f t="shared" si="856"/>
        <v>0</v>
      </c>
      <c r="AI369" s="77">
        <f t="shared" si="856"/>
        <v>-32195</v>
      </c>
      <c r="AJ369" s="78">
        <f t="shared" si="856"/>
        <v>0</v>
      </c>
      <c r="AK369" s="78">
        <f t="shared" si="856"/>
        <v>0</v>
      </c>
      <c r="AL369" s="78">
        <f t="shared" si="856"/>
        <v>-7.0000000000000007E-2</v>
      </c>
      <c r="AM369" s="78">
        <f t="shared" si="856"/>
        <v>0</v>
      </c>
      <c r="AN369" s="78">
        <f t="shared" si="856"/>
        <v>0</v>
      </c>
      <c r="AO369" s="78">
        <f t="shared" si="856"/>
        <v>0</v>
      </c>
      <c r="AP369" s="78">
        <f t="shared" si="856"/>
        <v>0</v>
      </c>
      <c r="AQ369" s="78">
        <f t="shared" si="856"/>
        <v>0</v>
      </c>
      <c r="AR369" s="78">
        <f t="shared" si="856"/>
        <v>-7.0000000000000007E-2</v>
      </c>
      <c r="AS369" s="78">
        <f t="shared" si="856"/>
        <v>0</v>
      </c>
      <c r="AT369" s="79">
        <f t="shared" si="856"/>
        <v>-7.0000000000000007E-2</v>
      </c>
      <c r="AU369" s="433">
        <f t="shared" si="856"/>
        <v>11610719</v>
      </c>
      <c r="AV369" s="77">
        <f t="shared" si="856"/>
        <v>8324861</v>
      </c>
      <c r="AW369" s="77">
        <f t="shared" si="856"/>
        <v>136000</v>
      </c>
      <c r="AX369" s="77">
        <f t="shared" si="856"/>
        <v>2859771</v>
      </c>
      <c r="AY369" s="77">
        <f t="shared" si="856"/>
        <v>166497</v>
      </c>
      <c r="AZ369" s="77">
        <f t="shared" si="856"/>
        <v>123590</v>
      </c>
      <c r="BA369" s="78">
        <f t="shared" si="856"/>
        <v>17.718900000000001</v>
      </c>
      <c r="BB369" s="78">
        <f t="shared" si="856"/>
        <v>11.684500000000002</v>
      </c>
      <c r="BC369" s="79">
        <f t="shared" si="856"/>
        <v>6.0343999999999998</v>
      </c>
    </row>
    <row r="370" spans="1:55" ht="14.1" customHeight="1" x14ac:dyDescent="0.2">
      <c r="A370" s="68">
        <v>74</v>
      </c>
      <c r="B370" s="65">
        <v>2405</v>
      </c>
      <c r="C370" s="66">
        <v>600079023</v>
      </c>
      <c r="D370" s="65">
        <v>72741881</v>
      </c>
      <c r="E370" s="67" t="s">
        <v>712</v>
      </c>
      <c r="F370" s="68">
        <v>3111</v>
      </c>
      <c r="G370" s="67" t="s">
        <v>311</v>
      </c>
      <c r="H370" s="69" t="s">
        <v>277</v>
      </c>
      <c r="I370" s="477">
        <v>14352514</v>
      </c>
      <c r="J370" s="643">
        <v>10506895</v>
      </c>
      <c r="K370" s="643">
        <v>0</v>
      </c>
      <c r="L370" s="472">
        <v>3551331</v>
      </c>
      <c r="M370" s="472">
        <v>210138</v>
      </c>
      <c r="N370" s="472">
        <v>84150</v>
      </c>
      <c r="O370" s="473">
        <v>22.959300000000002</v>
      </c>
      <c r="P370" s="473">
        <v>16.709700000000002</v>
      </c>
      <c r="Q370" s="483">
        <v>6.2496</v>
      </c>
      <c r="R370" s="485">
        <f t="shared" ref="R370:R372" si="857">Y370*-1</f>
        <v>0</v>
      </c>
      <c r="S370" s="475">
        <v>0</v>
      </c>
      <c r="T370" s="475">
        <v>0</v>
      </c>
      <c r="U370" s="475">
        <v>0</v>
      </c>
      <c r="V370" s="475">
        <v>0</v>
      </c>
      <c r="W370" s="475">
        <v>0</v>
      </c>
      <c r="X370" s="475">
        <f t="shared" ref="X370:X372" si="858">SUM(R370:W370)</f>
        <v>0</v>
      </c>
      <c r="Y370" s="475">
        <v>0</v>
      </c>
      <c r="Z370" s="475">
        <v>0</v>
      </c>
      <c r="AA370" s="475">
        <v>0</v>
      </c>
      <c r="AB370" s="475">
        <f t="shared" ref="AB370:AB372" si="859">SUM(Y370:AA370)</f>
        <v>0</v>
      </c>
      <c r="AC370" s="475">
        <f t="shared" ref="AC370:AC372" si="860">X370+AB370</f>
        <v>0</v>
      </c>
      <c r="AD370" s="70">
        <f t="shared" ref="AD370:AD372" si="861">ROUND((X370+Y370+Z370)*33.8%,0)</f>
        <v>0</v>
      </c>
      <c r="AE370" s="70">
        <f t="shared" ref="AE370:AE372" si="862">ROUND(X370*2%,0)</f>
        <v>0</v>
      </c>
      <c r="AF370" s="475">
        <v>0</v>
      </c>
      <c r="AG370" s="475">
        <v>0</v>
      </c>
      <c r="AH370" s="475">
        <f t="shared" ref="AH370:AH372" si="863">SUM(AF370:AG370)</f>
        <v>0</v>
      </c>
      <c r="AI370" s="475">
        <f t="shared" ref="AI370:AI372" si="864">AC370+AD370+AE370+AH370</f>
        <v>0</v>
      </c>
      <c r="AJ370" s="476">
        <v>0</v>
      </c>
      <c r="AK370" s="476">
        <v>0</v>
      </c>
      <c r="AL370" s="476">
        <v>0</v>
      </c>
      <c r="AM370" s="476">
        <v>0</v>
      </c>
      <c r="AN370" s="476">
        <v>0</v>
      </c>
      <c r="AO370" s="476">
        <v>0</v>
      </c>
      <c r="AP370" s="476">
        <v>0</v>
      </c>
      <c r="AQ370" s="476">
        <v>0</v>
      </c>
      <c r="AR370" s="476">
        <f t="shared" si="783"/>
        <v>0</v>
      </c>
      <c r="AS370" s="476">
        <f t="shared" si="784"/>
        <v>0</v>
      </c>
      <c r="AT370" s="478">
        <f t="shared" si="785"/>
        <v>0</v>
      </c>
      <c r="AU370" s="484">
        <f>I370+AI370</f>
        <v>14352514</v>
      </c>
      <c r="AV370" s="475">
        <f>J370+X370</f>
        <v>10506895</v>
      </c>
      <c r="AW370" s="475">
        <f>K370+AB370</f>
        <v>0</v>
      </c>
      <c r="AX370" s="475">
        <f t="shared" ref="AX370:AY372" si="865">L370+AD370</f>
        <v>3551331</v>
      </c>
      <c r="AY370" s="475">
        <f t="shared" si="865"/>
        <v>210138</v>
      </c>
      <c r="AZ370" s="475">
        <f>N370+AH370</f>
        <v>84150</v>
      </c>
      <c r="BA370" s="476">
        <f>O370+AT370</f>
        <v>22.959300000000002</v>
      </c>
      <c r="BB370" s="476">
        <f t="shared" ref="BB370:BC372" si="866">P370+AR370</f>
        <v>16.709700000000002</v>
      </c>
      <c r="BC370" s="478">
        <f t="shared" si="866"/>
        <v>6.2496</v>
      </c>
    </row>
    <row r="371" spans="1:55" ht="14.1" customHeight="1" x14ac:dyDescent="0.2">
      <c r="A371" s="68">
        <v>74</v>
      </c>
      <c r="B371" s="65">
        <v>2405</v>
      </c>
      <c r="C371" s="66">
        <v>600079023</v>
      </c>
      <c r="D371" s="65">
        <v>72741881</v>
      </c>
      <c r="E371" s="67" t="s">
        <v>712</v>
      </c>
      <c r="F371" s="68">
        <v>3111</v>
      </c>
      <c r="G371" s="80" t="s">
        <v>312</v>
      </c>
      <c r="H371" s="69" t="s">
        <v>278</v>
      </c>
      <c r="I371" s="477">
        <v>86248</v>
      </c>
      <c r="J371" s="472">
        <v>63511</v>
      </c>
      <c r="K371" s="472">
        <v>0</v>
      </c>
      <c r="L371" s="472">
        <v>21467</v>
      </c>
      <c r="M371" s="472">
        <v>1270</v>
      </c>
      <c r="N371" s="472">
        <v>0</v>
      </c>
      <c r="O371" s="473">
        <v>0.25</v>
      </c>
      <c r="P371" s="474">
        <v>0.25</v>
      </c>
      <c r="Q371" s="483">
        <v>0</v>
      </c>
      <c r="R371" s="485">
        <f t="shared" si="857"/>
        <v>0</v>
      </c>
      <c r="S371" s="475">
        <v>0</v>
      </c>
      <c r="T371" s="475">
        <v>0</v>
      </c>
      <c r="U371" s="475">
        <v>0</v>
      </c>
      <c r="V371" s="475">
        <v>0</v>
      </c>
      <c r="W371" s="475">
        <v>0</v>
      </c>
      <c r="X371" s="475">
        <f t="shared" si="858"/>
        <v>0</v>
      </c>
      <c r="Y371" s="475">
        <v>0</v>
      </c>
      <c r="Z371" s="475">
        <v>0</v>
      </c>
      <c r="AA371" s="475">
        <v>0</v>
      </c>
      <c r="AB371" s="475">
        <f t="shared" si="859"/>
        <v>0</v>
      </c>
      <c r="AC371" s="475">
        <f t="shared" si="860"/>
        <v>0</v>
      </c>
      <c r="AD371" s="70">
        <f t="shared" si="861"/>
        <v>0</v>
      </c>
      <c r="AE371" s="70">
        <f t="shared" si="862"/>
        <v>0</v>
      </c>
      <c r="AF371" s="475">
        <v>0</v>
      </c>
      <c r="AG371" s="475">
        <v>0</v>
      </c>
      <c r="AH371" s="475">
        <f t="shared" si="863"/>
        <v>0</v>
      </c>
      <c r="AI371" s="475">
        <f t="shared" si="864"/>
        <v>0</v>
      </c>
      <c r="AJ371" s="476">
        <v>0</v>
      </c>
      <c r="AK371" s="476">
        <v>0</v>
      </c>
      <c r="AL371" s="476">
        <v>0</v>
      </c>
      <c r="AM371" s="476">
        <v>0</v>
      </c>
      <c r="AN371" s="476">
        <v>0</v>
      </c>
      <c r="AO371" s="476">
        <v>0</v>
      </c>
      <c r="AP371" s="476">
        <v>0</v>
      </c>
      <c r="AQ371" s="476">
        <v>0</v>
      </c>
      <c r="AR371" s="476">
        <f t="shared" si="783"/>
        <v>0</v>
      </c>
      <c r="AS371" s="476">
        <f t="shared" si="784"/>
        <v>0</v>
      </c>
      <c r="AT371" s="478">
        <f t="shared" si="785"/>
        <v>0</v>
      </c>
      <c r="AU371" s="484">
        <f>I371+AI371</f>
        <v>86248</v>
      </c>
      <c r="AV371" s="475">
        <f>J371+X371</f>
        <v>63511</v>
      </c>
      <c r="AW371" s="475">
        <f>K371+AB371</f>
        <v>0</v>
      </c>
      <c r="AX371" s="475">
        <f t="shared" si="865"/>
        <v>21467</v>
      </c>
      <c r="AY371" s="475">
        <f t="shared" si="865"/>
        <v>1270</v>
      </c>
      <c r="AZ371" s="475">
        <f>N371+AH371</f>
        <v>0</v>
      </c>
      <c r="BA371" s="476">
        <f>O371+AT371</f>
        <v>0.25</v>
      </c>
      <c r="BB371" s="476">
        <f t="shared" si="866"/>
        <v>0.25</v>
      </c>
      <c r="BC371" s="478">
        <f t="shared" si="866"/>
        <v>0</v>
      </c>
    </row>
    <row r="372" spans="1:55" ht="14.1" customHeight="1" x14ac:dyDescent="0.2">
      <c r="A372" s="68">
        <v>74</v>
      </c>
      <c r="B372" s="65">
        <v>2405</v>
      </c>
      <c r="C372" s="66">
        <v>600079023</v>
      </c>
      <c r="D372" s="65">
        <v>72741881</v>
      </c>
      <c r="E372" s="67" t="s">
        <v>712</v>
      </c>
      <c r="F372" s="68">
        <v>3141</v>
      </c>
      <c r="G372" s="67" t="s">
        <v>315</v>
      </c>
      <c r="H372" s="69" t="s">
        <v>278</v>
      </c>
      <c r="I372" s="477">
        <v>1364323</v>
      </c>
      <c r="J372" s="472">
        <v>998702</v>
      </c>
      <c r="K372" s="472">
        <v>0</v>
      </c>
      <c r="L372" s="472">
        <v>337561</v>
      </c>
      <c r="M372" s="472">
        <v>19974</v>
      </c>
      <c r="N372" s="472">
        <v>8086</v>
      </c>
      <c r="O372" s="473">
        <v>3.1500000000000004</v>
      </c>
      <c r="P372" s="474">
        <v>0</v>
      </c>
      <c r="Q372" s="483">
        <v>3.1500000000000004</v>
      </c>
      <c r="R372" s="485">
        <f t="shared" si="857"/>
        <v>0</v>
      </c>
      <c r="S372" s="475">
        <v>0</v>
      </c>
      <c r="T372" s="755">
        <v>-3111</v>
      </c>
      <c r="U372" s="475">
        <v>0</v>
      </c>
      <c r="V372" s="475">
        <v>0</v>
      </c>
      <c r="W372" s="475">
        <v>0</v>
      </c>
      <c r="X372" s="475">
        <f t="shared" si="858"/>
        <v>-3111</v>
      </c>
      <c r="Y372" s="475">
        <v>0</v>
      </c>
      <c r="Z372" s="475">
        <v>0</v>
      </c>
      <c r="AA372" s="475">
        <v>0</v>
      </c>
      <c r="AB372" s="475">
        <f t="shared" si="859"/>
        <v>0</v>
      </c>
      <c r="AC372" s="475">
        <f t="shared" si="860"/>
        <v>-3111</v>
      </c>
      <c r="AD372" s="70">
        <f t="shared" si="861"/>
        <v>-1052</v>
      </c>
      <c r="AE372" s="70">
        <f t="shared" si="862"/>
        <v>-62</v>
      </c>
      <c r="AF372" s="475">
        <v>0</v>
      </c>
      <c r="AG372" s="475">
        <v>0</v>
      </c>
      <c r="AH372" s="475">
        <f t="shared" si="863"/>
        <v>0</v>
      </c>
      <c r="AI372" s="475">
        <f t="shared" si="864"/>
        <v>-4225</v>
      </c>
      <c r="AJ372" s="476">
        <v>0</v>
      </c>
      <c r="AK372" s="476">
        <v>0</v>
      </c>
      <c r="AL372" s="476">
        <v>0</v>
      </c>
      <c r="AM372" s="476">
        <v>0</v>
      </c>
      <c r="AN372" s="756">
        <v>-2.0000000000000018E-2</v>
      </c>
      <c r="AO372" s="476">
        <v>0</v>
      </c>
      <c r="AP372" s="476">
        <v>0</v>
      </c>
      <c r="AQ372" s="476">
        <v>0</v>
      </c>
      <c r="AR372" s="476">
        <f t="shared" si="783"/>
        <v>0</v>
      </c>
      <c r="AS372" s="476">
        <f t="shared" si="784"/>
        <v>-2.0000000000000018E-2</v>
      </c>
      <c r="AT372" s="478">
        <f t="shared" si="785"/>
        <v>-2.0000000000000018E-2</v>
      </c>
      <c r="AU372" s="484">
        <f>I372+AI372</f>
        <v>1360098</v>
      </c>
      <c r="AV372" s="475">
        <f>J372+X372</f>
        <v>995591</v>
      </c>
      <c r="AW372" s="475">
        <f>K372+AB372</f>
        <v>0</v>
      </c>
      <c r="AX372" s="475">
        <f t="shared" si="865"/>
        <v>336509</v>
      </c>
      <c r="AY372" s="475">
        <f t="shared" si="865"/>
        <v>19912</v>
      </c>
      <c r="AZ372" s="475">
        <f>N372+AH372</f>
        <v>8086</v>
      </c>
      <c r="BA372" s="476">
        <f>O372+AT372</f>
        <v>3.1300000000000003</v>
      </c>
      <c r="BB372" s="476">
        <f t="shared" si="866"/>
        <v>0</v>
      </c>
      <c r="BC372" s="478">
        <f t="shared" si="866"/>
        <v>3.1300000000000003</v>
      </c>
    </row>
    <row r="373" spans="1:55" ht="14.1" customHeight="1" x14ac:dyDescent="0.2">
      <c r="A373" s="74">
        <v>74</v>
      </c>
      <c r="B373" s="71">
        <v>2405</v>
      </c>
      <c r="C373" s="72">
        <v>600079023</v>
      </c>
      <c r="D373" s="71">
        <v>72741881</v>
      </c>
      <c r="E373" s="73" t="s">
        <v>713</v>
      </c>
      <c r="F373" s="74"/>
      <c r="G373" s="73"/>
      <c r="H373" s="75"/>
      <c r="I373" s="76">
        <v>15803085</v>
      </c>
      <c r="J373" s="77">
        <v>11569108</v>
      </c>
      <c r="K373" s="77">
        <v>0</v>
      </c>
      <c r="L373" s="77">
        <v>3910359</v>
      </c>
      <c r="M373" s="77">
        <v>231382</v>
      </c>
      <c r="N373" s="77">
        <v>92236</v>
      </c>
      <c r="O373" s="78">
        <v>26.359300000000005</v>
      </c>
      <c r="P373" s="78">
        <v>16.959700000000002</v>
      </c>
      <c r="Q373" s="718">
        <v>9.3995999999999995</v>
      </c>
      <c r="R373" s="76">
        <f t="shared" ref="R373:BC373" si="867">SUM(R370:R372)</f>
        <v>0</v>
      </c>
      <c r="S373" s="77">
        <f t="shared" si="867"/>
        <v>0</v>
      </c>
      <c r="T373" s="77">
        <f t="shared" si="867"/>
        <v>-3111</v>
      </c>
      <c r="U373" s="77">
        <f t="shared" si="867"/>
        <v>0</v>
      </c>
      <c r="V373" s="77">
        <f t="shared" si="867"/>
        <v>0</v>
      </c>
      <c r="W373" s="77">
        <f t="shared" si="867"/>
        <v>0</v>
      </c>
      <c r="X373" s="77">
        <f t="shared" si="867"/>
        <v>-3111</v>
      </c>
      <c r="Y373" s="77">
        <f t="shared" si="867"/>
        <v>0</v>
      </c>
      <c r="Z373" s="77">
        <f t="shared" si="867"/>
        <v>0</v>
      </c>
      <c r="AA373" s="77">
        <f t="shared" si="867"/>
        <v>0</v>
      </c>
      <c r="AB373" s="77">
        <f t="shared" si="867"/>
        <v>0</v>
      </c>
      <c r="AC373" s="77">
        <f t="shared" si="867"/>
        <v>-3111</v>
      </c>
      <c r="AD373" s="77">
        <f t="shared" si="867"/>
        <v>-1052</v>
      </c>
      <c r="AE373" s="77">
        <f t="shared" si="867"/>
        <v>-62</v>
      </c>
      <c r="AF373" s="77">
        <f t="shared" si="867"/>
        <v>0</v>
      </c>
      <c r="AG373" s="77">
        <f t="shared" si="867"/>
        <v>0</v>
      </c>
      <c r="AH373" s="77">
        <f t="shared" si="867"/>
        <v>0</v>
      </c>
      <c r="AI373" s="77">
        <f t="shared" si="867"/>
        <v>-4225</v>
      </c>
      <c r="AJ373" s="78">
        <f t="shared" si="867"/>
        <v>0</v>
      </c>
      <c r="AK373" s="78">
        <f t="shared" si="867"/>
        <v>0</v>
      </c>
      <c r="AL373" s="78">
        <f t="shared" si="867"/>
        <v>0</v>
      </c>
      <c r="AM373" s="78">
        <f t="shared" si="867"/>
        <v>0</v>
      </c>
      <c r="AN373" s="78">
        <f t="shared" si="867"/>
        <v>-2.0000000000000018E-2</v>
      </c>
      <c r="AO373" s="78">
        <f t="shared" si="867"/>
        <v>0</v>
      </c>
      <c r="AP373" s="78">
        <f t="shared" si="867"/>
        <v>0</v>
      </c>
      <c r="AQ373" s="78">
        <f t="shared" si="867"/>
        <v>0</v>
      </c>
      <c r="AR373" s="78">
        <f t="shared" si="867"/>
        <v>0</v>
      </c>
      <c r="AS373" s="78">
        <f t="shared" si="867"/>
        <v>-2.0000000000000018E-2</v>
      </c>
      <c r="AT373" s="79">
        <f t="shared" si="867"/>
        <v>-2.0000000000000018E-2</v>
      </c>
      <c r="AU373" s="433">
        <f t="shared" si="867"/>
        <v>15798860</v>
      </c>
      <c r="AV373" s="77">
        <f t="shared" si="867"/>
        <v>11565997</v>
      </c>
      <c r="AW373" s="77">
        <f t="shared" si="867"/>
        <v>0</v>
      </c>
      <c r="AX373" s="77">
        <f t="shared" si="867"/>
        <v>3909307</v>
      </c>
      <c r="AY373" s="77">
        <f t="shared" si="867"/>
        <v>231320</v>
      </c>
      <c r="AZ373" s="77">
        <f t="shared" si="867"/>
        <v>92236</v>
      </c>
      <c r="BA373" s="78">
        <f t="shared" si="867"/>
        <v>26.339300000000001</v>
      </c>
      <c r="BB373" s="78">
        <f t="shared" si="867"/>
        <v>16.959700000000002</v>
      </c>
      <c r="BC373" s="79">
        <f t="shared" si="867"/>
        <v>9.3795999999999999</v>
      </c>
    </row>
    <row r="374" spans="1:55" ht="14.1" customHeight="1" x14ac:dyDescent="0.2">
      <c r="A374" s="68">
        <v>75</v>
      </c>
      <c r="B374" s="65">
        <v>2317</v>
      </c>
      <c r="C374" s="66">
        <v>600080501</v>
      </c>
      <c r="D374" s="65">
        <v>69411123</v>
      </c>
      <c r="E374" s="67" t="s">
        <v>714</v>
      </c>
      <c r="F374" s="68">
        <v>3141</v>
      </c>
      <c r="G374" s="67" t="s">
        <v>315</v>
      </c>
      <c r="H374" s="69" t="s">
        <v>278</v>
      </c>
      <c r="I374" s="477">
        <v>4586971</v>
      </c>
      <c r="J374" s="472">
        <v>3328753</v>
      </c>
      <c r="K374" s="472">
        <v>23086</v>
      </c>
      <c r="L374" s="472">
        <v>1132921</v>
      </c>
      <c r="M374" s="472">
        <v>66575</v>
      </c>
      <c r="N374" s="472">
        <v>35636</v>
      </c>
      <c r="O374" s="473">
        <v>10.47</v>
      </c>
      <c r="P374" s="474">
        <v>0</v>
      </c>
      <c r="Q374" s="483">
        <v>10.47</v>
      </c>
      <c r="R374" s="485">
        <f t="shared" ref="R374" si="868">Y374*-1</f>
        <v>0</v>
      </c>
      <c r="S374" s="475">
        <v>0</v>
      </c>
      <c r="T374" s="755">
        <v>14475</v>
      </c>
      <c r="U374" s="475">
        <v>0</v>
      </c>
      <c r="V374" s="475">
        <v>0</v>
      </c>
      <c r="W374" s="475">
        <v>0</v>
      </c>
      <c r="X374" s="475">
        <f>SUM(R374:W374)</f>
        <v>14475</v>
      </c>
      <c r="Y374" s="475">
        <v>0</v>
      </c>
      <c r="Z374" s="475">
        <v>0</v>
      </c>
      <c r="AA374" s="475">
        <v>0</v>
      </c>
      <c r="AB374" s="475">
        <f t="shared" ref="AB374" si="869">SUM(Y374:AA374)</f>
        <v>0</v>
      </c>
      <c r="AC374" s="475">
        <f t="shared" ref="AC374" si="870">X374+AB374</f>
        <v>14475</v>
      </c>
      <c r="AD374" s="70">
        <f t="shared" ref="AD374" si="871">ROUND((X374+Y374+Z374)*33.8%,0)</f>
        <v>4893</v>
      </c>
      <c r="AE374" s="70">
        <f t="shared" ref="AE374" si="872">ROUND(X374*2%,0)</f>
        <v>290</v>
      </c>
      <c r="AF374" s="475">
        <v>0</v>
      </c>
      <c r="AG374" s="475">
        <v>0</v>
      </c>
      <c r="AH374" s="475">
        <f t="shared" ref="AH374" si="873">SUM(AF374:AG374)</f>
        <v>0</v>
      </c>
      <c r="AI374" s="475">
        <f t="shared" ref="AI374" si="874">AC374+AD374+AE374+AH374</f>
        <v>19658</v>
      </c>
      <c r="AJ374" s="476">
        <v>0</v>
      </c>
      <c r="AK374" s="476">
        <v>0</v>
      </c>
      <c r="AL374" s="476">
        <v>0</v>
      </c>
      <c r="AM374" s="476">
        <v>0</v>
      </c>
      <c r="AN374" s="756">
        <v>4.9999999999999822E-2</v>
      </c>
      <c r="AO374" s="476">
        <v>0</v>
      </c>
      <c r="AP374" s="476">
        <v>0</v>
      </c>
      <c r="AQ374" s="476">
        <v>0</v>
      </c>
      <c r="AR374" s="476">
        <f t="shared" si="783"/>
        <v>0</v>
      </c>
      <c r="AS374" s="476">
        <f t="shared" si="784"/>
        <v>4.9999999999999822E-2</v>
      </c>
      <c r="AT374" s="478">
        <f t="shared" si="785"/>
        <v>4.9999999999999822E-2</v>
      </c>
      <c r="AU374" s="484">
        <f>I374+AI374</f>
        <v>4606629</v>
      </c>
      <c r="AV374" s="475">
        <f>J374+X374</f>
        <v>3343228</v>
      </c>
      <c r="AW374" s="475">
        <f>K374+AB374</f>
        <v>23086</v>
      </c>
      <c r="AX374" s="475">
        <f>L374+AD374</f>
        <v>1137814</v>
      </c>
      <c r="AY374" s="475">
        <f>M374+AE374</f>
        <v>66865</v>
      </c>
      <c r="AZ374" s="475">
        <f>N374+AH374</f>
        <v>35636</v>
      </c>
      <c r="BA374" s="476">
        <f>O374+AT374</f>
        <v>10.52</v>
      </c>
      <c r="BB374" s="476">
        <f>P374+AR374</f>
        <v>0</v>
      </c>
      <c r="BC374" s="478">
        <f>Q374+AS374</f>
        <v>10.52</v>
      </c>
    </row>
    <row r="375" spans="1:55" ht="14.1" customHeight="1" x14ac:dyDescent="0.2">
      <c r="A375" s="74">
        <v>75</v>
      </c>
      <c r="B375" s="71">
        <v>2317</v>
      </c>
      <c r="C375" s="72">
        <v>600080501</v>
      </c>
      <c r="D375" s="71">
        <v>69411123</v>
      </c>
      <c r="E375" s="73" t="s">
        <v>715</v>
      </c>
      <c r="F375" s="74"/>
      <c r="G375" s="73"/>
      <c r="H375" s="75"/>
      <c r="I375" s="86">
        <v>4586971</v>
      </c>
      <c r="J375" s="87">
        <v>3328753</v>
      </c>
      <c r="K375" s="87">
        <v>23086</v>
      </c>
      <c r="L375" s="87">
        <v>1132921</v>
      </c>
      <c r="M375" s="87">
        <v>66575</v>
      </c>
      <c r="N375" s="87">
        <v>35636</v>
      </c>
      <c r="O375" s="88">
        <v>10.47</v>
      </c>
      <c r="P375" s="88">
        <v>0</v>
      </c>
      <c r="Q375" s="720">
        <v>10.47</v>
      </c>
      <c r="R375" s="86">
        <f t="shared" ref="R375:BC375" si="875">SUM(R374)</f>
        <v>0</v>
      </c>
      <c r="S375" s="87">
        <f t="shared" si="875"/>
        <v>0</v>
      </c>
      <c r="T375" s="87">
        <f t="shared" si="875"/>
        <v>14475</v>
      </c>
      <c r="U375" s="87">
        <f t="shared" si="875"/>
        <v>0</v>
      </c>
      <c r="V375" s="87">
        <f t="shared" si="875"/>
        <v>0</v>
      </c>
      <c r="W375" s="87">
        <f t="shared" si="875"/>
        <v>0</v>
      </c>
      <c r="X375" s="87">
        <f t="shared" si="875"/>
        <v>14475</v>
      </c>
      <c r="Y375" s="87">
        <f t="shared" si="875"/>
        <v>0</v>
      </c>
      <c r="Z375" s="87">
        <f t="shared" si="875"/>
        <v>0</v>
      </c>
      <c r="AA375" s="87">
        <f t="shared" si="875"/>
        <v>0</v>
      </c>
      <c r="AB375" s="87">
        <f t="shared" si="875"/>
        <v>0</v>
      </c>
      <c r="AC375" s="87">
        <f t="shared" si="875"/>
        <v>14475</v>
      </c>
      <c r="AD375" s="87">
        <f t="shared" si="875"/>
        <v>4893</v>
      </c>
      <c r="AE375" s="87">
        <f t="shared" si="875"/>
        <v>290</v>
      </c>
      <c r="AF375" s="87">
        <f t="shared" si="875"/>
        <v>0</v>
      </c>
      <c r="AG375" s="87">
        <f t="shared" si="875"/>
        <v>0</v>
      </c>
      <c r="AH375" s="87">
        <f t="shared" si="875"/>
        <v>0</v>
      </c>
      <c r="AI375" s="87">
        <f t="shared" si="875"/>
        <v>19658</v>
      </c>
      <c r="AJ375" s="88">
        <f t="shared" si="875"/>
        <v>0</v>
      </c>
      <c r="AK375" s="88">
        <f t="shared" si="875"/>
        <v>0</v>
      </c>
      <c r="AL375" s="88">
        <f t="shared" si="875"/>
        <v>0</v>
      </c>
      <c r="AM375" s="88">
        <f t="shared" si="875"/>
        <v>0</v>
      </c>
      <c r="AN375" s="88">
        <f t="shared" si="875"/>
        <v>4.9999999999999822E-2</v>
      </c>
      <c r="AO375" s="88">
        <f t="shared" si="875"/>
        <v>0</v>
      </c>
      <c r="AP375" s="88">
        <f t="shared" si="875"/>
        <v>0</v>
      </c>
      <c r="AQ375" s="88">
        <f t="shared" si="875"/>
        <v>0</v>
      </c>
      <c r="AR375" s="88">
        <f t="shared" si="875"/>
        <v>0</v>
      </c>
      <c r="AS375" s="88">
        <f t="shared" si="875"/>
        <v>4.9999999999999822E-2</v>
      </c>
      <c r="AT375" s="89">
        <f t="shared" si="875"/>
        <v>4.9999999999999822E-2</v>
      </c>
      <c r="AU375" s="435">
        <f t="shared" si="875"/>
        <v>4606629</v>
      </c>
      <c r="AV375" s="87">
        <f t="shared" si="875"/>
        <v>3343228</v>
      </c>
      <c r="AW375" s="87">
        <f t="shared" si="875"/>
        <v>23086</v>
      </c>
      <c r="AX375" s="87">
        <f t="shared" si="875"/>
        <v>1137814</v>
      </c>
      <c r="AY375" s="87">
        <f t="shared" si="875"/>
        <v>66865</v>
      </c>
      <c r="AZ375" s="87">
        <f t="shared" si="875"/>
        <v>35636</v>
      </c>
      <c r="BA375" s="88">
        <f t="shared" si="875"/>
        <v>10.52</v>
      </c>
      <c r="BB375" s="88">
        <f t="shared" si="875"/>
        <v>0</v>
      </c>
      <c r="BC375" s="89">
        <f t="shared" si="875"/>
        <v>10.52</v>
      </c>
    </row>
    <row r="376" spans="1:55" ht="14.1" customHeight="1" x14ac:dyDescent="0.2">
      <c r="A376" s="68">
        <v>76</v>
      </c>
      <c r="B376" s="65">
        <v>2461</v>
      </c>
      <c r="C376" s="66">
        <v>600079805</v>
      </c>
      <c r="D376" s="65">
        <v>72741724</v>
      </c>
      <c r="E376" s="67" t="s">
        <v>716</v>
      </c>
      <c r="F376" s="68">
        <v>3111</v>
      </c>
      <c r="G376" s="67" t="s">
        <v>311</v>
      </c>
      <c r="H376" s="69" t="s">
        <v>277</v>
      </c>
      <c r="I376" s="477">
        <v>1476437</v>
      </c>
      <c r="J376" s="472">
        <v>1080587</v>
      </c>
      <c r="K376" s="472">
        <v>0</v>
      </c>
      <c r="L376" s="472">
        <v>365238</v>
      </c>
      <c r="M376" s="472">
        <v>21612</v>
      </c>
      <c r="N376" s="472">
        <v>9000</v>
      </c>
      <c r="O376" s="473">
        <v>2.4769999999999999</v>
      </c>
      <c r="P376" s="473">
        <v>2.0160999999999998</v>
      </c>
      <c r="Q376" s="483">
        <v>0.46089999999999998</v>
      </c>
      <c r="R376" s="485">
        <f t="shared" ref="R376:R381" si="876">Y376*-1</f>
        <v>0</v>
      </c>
      <c r="S376" s="475">
        <v>0</v>
      </c>
      <c r="T376" s="475">
        <v>0</v>
      </c>
      <c r="U376" s="475">
        <v>0</v>
      </c>
      <c r="V376" s="475">
        <v>0</v>
      </c>
      <c r="W376" s="475">
        <v>0</v>
      </c>
      <c r="X376" s="475">
        <f t="shared" ref="X376:X381" si="877">SUM(R376:W376)</f>
        <v>0</v>
      </c>
      <c r="Y376" s="475">
        <v>0</v>
      </c>
      <c r="Z376" s="475">
        <v>0</v>
      </c>
      <c r="AA376" s="475">
        <v>0</v>
      </c>
      <c r="AB376" s="475">
        <f t="shared" ref="AB376:AB381" si="878">SUM(Y376:AA376)</f>
        <v>0</v>
      </c>
      <c r="AC376" s="475">
        <f t="shared" ref="AC376:AC381" si="879">X376+AB376</f>
        <v>0</v>
      </c>
      <c r="AD376" s="70">
        <f t="shared" ref="AD376:AD381" si="880">ROUND((X376+Y376+Z376)*33.8%,0)</f>
        <v>0</v>
      </c>
      <c r="AE376" s="70">
        <f t="shared" ref="AE376:AE381" si="881">ROUND(X376*2%,0)</f>
        <v>0</v>
      </c>
      <c r="AF376" s="475">
        <v>0</v>
      </c>
      <c r="AG376" s="475">
        <v>0</v>
      </c>
      <c r="AH376" s="475">
        <f t="shared" ref="AH376:AH381" si="882">SUM(AF376:AG376)</f>
        <v>0</v>
      </c>
      <c r="AI376" s="475">
        <f t="shared" ref="AI376:AI381" si="883">AC376+AD376+AE376+AH376</f>
        <v>0</v>
      </c>
      <c r="AJ376" s="476">
        <v>0</v>
      </c>
      <c r="AK376" s="476">
        <v>0</v>
      </c>
      <c r="AL376" s="476">
        <v>0</v>
      </c>
      <c r="AM376" s="476">
        <v>0</v>
      </c>
      <c r="AN376" s="476">
        <v>0</v>
      </c>
      <c r="AO376" s="476">
        <v>0</v>
      </c>
      <c r="AP376" s="476">
        <v>0</v>
      </c>
      <c r="AQ376" s="476">
        <v>0</v>
      </c>
      <c r="AR376" s="476">
        <f t="shared" si="783"/>
        <v>0</v>
      </c>
      <c r="AS376" s="476">
        <f t="shared" si="784"/>
        <v>0</v>
      </c>
      <c r="AT376" s="478">
        <f t="shared" si="785"/>
        <v>0</v>
      </c>
      <c r="AU376" s="484">
        <f t="shared" ref="AU376:AU381" si="884">I376+AI376</f>
        <v>1476437</v>
      </c>
      <c r="AV376" s="475">
        <f t="shared" ref="AV376:AV381" si="885">J376+X376</f>
        <v>1080587</v>
      </c>
      <c r="AW376" s="475">
        <f t="shared" ref="AW376:AW381" si="886">K376+AB376</f>
        <v>0</v>
      </c>
      <c r="AX376" s="475">
        <f t="shared" ref="AX376:AY381" si="887">L376+AD376</f>
        <v>365238</v>
      </c>
      <c r="AY376" s="475">
        <f t="shared" si="887"/>
        <v>21612</v>
      </c>
      <c r="AZ376" s="475">
        <f t="shared" ref="AZ376:AZ381" si="888">N376+AH376</f>
        <v>9000</v>
      </c>
      <c r="BA376" s="476">
        <f t="shared" ref="BA376:BA381" si="889">O376+AT376</f>
        <v>2.4769999999999999</v>
      </c>
      <c r="BB376" s="476">
        <f t="shared" ref="BB376:BC381" si="890">P376+AR376</f>
        <v>2.0160999999999998</v>
      </c>
      <c r="BC376" s="478">
        <f t="shared" si="890"/>
        <v>0.46089999999999998</v>
      </c>
    </row>
    <row r="377" spans="1:55" ht="14.1" customHeight="1" x14ac:dyDescent="0.2">
      <c r="A377" s="68">
        <v>76</v>
      </c>
      <c r="B377" s="65">
        <v>2461</v>
      </c>
      <c r="C377" s="66">
        <v>600079805</v>
      </c>
      <c r="D377" s="65">
        <v>72741724</v>
      </c>
      <c r="E377" s="67" t="s">
        <v>716</v>
      </c>
      <c r="F377" s="68">
        <v>3117</v>
      </c>
      <c r="G377" s="67" t="s">
        <v>314</v>
      </c>
      <c r="H377" s="69" t="s">
        <v>277</v>
      </c>
      <c r="I377" s="477">
        <v>2602044</v>
      </c>
      <c r="J377" s="472">
        <v>1755371</v>
      </c>
      <c r="K377" s="472">
        <v>135000</v>
      </c>
      <c r="L377" s="472">
        <v>638946</v>
      </c>
      <c r="M377" s="472">
        <v>35107</v>
      </c>
      <c r="N377" s="472">
        <v>37620</v>
      </c>
      <c r="O377" s="473">
        <v>3.3472000000000004</v>
      </c>
      <c r="P377" s="473">
        <v>2.2855000000000003</v>
      </c>
      <c r="Q377" s="483">
        <v>1.0617000000000001</v>
      </c>
      <c r="R377" s="485">
        <f t="shared" si="876"/>
        <v>0</v>
      </c>
      <c r="S377" s="475">
        <v>0</v>
      </c>
      <c r="T377" s="475">
        <v>0</v>
      </c>
      <c r="U377" s="475">
        <v>0</v>
      </c>
      <c r="V377" s="475">
        <v>0</v>
      </c>
      <c r="W377" s="475">
        <v>0</v>
      </c>
      <c r="X377" s="475">
        <f t="shared" si="877"/>
        <v>0</v>
      </c>
      <c r="Y377" s="475">
        <v>0</v>
      </c>
      <c r="Z377" s="475">
        <v>0</v>
      </c>
      <c r="AA377" s="475">
        <v>0</v>
      </c>
      <c r="AB377" s="475">
        <f t="shared" si="878"/>
        <v>0</v>
      </c>
      <c r="AC377" s="475">
        <f t="shared" si="879"/>
        <v>0</v>
      </c>
      <c r="AD377" s="70">
        <f t="shared" si="880"/>
        <v>0</v>
      </c>
      <c r="AE377" s="70">
        <f t="shared" si="881"/>
        <v>0</v>
      </c>
      <c r="AF377" s="475">
        <v>0</v>
      </c>
      <c r="AG377" s="475">
        <v>0</v>
      </c>
      <c r="AH377" s="475">
        <f t="shared" si="882"/>
        <v>0</v>
      </c>
      <c r="AI377" s="475">
        <f t="shared" si="883"/>
        <v>0</v>
      </c>
      <c r="AJ377" s="476">
        <v>0</v>
      </c>
      <c r="AK377" s="476">
        <v>0</v>
      </c>
      <c r="AL377" s="476">
        <v>0</v>
      </c>
      <c r="AM377" s="476">
        <v>0</v>
      </c>
      <c r="AN377" s="476">
        <v>0</v>
      </c>
      <c r="AO377" s="476">
        <v>0</v>
      </c>
      <c r="AP377" s="476">
        <v>0</v>
      </c>
      <c r="AQ377" s="476">
        <v>0</v>
      </c>
      <c r="AR377" s="476">
        <f t="shared" si="783"/>
        <v>0</v>
      </c>
      <c r="AS377" s="476">
        <f t="shared" si="784"/>
        <v>0</v>
      </c>
      <c r="AT377" s="478">
        <f t="shared" si="785"/>
        <v>0</v>
      </c>
      <c r="AU377" s="484">
        <f t="shared" si="884"/>
        <v>2602044</v>
      </c>
      <c r="AV377" s="475">
        <f t="shared" si="885"/>
        <v>1755371</v>
      </c>
      <c r="AW377" s="475">
        <f t="shared" si="886"/>
        <v>135000</v>
      </c>
      <c r="AX377" s="475">
        <f t="shared" si="887"/>
        <v>638946</v>
      </c>
      <c r="AY377" s="475">
        <f t="shared" si="887"/>
        <v>35107</v>
      </c>
      <c r="AZ377" s="475">
        <f t="shared" si="888"/>
        <v>37620</v>
      </c>
      <c r="BA377" s="476">
        <f t="shared" si="889"/>
        <v>3.3472000000000004</v>
      </c>
      <c r="BB377" s="476">
        <f t="shared" si="890"/>
        <v>2.2855000000000003</v>
      </c>
      <c r="BC377" s="478">
        <f t="shared" si="890"/>
        <v>1.0617000000000001</v>
      </c>
    </row>
    <row r="378" spans="1:55" ht="14.1" customHeight="1" x14ac:dyDescent="0.2">
      <c r="A378" s="68">
        <v>76</v>
      </c>
      <c r="B378" s="65">
        <v>2461</v>
      </c>
      <c r="C378" s="66">
        <v>600079805</v>
      </c>
      <c r="D378" s="65">
        <v>72741724</v>
      </c>
      <c r="E378" s="67" t="s">
        <v>716</v>
      </c>
      <c r="F378" s="68">
        <v>3117</v>
      </c>
      <c r="G378" s="80" t="s">
        <v>312</v>
      </c>
      <c r="H378" s="69" t="s">
        <v>278</v>
      </c>
      <c r="I378" s="477">
        <v>965002</v>
      </c>
      <c r="J378" s="472">
        <v>708580</v>
      </c>
      <c r="K378" s="472">
        <v>0</v>
      </c>
      <c r="L378" s="472">
        <v>239500</v>
      </c>
      <c r="M378" s="472">
        <v>14172</v>
      </c>
      <c r="N378" s="472">
        <v>2750</v>
      </c>
      <c r="O378" s="473">
        <v>1.93</v>
      </c>
      <c r="P378" s="474">
        <v>1.93</v>
      </c>
      <c r="Q378" s="483">
        <v>0</v>
      </c>
      <c r="R378" s="485">
        <f t="shared" si="876"/>
        <v>0</v>
      </c>
      <c r="S378" s="475">
        <v>-23136</v>
      </c>
      <c r="T378" s="475">
        <v>0</v>
      </c>
      <c r="U378" s="475">
        <v>0</v>
      </c>
      <c r="V378" s="475">
        <v>0</v>
      </c>
      <c r="W378" s="475">
        <v>0</v>
      </c>
      <c r="X378" s="475">
        <f t="shared" si="877"/>
        <v>-23136</v>
      </c>
      <c r="Y378" s="475">
        <v>0</v>
      </c>
      <c r="Z378" s="475">
        <v>0</v>
      </c>
      <c r="AA378" s="475">
        <v>0</v>
      </c>
      <c r="AB378" s="475">
        <f t="shared" si="878"/>
        <v>0</v>
      </c>
      <c r="AC378" s="475">
        <f t="shared" si="879"/>
        <v>-23136</v>
      </c>
      <c r="AD378" s="70">
        <f t="shared" si="880"/>
        <v>-7820</v>
      </c>
      <c r="AE378" s="70">
        <f t="shared" si="881"/>
        <v>-463</v>
      </c>
      <c r="AF378" s="475">
        <v>0</v>
      </c>
      <c r="AG378" s="475">
        <v>0</v>
      </c>
      <c r="AH378" s="475">
        <f t="shared" si="882"/>
        <v>0</v>
      </c>
      <c r="AI378" s="475">
        <f t="shared" si="883"/>
        <v>-31419</v>
      </c>
      <c r="AJ378" s="476">
        <v>0</v>
      </c>
      <c r="AK378" s="476">
        <v>0</v>
      </c>
      <c r="AL378" s="476">
        <v>-0.06</v>
      </c>
      <c r="AM378" s="476">
        <v>0</v>
      </c>
      <c r="AN378" s="476">
        <v>0</v>
      </c>
      <c r="AO378" s="476">
        <v>0</v>
      </c>
      <c r="AP378" s="476">
        <v>0</v>
      </c>
      <c r="AQ378" s="476">
        <v>0</v>
      </c>
      <c r="AR378" s="476">
        <f t="shared" si="783"/>
        <v>-0.06</v>
      </c>
      <c r="AS378" s="476">
        <f t="shared" si="784"/>
        <v>0</v>
      </c>
      <c r="AT378" s="478">
        <f t="shared" si="785"/>
        <v>-0.06</v>
      </c>
      <c r="AU378" s="484">
        <f t="shared" si="884"/>
        <v>933583</v>
      </c>
      <c r="AV378" s="475">
        <f t="shared" si="885"/>
        <v>685444</v>
      </c>
      <c r="AW378" s="475">
        <f t="shared" si="886"/>
        <v>0</v>
      </c>
      <c r="AX378" s="475">
        <f t="shared" si="887"/>
        <v>231680</v>
      </c>
      <c r="AY378" s="475">
        <f t="shared" si="887"/>
        <v>13709</v>
      </c>
      <c r="AZ378" s="475">
        <f t="shared" si="888"/>
        <v>2750</v>
      </c>
      <c r="BA378" s="476">
        <f t="shared" si="889"/>
        <v>1.8699999999999999</v>
      </c>
      <c r="BB378" s="476">
        <f t="shared" si="890"/>
        <v>1.8699999999999999</v>
      </c>
      <c r="BC378" s="478">
        <f t="shared" si="890"/>
        <v>0</v>
      </c>
    </row>
    <row r="379" spans="1:55" ht="14.1" customHeight="1" x14ac:dyDescent="0.2">
      <c r="A379" s="68">
        <v>76</v>
      </c>
      <c r="B379" s="65">
        <v>2461</v>
      </c>
      <c r="C379" s="66">
        <v>600079805</v>
      </c>
      <c r="D379" s="65">
        <v>72741724</v>
      </c>
      <c r="E379" s="67" t="s">
        <v>716</v>
      </c>
      <c r="F379" s="68">
        <v>3141</v>
      </c>
      <c r="G379" s="67" t="s">
        <v>315</v>
      </c>
      <c r="H379" s="69" t="s">
        <v>278</v>
      </c>
      <c r="I379" s="477">
        <v>605286</v>
      </c>
      <c r="J379" s="472">
        <v>443968</v>
      </c>
      <c r="K379" s="472">
        <v>0</v>
      </c>
      <c r="L379" s="472">
        <v>150061</v>
      </c>
      <c r="M379" s="472">
        <v>8879</v>
      </c>
      <c r="N379" s="472">
        <v>2378</v>
      </c>
      <c r="O379" s="473">
        <v>1.4</v>
      </c>
      <c r="P379" s="474">
        <v>0</v>
      </c>
      <c r="Q379" s="483">
        <v>1.4</v>
      </c>
      <c r="R379" s="485">
        <f t="shared" si="876"/>
        <v>0</v>
      </c>
      <c r="S379" s="475">
        <v>0</v>
      </c>
      <c r="T379" s="755">
        <v>11832</v>
      </c>
      <c r="U379" s="475">
        <v>0</v>
      </c>
      <c r="V379" s="475">
        <v>0</v>
      </c>
      <c r="W379" s="475">
        <v>0</v>
      </c>
      <c r="X379" s="475">
        <f t="shared" si="877"/>
        <v>11832</v>
      </c>
      <c r="Y379" s="475">
        <v>0</v>
      </c>
      <c r="Z379" s="475">
        <v>0</v>
      </c>
      <c r="AA379" s="475">
        <v>0</v>
      </c>
      <c r="AB379" s="475">
        <f t="shared" si="878"/>
        <v>0</v>
      </c>
      <c r="AC379" s="475">
        <f t="shared" si="879"/>
        <v>11832</v>
      </c>
      <c r="AD379" s="70">
        <f t="shared" si="880"/>
        <v>3999</v>
      </c>
      <c r="AE379" s="70">
        <f t="shared" si="881"/>
        <v>237</v>
      </c>
      <c r="AF379" s="475">
        <v>0</v>
      </c>
      <c r="AG379" s="475">
        <v>0</v>
      </c>
      <c r="AH379" s="475">
        <f t="shared" si="882"/>
        <v>0</v>
      </c>
      <c r="AI379" s="475">
        <f t="shared" si="883"/>
        <v>16068</v>
      </c>
      <c r="AJ379" s="476">
        <v>0</v>
      </c>
      <c r="AK379" s="476">
        <v>0</v>
      </c>
      <c r="AL379" s="476">
        <v>0</v>
      </c>
      <c r="AM379" s="476">
        <v>0</v>
      </c>
      <c r="AN379" s="756">
        <v>3.0000000000000027E-2</v>
      </c>
      <c r="AO379" s="476">
        <v>0</v>
      </c>
      <c r="AP379" s="476">
        <v>0</v>
      </c>
      <c r="AQ379" s="476">
        <v>0</v>
      </c>
      <c r="AR379" s="476">
        <f t="shared" si="783"/>
        <v>0</v>
      </c>
      <c r="AS379" s="476">
        <f t="shared" si="784"/>
        <v>3.0000000000000027E-2</v>
      </c>
      <c r="AT379" s="478">
        <f t="shared" si="785"/>
        <v>3.0000000000000027E-2</v>
      </c>
      <c r="AU379" s="484">
        <f t="shared" si="884"/>
        <v>621354</v>
      </c>
      <c r="AV379" s="475">
        <f t="shared" si="885"/>
        <v>455800</v>
      </c>
      <c r="AW379" s="475">
        <f t="shared" si="886"/>
        <v>0</v>
      </c>
      <c r="AX379" s="475">
        <f t="shared" si="887"/>
        <v>154060</v>
      </c>
      <c r="AY379" s="475">
        <f t="shared" si="887"/>
        <v>9116</v>
      </c>
      <c r="AZ379" s="475">
        <f t="shared" si="888"/>
        <v>2378</v>
      </c>
      <c r="BA379" s="476">
        <f t="shared" si="889"/>
        <v>1.43</v>
      </c>
      <c r="BB379" s="476">
        <f t="shared" si="890"/>
        <v>0</v>
      </c>
      <c r="BC379" s="478">
        <f t="shared" si="890"/>
        <v>1.43</v>
      </c>
    </row>
    <row r="380" spans="1:55" ht="14.1" customHeight="1" x14ac:dyDescent="0.2">
      <c r="A380" s="68">
        <v>76</v>
      </c>
      <c r="B380" s="65">
        <v>2461</v>
      </c>
      <c r="C380" s="66">
        <v>600079805</v>
      </c>
      <c r="D380" s="65">
        <v>72741724</v>
      </c>
      <c r="E380" s="67" t="s">
        <v>716</v>
      </c>
      <c r="F380" s="68">
        <v>3143</v>
      </c>
      <c r="G380" s="80" t="s">
        <v>626</v>
      </c>
      <c r="H380" s="69" t="s">
        <v>277</v>
      </c>
      <c r="I380" s="477">
        <v>619332</v>
      </c>
      <c r="J380" s="472">
        <v>456062</v>
      </c>
      <c r="K380" s="472">
        <v>0</v>
      </c>
      <c r="L380" s="472">
        <v>154149</v>
      </c>
      <c r="M380" s="472">
        <v>9121</v>
      </c>
      <c r="N380" s="472">
        <v>0</v>
      </c>
      <c r="O380" s="473">
        <v>1</v>
      </c>
      <c r="P380" s="473">
        <v>1</v>
      </c>
      <c r="Q380" s="483">
        <v>0</v>
      </c>
      <c r="R380" s="485">
        <f t="shared" si="876"/>
        <v>0</v>
      </c>
      <c r="S380" s="475">
        <v>0</v>
      </c>
      <c r="T380" s="475">
        <v>0</v>
      </c>
      <c r="U380" s="475">
        <v>0</v>
      </c>
      <c r="V380" s="475">
        <v>0</v>
      </c>
      <c r="W380" s="475">
        <v>0</v>
      </c>
      <c r="X380" s="475">
        <f t="shared" si="877"/>
        <v>0</v>
      </c>
      <c r="Y380" s="475">
        <v>0</v>
      </c>
      <c r="Z380" s="475">
        <v>0</v>
      </c>
      <c r="AA380" s="475">
        <v>0</v>
      </c>
      <c r="AB380" s="475">
        <f t="shared" si="878"/>
        <v>0</v>
      </c>
      <c r="AC380" s="475">
        <f t="shared" si="879"/>
        <v>0</v>
      </c>
      <c r="AD380" s="70">
        <f t="shared" si="880"/>
        <v>0</v>
      </c>
      <c r="AE380" s="70">
        <f t="shared" si="881"/>
        <v>0</v>
      </c>
      <c r="AF380" s="475">
        <v>0</v>
      </c>
      <c r="AG380" s="475">
        <v>0</v>
      </c>
      <c r="AH380" s="475">
        <f t="shared" si="882"/>
        <v>0</v>
      </c>
      <c r="AI380" s="475">
        <f t="shared" si="883"/>
        <v>0</v>
      </c>
      <c r="AJ380" s="476">
        <v>0</v>
      </c>
      <c r="AK380" s="476">
        <v>0</v>
      </c>
      <c r="AL380" s="476">
        <v>0</v>
      </c>
      <c r="AM380" s="476">
        <v>0</v>
      </c>
      <c r="AN380" s="476">
        <v>0</v>
      </c>
      <c r="AO380" s="476">
        <v>0</v>
      </c>
      <c r="AP380" s="476">
        <v>0</v>
      </c>
      <c r="AQ380" s="476">
        <v>0</v>
      </c>
      <c r="AR380" s="476">
        <f t="shared" si="783"/>
        <v>0</v>
      </c>
      <c r="AS380" s="476">
        <f t="shared" si="784"/>
        <v>0</v>
      </c>
      <c r="AT380" s="478">
        <f t="shared" si="785"/>
        <v>0</v>
      </c>
      <c r="AU380" s="484">
        <f t="shared" si="884"/>
        <v>619332</v>
      </c>
      <c r="AV380" s="475">
        <f t="shared" si="885"/>
        <v>456062</v>
      </c>
      <c r="AW380" s="475">
        <f t="shared" si="886"/>
        <v>0</v>
      </c>
      <c r="AX380" s="475">
        <f t="shared" si="887"/>
        <v>154149</v>
      </c>
      <c r="AY380" s="475">
        <f t="shared" si="887"/>
        <v>9121</v>
      </c>
      <c r="AZ380" s="475">
        <f t="shared" si="888"/>
        <v>0</v>
      </c>
      <c r="BA380" s="476">
        <f t="shared" si="889"/>
        <v>1</v>
      </c>
      <c r="BB380" s="476">
        <f t="shared" si="890"/>
        <v>1</v>
      </c>
      <c r="BC380" s="478">
        <f t="shared" si="890"/>
        <v>0</v>
      </c>
    </row>
    <row r="381" spans="1:55" ht="14.1" customHeight="1" x14ac:dyDescent="0.2">
      <c r="A381" s="68">
        <v>76</v>
      </c>
      <c r="B381" s="65">
        <v>2461</v>
      </c>
      <c r="C381" s="66">
        <v>600079805</v>
      </c>
      <c r="D381" s="65">
        <v>72741724</v>
      </c>
      <c r="E381" s="67" t="s">
        <v>716</v>
      </c>
      <c r="F381" s="68">
        <v>3143</v>
      </c>
      <c r="G381" s="80" t="s">
        <v>627</v>
      </c>
      <c r="H381" s="69" t="s">
        <v>278</v>
      </c>
      <c r="I381" s="477">
        <v>17388</v>
      </c>
      <c r="J381" s="472">
        <v>12296</v>
      </c>
      <c r="K381" s="472">
        <v>0</v>
      </c>
      <c r="L381" s="472">
        <v>4156</v>
      </c>
      <c r="M381" s="472">
        <v>246</v>
      </c>
      <c r="N381" s="472">
        <v>690</v>
      </c>
      <c r="O381" s="473">
        <v>0.05</v>
      </c>
      <c r="P381" s="474">
        <v>0</v>
      </c>
      <c r="Q381" s="483">
        <v>0.05</v>
      </c>
      <c r="R381" s="485">
        <f t="shared" si="876"/>
        <v>0</v>
      </c>
      <c r="S381" s="475">
        <v>0</v>
      </c>
      <c r="T381" s="475">
        <v>0</v>
      </c>
      <c r="U381" s="475">
        <v>0</v>
      </c>
      <c r="V381" s="475">
        <v>0</v>
      </c>
      <c r="W381" s="475">
        <v>0</v>
      </c>
      <c r="X381" s="475">
        <f t="shared" si="877"/>
        <v>0</v>
      </c>
      <c r="Y381" s="475">
        <v>0</v>
      </c>
      <c r="Z381" s="475">
        <v>0</v>
      </c>
      <c r="AA381" s="475">
        <v>0</v>
      </c>
      <c r="AB381" s="475">
        <f t="shared" si="878"/>
        <v>0</v>
      </c>
      <c r="AC381" s="475">
        <f t="shared" si="879"/>
        <v>0</v>
      </c>
      <c r="AD381" s="70">
        <f t="shared" si="880"/>
        <v>0</v>
      </c>
      <c r="AE381" s="70">
        <f t="shared" si="881"/>
        <v>0</v>
      </c>
      <c r="AF381" s="475">
        <v>0</v>
      </c>
      <c r="AG381" s="475">
        <v>0</v>
      </c>
      <c r="AH381" s="475">
        <f t="shared" si="882"/>
        <v>0</v>
      </c>
      <c r="AI381" s="475">
        <f t="shared" si="883"/>
        <v>0</v>
      </c>
      <c r="AJ381" s="476">
        <v>0</v>
      </c>
      <c r="AK381" s="476">
        <v>0</v>
      </c>
      <c r="AL381" s="476">
        <v>0</v>
      </c>
      <c r="AM381" s="476">
        <v>0</v>
      </c>
      <c r="AN381" s="476">
        <v>0</v>
      </c>
      <c r="AO381" s="476">
        <v>0</v>
      </c>
      <c r="AP381" s="476">
        <v>0</v>
      </c>
      <c r="AQ381" s="476">
        <v>0</v>
      </c>
      <c r="AR381" s="476">
        <f t="shared" si="783"/>
        <v>0</v>
      </c>
      <c r="AS381" s="476">
        <f t="shared" si="784"/>
        <v>0</v>
      </c>
      <c r="AT381" s="478">
        <f t="shared" si="785"/>
        <v>0</v>
      </c>
      <c r="AU381" s="484">
        <f t="shared" si="884"/>
        <v>17388</v>
      </c>
      <c r="AV381" s="475">
        <f t="shared" si="885"/>
        <v>12296</v>
      </c>
      <c r="AW381" s="475">
        <f t="shared" si="886"/>
        <v>0</v>
      </c>
      <c r="AX381" s="475">
        <f t="shared" si="887"/>
        <v>4156</v>
      </c>
      <c r="AY381" s="475">
        <f t="shared" si="887"/>
        <v>246</v>
      </c>
      <c r="AZ381" s="475">
        <f t="shared" si="888"/>
        <v>690</v>
      </c>
      <c r="BA381" s="476">
        <f t="shared" si="889"/>
        <v>0.05</v>
      </c>
      <c r="BB381" s="476">
        <f t="shared" si="890"/>
        <v>0</v>
      </c>
      <c r="BC381" s="478">
        <f t="shared" si="890"/>
        <v>0.05</v>
      </c>
    </row>
    <row r="382" spans="1:55" ht="14.1" customHeight="1" x14ac:dyDescent="0.2">
      <c r="A382" s="74">
        <v>76</v>
      </c>
      <c r="B382" s="71">
        <v>2461</v>
      </c>
      <c r="C382" s="72">
        <v>600079805</v>
      </c>
      <c r="D382" s="71">
        <v>72741724</v>
      </c>
      <c r="E382" s="73" t="s">
        <v>717</v>
      </c>
      <c r="F382" s="74"/>
      <c r="G382" s="73"/>
      <c r="H382" s="75"/>
      <c r="I382" s="76">
        <v>6285489</v>
      </c>
      <c r="J382" s="77">
        <v>4456864</v>
      </c>
      <c r="K382" s="77">
        <v>135000</v>
      </c>
      <c r="L382" s="77">
        <v>1552050</v>
      </c>
      <c r="M382" s="77">
        <v>89137</v>
      </c>
      <c r="N382" s="77">
        <v>52438</v>
      </c>
      <c r="O382" s="78">
        <v>10.2042</v>
      </c>
      <c r="P382" s="78">
        <v>7.2316000000000003</v>
      </c>
      <c r="Q382" s="718">
        <v>2.9725999999999999</v>
      </c>
      <c r="R382" s="76">
        <f t="shared" ref="R382:BC382" si="891">SUM(R376:R381)</f>
        <v>0</v>
      </c>
      <c r="S382" s="77">
        <f t="shared" si="891"/>
        <v>-23136</v>
      </c>
      <c r="T382" s="77">
        <f t="shared" si="891"/>
        <v>11832</v>
      </c>
      <c r="U382" s="77">
        <f t="shared" si="891"/>
        <v>0</v>
      </c>
      <c r="V382" s="77">
        <f t="shared" si="891"/>
        <v>0</v>
      </c>
      <c r="W382" s="77">
        <f t="shared" si="891"/>
        <v>0</v>
      </c>
      <c r="X382" s="77">
        <f t="shared" si="891"/>
        <v>-11304</v>
      </c>
      <c r="Y382" s="77">
        <f t="shared" si="891"/>
        <v>0</v>
      </c>
      <c r="Z382" s="77">
        <f t="shared" si="891"/>
        <v>0</v>
      </c>
      <c r="AA382" s="77">
        <f t="shared" si="891"/>
        <v>0</v>
      </c>
      <c r="AB382" s="77">
        <f t="shared" si="891"/>
        <v>0</v>
      </c>
      <c r="AC382" s="77">
        <f t="shared" si="891"/>
        <v>-11304</v>
      </c>
      <c r="AD382" s="77">
        <f t="shared" si="891"/>
        <v>-3821</v>
      </c>
      <c r="AE382" s="77">
        <f t="shared" si="891"/>
        <v>-226</v>
      </c>
      <c r="AF382" s="77">
        <f t="shared" si="891"/>
        <v>0</v>
      </c>
      <c r="AG382" s="77">
        <f t="shared" si="891"/>
        <v>0</v>
      </c>
      <c r="AH382" s="77">
        <f t="shared" si="891"/>
        <v>0</v>
      </c>
      <c r="AI382" s="77">
        <f t="shared" si="891"/>
        <v>-15351</v>
      </c>
      <c r="AJ382" s="78">
        <f t="shared" si="891"/>
        <v>0</v>
      </c>
      <c r="AK382" s="78">
        <f t="shared" si="891"/>
        <v>0</v>
      </c>
      <c r="AL382" s="78">
        <f t="shared" si="891"/>
        <v>-0.06</v>
      </c>
      <c r="AM382" s="78">
        <f t="shared" si="891"/>
        <v>0</v>
      </c>
      <c r="AN382" s="78">
        <f t="shared" si="891"/>
        <v>3.0000000000000027E-2</v>
      </c>
      <c r="AO382" s="78">
        <f t="shared" si="891"/>
        <v>0</v>
      </c>
      <c r="AP382" s="78">
        <f t="shared" si="891"/>
        <v>0</v>
      </c>
      <c r="AQ382" s="78">
        <f t="shared" si="891"/>
        <v>0</v>
      </c>
      <c r="AR382" s="78">
        <f t="shared" si="891"/>
        <v>-0.06</v>
      </c>
      <c r="AS382" s="78">
        <f t="shared" si="891"/>
        <v>3.0000000000000027E-2</v>
      </c>
      <c r="AT382" s="79">
        <f t="shared" si="891"/>
        <v>-2.9999999999999971E-2</v>
      </c>
      <c r="AU382" s="433">
        <f t="shared" si="891"/>
        <v>6270138</v>
      </c>
      <c r="AV382" s="77">
        <f t="shared" si="891"/>
        <v>4445560</v>
      </c>
      <c r="AW382" s="77">
        <f t="shared" si="891"/>
        <v>135000</v>
      </c>
      <c r="AX382" s="77">
        <f t="shared" si="891"/>
        <v>1548229</v>
      </c>
      <c r="AY382" s="77">
        <f t="shared" si="891"/>
        <v>88911</v>
      </c>
      <c r="AZ382" s="77">
        <f t="shared" si="891"/>
        <v>52438</v>
      </c>
      <c r="BA382" s="78">
        <f t="shared" si="891"/>
        <v>10.174200000000001</v>
      </c>
      <c r="BB382" s="78">
        <f t="shared" si="891"/>
        <v>7.1716000000000006</v>
      </c>
      <c r="BC382" s="79">
        <f t="shared" si="891"/>
        <v>3.0026000000000002</v>
      </c>
    </row>
    <row r="383" spans="1:55" ht="14.1" customHeight="1" x14ac:dyDescent="0.2">
      <c r="A383" s="68">
        <v>77</v>
      </c>
      <c r="B383" s="65">
        <v>2460</v>
      </c>
      <c r="C383" s="66">
        <v>600079783</v>
      </c>
      <c r="D383" s="65">
        <v>72741643</v>
      </c>
      <c r="E383" s="67" t="s">
        <v>718</v>
      </c>
      <c r="F383" s="68">
        <v>3113</v>
      </c>
      <c r="G383" s="67" t="s">
        <v>314</v>
      </c>
      <c r="H383" s="69" t="s">
        <v>277</v>
      </c>
      <c r="I383" s="477">
        <v>42503703</v>
      </c>
      <c r="J383" s="472">
        <v>30612925</v>
      </c>
      <c r="K383" s="472">
        <v>0</v>
      </c>
      <c r="L383" s="472">
        <v>10347169</v>
      </c>
      <c r="M383" s="472">
        <v>612259</v>
      </c>
      <c r="N383" s="472">
        <v>931350</v>
      </c>
      <c r="O383" s="473">
        <v>54.768900000000002</v>
      </c>
      <c r="P383" s="473">
        <v>42.863300000000002</v>
      </c>
      <c r="Q383" s="483">
        <v>11.9056</v>
      </c>
      <c r="R383" s="485">
        <f t="shared" ref="R383:R387" si="892">Y383*-1</f>
        <v>0</v>
      </c>
      <c r="S383" s="475">
        <v>0</v>
      </c>
      <c r="T383" s="475">
        <v>209120</v>
      </c>
      <c r="U383" s="475">
        <v>0</v>
      </c>
      <c r="V383" s="475">
        <v>0</v>
      </c>
      <c r="W383" s="475">
        <v>0</v>
      </c>
      <c r="X383" s="475">
        <f t="shared" ref="X383:X387" si="893">SUM(R383:W383)</f>
        <v>209120</v>
      </c>
      <c r="Y383" s="475">
        <v>0</v>
      </c>
      <c r="Z383" s="475">
        <v>0</v>
      </c>
      <c r="AA383" s="475">
        <v>0</v>
      </c>
      <c r="AB383" s="475">
        <f t="shared" ref="AB383:AB387" si="894">SUM(Y383:AA383)</f>
        <v>0</v>
      </c>
      <c r="AC383" s="475">
        <f t="shared" ref="AC383:AC387" si="895">X383+AB383</f>
        <v>209120</v>
      </c>
      <c r="AD383" s="70">
        <f t="shared" ref="AD383:AD387" si="896">ROUND((X383+Y383+Z383)*33.8%,0)</f>
        <v>70683</v>
      </c>
      <c r="AE383" s="70">
        <f t="shared" ref="AE383:AE387" si="897">ROUND(X383*2%,0)</f>
        <v>4182</v>
      </c>
      <c r="AF383" s="475">
        <v>0</v>
      </c>
      <c r="AG383" s="475">
        <v>0</v>
      </c>
      <c r="AH383" s="475">
        <f t="shared" ref="AH383:AH387" si="898">SUM(AF383:AG383)</f>
        <v>0</v>
      </c>
      <c r="AI383" s="475">
        <f t="shared" ref="AI383:AI387" si="899">AC383+AD383+AE383+AH383</f>
        <v>283985</v>
      </c>
      <c r="AJ383" s="476">
        <v>0</v>
      </c>
      <c r="AK383" s="476">
        <v>0</v>
      </c>
      <c r="AL383" s="476">
        <v>0</v>
      </c>
      <c r="AM383" s="476">
        <v>0.33</v>
      </c>
      <c r="AN383" s="476">
        <v>0</v>
      </c>
      <c r="AO383" s="476">
        <v>0</v>
      </c>
      <c r="AP383" s="476">
        <v>0</v>
      </c>
      <c r="AQ383" s="476">
        <v>0</v>
      </c>
      <c r="AR383" s="476">
        <f t="shared" si="783"/>
        <v>0.33</v>
      </c>
      <c r="AS383" s="476">
        <f t="shared" si="784"/>
        <v>0</v>
      </c>
      <c r="AT383" s="478">
        <f t="shared" si="785"/>
        <v>0.33</v>
      </c>
      <c r="AU383" s="484">
        <f>I383+AI383</f>
        <v>42787688</v>
      </c>
      <c r="AV383" s="475">
        <f>J383+X383</f>
        <v>30822045</v>
      </c>
      <c r="AW383" s="475">
        <f>K383+AB383</f>
        <v>0</v>
      </c>
      <c r="AX383" s="475">
        <f t="shared" ref="AX383:AY387" si="900">L383+AD383</f>
        <v>10417852</v>
      </c>
      <c r="AY383" s="475">
        <f t="shared" si="900"/>
        <v>616441</v>
      </c>
      <c r="AZ383" s="475">
        <f>N383+AH383</f>
        <v>931350</v>
      </c>
      <c r="BA383" s="476">
        <f>O383+AT383</f>
        <v>55.0989</v>
      </c>
      <c r="BB383" s="476">
        <f t="shared" ref="BB383:BC387" si="901">P383+AR383</f>
        <v>43.193300000000001</v>
      </c>
      <c r="BC383" s="478">
        <f t="shared" si="901"/>
        <v>11.9056</v>
      </c>
    </row>
    <row r="384" spans="1:55" ht="14.1" customHeight="1" x14ac:dyDescent="0.2">
      <c r="A384" s="68">
        <v>77</v>
      </c>
      <c r="B384" s="65">
        <v>2460</v>
      </c>
      <c r="C384" s="66">
        <v>600079783</v>
      </c>
      <c r="D384" s="65">
        <v>72741643</v>
      </c>
      <c r="E384" s="67" t="s">
        <v>718</v>
      </c>
      <c r="F384" s="68">
        <v>3113</v>
      </c>
      <c r="G384" s="44" t="s">
        <v>313</v>
      </c>
      <c r="H384" s="69" t="s">
        <v>277</v>
      </c>
      <c r="I384" s="477">
        <v>257639</v>
      </c>
      <c r="J384" s="472">
        <v>189720</v>
      </c>
      <c r="K384" s="472">
        <v>0</v>
      </c>
      <c r="L384" s="472">
        <v>64125</v>
      </c>
      <c r="M384" s="472">
        <v>3794</v>
      </c>
      <c r="N384" s="472">
        <v>0</v>
      </c>
      <c r="O384" s="473">
        <v>0.5</v>
      </c>
      <c r="P384" s="473">
        <v>0.5</v>
      </c>
      <c r="Q384" s="483">
        <v>0</v>
      </c>
      <c r="R384" s="485">
        <f t="shared" si="892"/>
        <v>0</v>
      </c>
      <c r="S384" s="475">
        <v>0</v>
      </c>
      <c r="T384" s="475">
        <v>0</v>
      </c>
      <c r="U384" s="475">
        <v>0</v>
      </c>
      <c r="V384" s="475">
        <v>0</v>
      </c>
      <c r="W384" s="475">
        <v>0</v>
      </c>
      <c r="X384" s="475">
        <f t="shared" si="893"/>
        <v>0</v>
      </c>
      <c r="Y384" s="475">
        <v>0</v>
      </c>
      <c r="Z384" s="475">
        <v>0</v>
      </c>
      <c r="AA384" s="475">
        <v>0</v>
      </c>
      <c r="AB384" s="475">
        <f t="shared" si="894"/>
        <v>0</v>
      </c>
      <c r="AC384" s="475">
        <f t="shared" si="895"/>
        <v>0</v>
      </c>
      <c r="AD384" s="70">
        <f t="shared" si="896"/>
        <v>0</v>
      </c>
      <c r="AE384" s="70">
        <f t="shared" si="897"/>
        <v>0</v>
      </c>
      <c r="AF384" s="475">
        <v>0</v>
      </c>
      <c r="AG384" s="475">
        <v>0</v>
      </c>
      <c r="AH384" s="475">
        <f t="shared" si="898"/>
        <v>0</v>
      </c>
      <c r="AI384" s="475">
        <f t="shared" si="899"/>
        <v>0</v>
      </c>
      <c r="AJ384" s="476">
        <v>0</v>
      </c>
      <c r="AK384" s="476">
        <v>0</v>
      </c>
      <c r="AL384" s="476">
        <v>0</v>
      </c>
      <c r="AM384" s="476">
        <v>0</v>
      </c>
      <c r="AN384" s="476">
        <v>0</v>
      </c>
      <c r="AO384" s="476">
        <v>0</v>
      </c>
      <c r="AP384" s="476">
        <v>0</v>
      </c>
      <c r="AQ384" s="476">
        <v>0</v>
      </c>
      <c r="AR384" s="476">
        <f t="shared" si="783"/>
        <v>0</v>
      </c>
      <c r="AS384" s="476">
        <f t="shared" si="784"/>
        <v>0</v>
      </c>
      <c r="AT384" s="478">
        <f t="shared" si="785"/>
        <v>0</v>
      </c>
      <c r="AU384" s="484">
        <f>I384+AI384</f>
        <v>257639</v>
      </c>
      <c r="AV384" s="475">
        <f>J384+X384</f>
        <v>189720</v>
      </c>
      <c r="AW384" s="475">
        <f>K384+AB384</f>
        <v>0</v>
      </c>
      <c r="AX384" s="475">
        <f t="shared" si="900"/>
        <v>64125</v>
      </c>
      <c r="AY384" s="475">
        <f t="shared" si="900"/>
        <v>3794</v>
      </c>
      <c r="AZ384" s="475">
        <f>N384+AH384</f>
        <v>0</v>
      </c>
      <c r="BA384" s="476">
        <f>O384+AT384</f>
        <v>0.5</v>
      </c>
      <c r="BB384" s="476">
        <f t="shared" si="901"/>
        <v>0.5</v>
      </c>
      <c r="BC384" s="478">
        <f t="shared" si="901"/>
        <v>0</v>
      </c>
    </row>
    <row r="385" spans="1:55" ht="14.1" customHeight="1" x14ac:dyDescent="0.2">
      <c r="A385" s="68">
        <v>77</v>
      </c>
      <c r="B385" s="65">
        <v>2460</v>
      </c>
      <c r="C385" s="66">
        <v>600079783</v>
      </c>
      <c r="D385" s="65">
        <v>72741643</v>
      </c>
      <c r="E385" s="67" t="s">
        <v>718</v>
      </c>
      <c r="F385" s="68">
        <v>3113</v>
      </c>
      <c r="G385" s="80" t="s">
        <v>312</v>
      </c>
      <c r="H385" s="69" t="s">
        <v>278</v>
      </c>
      <c r="I385" s="477">
        <v>935840</v>
      </c>
      <c r="J385" s="472">
        <v>689131</v>
      </c>
      <c r="K385" s="472">
        <v>0</v>
      </c>
      <c r="L385" s="472">
        <v>232926</v>
      </c>
      <c r="M385" s="472">
        <v>13783</v>
      </c>
      <c r="N385" s="472">
        <v>0</v>
      </c>
      <c r="O385" s="473">
        <v>1.9530000000000001</v>
      </c>
      <c r="P385" s="474">
        <v>1.9530000000000001</v>
      </c>
      <c r="Q385" s="483">
        <v>0</v>
      </c>
      <c r="R385" s="485">
        <f t="shared" si="892"/>
        <v>0</v>
      </c>
      <c r="S385" s="475">
        <v>0</v>
      </c>
      <c r="T385" s="475">
        <v>0</v>
      </c>
      <c r="U385" s="475">
        <v>0</v>
      </c>
      <c r="V385" s="475">
        <v>0</v>
      </c>
      <c r="W385" s="475">
        <v>0</v>
      </c>
      <c r="X385" s="475">
        <f t="shared" si="893"/>
        <v>0</v>
      </c>
      <c r="Y385" s="475">
        <v>0</v>
      </c>
      <c r="Z385" s="475">
        <v>0</v>
      </c>
      <c r="AA385" s="475">
        <v>0</v>
      </c>
      <c r="AB385" s="475">
        <f t="shared" si="894"/>
        <v>0</v>
      </c>
      <c r="AC385" s="475">
        <f t="shared" si="895"/>
        <v>0</v>
      </c>
      <c r="AD385" s="70">
        <f t="shared" si="896"/>
        <v>0</v>
      </c>
      <c r="AE385" s="70">
        <f t="shared" si="897"/>
        <v>0</v>
      </c>
      <c r="AF385" s="475">
        <v>0</v>
      </c>
      <c r="AG385" s="475">
        <v>0</v>
      </c>
      <c r="AH385" s="475">
        <f t="shared" si="898"/>
        <v>0</v>
      </c>
      <c r="AI385" s="475">
        <f t="shared" si="899"/>
        <v>0</v>
      </c>
      <c r="AJ385" s="476">
        <v>0</v>
      </c>
      <c r="AK385" s="476">
        <v>0</v>
      </c>
      <c r="AL385" s="476">
        <v>0</v>
      </c>
      <c r="AM385" s="476">
        <v>0</v>
      </c>
      <c r="AN385" s="476">
        <v>0</v>
      </c>
      <c r="AO385" s="476">
        <v>0</v>
      </c>
      <c r="AP385" s="476">
        <v>0</v>
      </c>
      <c r="AQ385" s="476">
        <v>0</v>
      </c>
      <c r="AR385" s="476">
        <f t="shared" si="783"/>
        <v>0</v>
      </c>
      <c r="AS385" s="476">
        <f t="shared" si="784"/>
        <v>0</v>
      </c>
      <c r="AT385" s="478">
        <f t="shared" si="785"/>
        <v>0</v>
      </c>
      <c r="AU385" s="484">
        <f>I385+AI385</f>
        <v>935840</v>
      </c>
      <c r="AV385" s="475">
        <f>J385+X385</f>
        <v>689131</v>
      </c>
      <c r="AW385" s="475">
        <f>K385+AB385</f>
        <v>0</v>
      </c>
      <c r="AX385" s="475">
        <f t="shared" si="900"/>
        <v>232926</v>
      </c>
      <c r="AY385" s="475">
        <f t="shared" si="900"/>
        <v>13783</v>
      </c>
      <c r="AZ385" s="475">
        <f>N385+AH385</f>
        <v>0</v>
      </c>
      <c r="BA385" s="476">
        <f>O385+AT385</f>
        <v>1.9530000000000001</v>
      </c>
      <c r="BB385" s="476">
        <f t="shared" si="901"/>
        <v>1.9530000000000001</v>
      </c>
      <c r="BC385" s="478">
        <f t="shared" si="901"/>
        <v>0</v>
      </c>
    </row>
    <row r="386" spans="1:55" ht="14.1" customHeight="1" x14ac:dyDescent="0.2">
      <c r="A386" s="68">
        <v>77</v>
      </c>
      <c r="B386" s="65">
        <v>2460</v>
      </c>
      <c r="C386" s="66">
        <v>600079783</v>
      </c>
      <c r="D386" s="65">
        <v>72741643</v>
      </c>
      <c r="E386" s="67" t="s">
        <v>718</v>
      </c>
      <c r="F386" s="68">
        <v>3143</v>
      </c>
      <c r="G386" s="80" t="s">
        <v>626</v>
      </c>
      <c r="H386" s="69" t="s">
        <v>277</v>
      </c>
      <c r="I386" s="477">
        <v>2976266</v>
      </c>
      <c r="J386" s="472">
        <v>2191654</v>
      </c>
      <c r="K386" s="472">
        <v>0</v>
      </c>
      <c r="L386" s="472">
        <v>740779</v>
      </c>
      <c r="M386" s="472">
        <v>43833</v>
      </c>
      <c r="N386" s="472">
        <v>0</v>
      </c>
      <c r="O386" s="473">
        <v>4.3213999999999997</v>
      </c>
      <c r="P386" s="473">
        <v>4.3213999999999997</v>
      </c>
      <c r="Q386" s="483">
        <v>0</v>
      </c>
      <c r="R386" s="485">
        <f t="shared" si="892"/>
        <v>0</v>
      </c>
      <c r="S386" s="475">
        <v>0</v>
      </c>
      <c r="T386" s="475">
        <v>0</v>
      </c>
      <c r="U386" s="475">
        <v>0</v>
      </c>
      <c r="V386" s="475">
        <v>0</v>
      </c>
      <c r="W386" s="475">
        <v>0</v>
      </c>
      <c r="X386" s="475">
        <f t="shared" si="893"/>
        <v>0</v>
      </c>
      <c r="Y386" s="475">
        <v>0</v>
      </c>
      <c r="Z386" s="475">
        <v>0</v>
      </c>
      <c r="AA386" s="475">
        <v>0</v>
      </c>
      <c r="AB386" s="475">
        <f t="shared" si="894"/>
        <v>0</v>
      </c>
      <c r="AC386" s="475">
        <f t="shared" si="895"/>
        <v>0</v>
      </c>
      <c r="AD386" s="70">
        <f t="shared" si="896"/>
        <v>0</v>
      </c>
      <c r="AE386" s="70">
        <f t="shared" si="897"/>
        <v>0</v>
      </c>
      <c r="AF386" s="475">
        <v>0</v>
      </c>
      <c r="AG386" s="475">
        <v>0</v>
      </c>
      <c r="AH386" s="475">
        <f t="shared" si="898"/>
        <v>0</v>
      </c>
      <c r="AI386" s="475">
        <f t="shared" si="899"/>
        <v>0</v>
      </c>
      <c r="AJ386" s="476">
        <v>0</v>
      </c>
      <c r="AK386" s="476">
        <v>0</v>
      </c>
      <c r="AL386" s="476">
        <v>0</v>
      </c>
      <c r="AM386" s="476">
        <v>0</v>
      </c>
      <c r="AN386" s="476">
        <v>0</v>
      </c>
      <c r="AO386" s="476">
        <v>0</v>
      </c>
      <c r="AP386" s="476">
        <v>0</v>
      </c>
      <c r="AQ386" s="476">
        <v>0</v>
      </c>
      <c r="AR386" s="476">
        <f t="shared" si="783"/>
        <v>0</v>
      </c>
      <c r="AS386" s="476">
        <f t="shared" si="784"/>
        <v>0</v>
      </c>
      <c r="AT386" s="478">
        <f t="shared" si="785"/>
        <v>0</v>
      </c>
      <c r="AU386" s="484">
        <f>I386+AI386</f>
        <v>2976266</v>
      </c>
      <c r="AV386" s="475">
        <f>J386+X386</f>
        <v>2191654</v>
      </c>
      <c r="AW386" s="475">
        <f>K386+AB386</f>
        <v>0</v>
      </c>
      <c r="AX386" s="475">
        <f t="shared" si="900"/>
        <v>740779</v>
      </c>
      <c r="AY386" s="475">
        <f t="shared" si="900"/>
        <v>43833</v>
      </c>
      <c r="AZ386" s="475">
        <f>N386+AH386</f>
        <v>0</v>
      </c>
      <c r="BA386" s="476">
        <f>O386+AT386</f>
        <v>4.3213999999999997</v>
      </c>
      <c r="BB386" s="476">
        <f t="shared" si="901"/>
        <v>4.3213999999999997</v>
      </c>
      <c r="BC386" s="478">
        <f t="shared" si="901"/>
        <v>0</v>
      </c>
    </row>
    <row r="387" spans="1:55" ht="14.1" customHeight="1" x14ac:dyDescent="0.2">
      <c r="A387" s="68">
        <v>77</v>
      </c>
      <c r="B387" s="65">
        <v>2460</v>
      </c>
      <c r="C387" s="66">
        <v>600079783</v>
      </c>
      <c r="D387" s="65">
        <v>72741643</v>
      </c>
      <c r="E387" s="67" t="s">
        <v>718</v>
      </c>
      <c r="F387" s="68">
        <v>3143</v>
      </c>
      <c r="G387" s="80" t="s">
        <v>627</v>
      </c>
      <c r="H387" s="69" t="s">
        <v>278</v>
      </c>
      <c r="I387" s="477">
        <v>104328</v>
      </c>
      <c r="J387" s="472">
        <v>73776</v>
      </c>
      <c r="K387" s="472">
        <v>0</v>
      </c>
      <c r="L387" s="472">
        <v>24936</v>
      </c>
      <c r="M387" s="472">
        <v>1476</v>
      </c>
      <c r="N387" s="472">
        <v>4140</v>
      </c>
      <c r="O387" s="473">
        <v>0.28999999999999998</v>
      </c>
      <c r="P387" s="474">
        <v>0</v>
      </c>
      <c r="Q387" s="483">
        <v>0.28999999999999998</v>
      </c>
      <c r="R387" s="485">
        <f t="shared" si="892"/>
        <v>0</v>
      </c>
      <c r="S387" s="475">
        <v>0</v>
      </c>
      <c r="T387" s="475">
        <v>0</v>
      </c>
      <c r="U387" s="475">
        <v>0</v>
      </c>
      <c r="V387" s="475">
        <v>0</v>
      </c>
      <c r="W387" s="475">
        <v>0</v>
      </c>
      <c r="X387" s="475">
        <f t="shared" si="893"/>
        <v>0</v>
      </c>
      <c r="Y387" s="475">
        <v>0</v>
      </c>
      <c r="Z387" s="475">
        <v>0</v>
      </c>
      <c r="AA387" s="475">
        <v>0</v>
      </c>
      <c r="AB387" s="475">
        <f t="shared" si="894"/>
        <v>0</v>
      </c>
      <c r="AC387" s="475">
        <f t="shared" si="895"/>
        <v>0</v>
      </c>
      <c r="AD387" s="70">
        <f t="shared" si="896"/>
        <v>0</v>
      </c>
      <c r="AE387" s="70">
        <f t="shared" si="897"/>
        <v>0</v>
      </c>
      <c r="AF387" s="475">
        <v>0</v>
      </c>
      <c r="AG387" s="475">
        <v>0</v>
      </c>
      <c r="AH387" s="475">
        <f t="shared" si="898"/>
        <v>0</v>
      </c>
      <c r="AI387" s="475">
        <f t="shared" si="899"/>
        <v>0</v>
      </c>
      <c r="AJ387" s="476">
        <v>0</v>
      </c>
      <c r="AK387" s="476">
        <v>0</v>
      </c>
      <c r="AL387" s="476">
        <v>0</v>
      </c>
      <c r="AM387" s="476">
        <v>0</v>
      </c>
      <c r="AN387" s="476">
        <v>0</v>
      </c>
      <c r="AO387" s="476">
        <v>0</v>
      </c>
      <c r="AP387" s="476">
        <v>0</v>
      </c>
      <c r="AQ387" s="476">
        <v>0</v>
      </c>
      <c r="AR387" s="476">
        <f t="shared" si="783"/>
        <v>0</v>
      </c>
      <c r="AS387" s="476">
        <f t="shared" si="784"/>
        <v>0</v>
      </c>
      <c r="AT387" s="478">
        <f t="shared" si="785"/>
        <v>0</v>
      </c>
      <c r="AU387" s="484">
        <f>I387+AI387</f>
        <v>104328</v>
      </c>
      <c r="AV387" s="475">
        <f>J387+X387</f>
        <v>73776</v>
      </c>
      <c r="AW387" s="475">
        <f>K387+AB387</f>
        <v>0</v>
      </c>
      <c r="AX387" s="475">
        <f t="shared" si="900"/>
        <v>24936</v>
      </c>
      <c r="AY387" s="475">
        <f t="shared" si="900"/>
        <v>1476</v>
      </c>
      <c r="AZ387" s="475">
        <f>N387+AH387</f>
        <v>4140</v>
      </c>
      <c r="BA387" s="476">
        <f>O387+AT387</f>
        <v>0.28999999999999998</v>
      </c>
      <c r="BB387" s="476">
        <f t="shared" si="901"/>
        <v>0</v>
      </c>
      <c r="BC387" s="478">
        <f t="shared" si="901"/>
        <v>0.28999999999999998</v>
      </c>
    </row>
    <row r="388" spans="1:55" ht="14.1" customHeight="1" x14ac:dyDescent="0.2">
      <c r="A388" s="74">
        <v>77</v>
      </c>
      <c r="B388" s="71">
        <v>2460</v>
      </c>
      <c r="C388" s="72">
        <v>600079783</v>
      </c>
      <c r="D388" s="71">
        <v>72741643</v>
      </c>
      <c r="E388" s="73" t="s">
        <v>719</v>
      </c>
      <c r="F388" s="74"/>
      <c r="G388" s="73"/>
      <c r="H388" s="75"/>
      <c r="I388" s="76">
        <v>46777776</v>
      </c>
      <c r="J388" s="77">
        <v>33757206</v>
      </c>
      <c r="K388" s="77">
        <v>0</v>
      </c>
      <c r="L388" s="77">
        <v>11409935</v>
      </c>
      <c r="M388" s="77">
        <v>675145</v>
      </c>
      <c r="N388" s="77">
        <v>935490</v>
      </c>
      <c r="O388" s="78">
        <v>61.833300000000001</v>
      </c>
      <c r="P388" s="78">
        <v>49.637700000000002</v>
      </c>
      <c r="Q388" s="718">
        <v>12.195599999999999</v>
      </c>
      <c r="R388" s="76">
        <f t="shared" ref="R388:BC388" si="902">SUM(R383:R387)</f>
        <v>0</v>
      </c>
      <c r="S388" s="77">
        <f t="shared" si="902"/>
        <v>0</v>
      </c>
      <c r="T388" s="77">
        <f t="shared" si="902"/>
        <v>209120</v>
      </c>
      <c r="U388" s="77">
        <f t="shared" si="902"/>
        <v>0</v>
      </c>
      <c r="V388" s="77">
        <f t="shared" si="902"/>
        <v>0</v>
      </c>
      <c r="W388" s="77">
        <f t="shared" si="902"/>
        <v>0</v>
      </c>
      <c r="X388" s="77">
        <f t="shared" si="902"/>
        <v>209120</v>
      </c>
      <c r="Y388" s="77">
        <f t="shared" si="902"/>
        <v>0</v>
      </c>
      <c r="Z388" s="77">
        <f t="shared" si="902"/>
        <v>0</v>
      </c>
      <c r="AA388" s="77">
        <f t="shared" si="902"/>
        <v>0</v>
      </c>
      <c r="AB388" s="77">
        <f t="shared" si="902"/>
        <v>0</v>
      </c>
      <c r="AC388" s="77">
        <f t="shared" si="902"/>
        <v>209120</v>
      </c>
      <c r="AD388" s="77">
        <f t="shared" si="902"/>
        <v>70683</v>
      </c>
      <c r="AE388" s="77">
        <f t="shared" si="902"/>
        <v>4182</v>
      </c>
      <c r="AF388" s="77">
        <f t="shared" si="902"/>
        <v>0</v>
      </c>
      <c r="AG388" s="77">
        <f t="shared" si="902"/>
        <v>0</v>
      </c>
      <c r="AH388" s="77">
        <f t="shared" si="902"/>
        <v>0</v>
      </c>
      <c r="AI388" s="77">
        <f t="shared" si="902"/>
        <v>283985</v>
      </c>
      <c r="AJ388" s="78">
        <f t="shared" si="902"/>
        <v>0</v>
      </c>
      <c r="AK388" s="78">
        <f t="shared" si="902"/>
        <v>0</v>
      </c>
      <c r="AL388" s="78">
        <f t="shared" si="902"/>
        <v>0</v>
      </c>
      <c r="AM388" s="78">
        <f t="shared" si="902"/>
        <v>0.33</v>
      </c>
      <c r="AN388" s="78">
        <f t="shared" si="902"/>
        <v>0</v>
      </c>
      <c r="AO388" s="78">
        <f t="shared" si="902"/>
        <v>0</v>
      </c>
      <c r="AP388" s="78">
        <f t="shared" si="902"/>
        <v>0</v>
      </c>
      <c r="AQ388" s="78">
        <f t="shared" si="902"/>
        <v>0</v>
      </c>
      <c r="AR388" s="78">
        <f t="shared" si="902"/>
        <v>0.33</v>
      </c>
      <c r="AS388" s="78">
        <f t="shared" si="902"/>
        <v>0</v>
      </c>
      <c r="AT388" s="79">
        <f t="shared" si="902"/>
        <v>0.33</v>
      </c>
      <c r="AU388" s="433">
        <f t="shared" si="902"/>
        <v>47061761</v>
      </c>
      <c r="AV388" s="77">
        <f t="shared" si="902"/>
        <v>33966326</v>
      </c>
      <c r="AW388" s="77">
        <f t="shared" si="902"/>
        <v>0</v>
      </c>
      <c r="AX388" s="77">
        <f t="shared" si="902"/>
        <v>11480618</v>
      </c>
      <c r="AY388" s="77">
        <f t="shared" si="902"/>
        <v>679327</v>
      </c>
      <c r="AZ388" s="77">
        <f t="shared" si="902"/>
        <v>935490</v>
      </c>
      <c r="BA388" s="78">
        <f t="shared" si="902"/>
        <v>62.1633</v>
      </c>
      <c r="BB388" s="78">
        <f t="shared" si="902"/>
        <v>49.967700000000001</v>
      </c>
      <c r="BC388" s="79">
        <f t="shared" si="902"/>
        <v>12.195599999999999</v>
      </c>
    </row>
    <row r="389" spans="1:55" ht="14.1" customHeight="1" x14ac:dyDescent="0.2">
      <c r="A389" s="68">
        <v>78</v>
      </c>
      <c r="B389" s="65">
        <v>2324</v>
      </c>
      <c r="C389" s="66">
        <v>600074030</v>
      </c>
      <c r="D389" s="65">
        <v>71013083</v>
      </c>
      <c r="E389" s="67" t="s">
        <v>720</v>
      </c>
      <c r="F389" s="68">
        <v>3111</v>
      </c>
      <c r="G389" s="67" t="s">
        <v>311</v>
      </c>
      <c r="H389" s="69" t="s">
        <v>277</v>
      </c>
      <c r="I389" s="477">
        <v>11169251</v>
      </c>
      <c r="J389" s="643">
        <v>8149933</v>
      </c>
      <c r="K389" s="643">
        <v>23500</v>
      </c>
      <c r="L389" s="472">
        <v>2762620</v>
      </c>
      <c r="M389" s="472">
        <v>162998</v>
      </c>
      <c r="N389" s="472">
        <v>70200</v>
      </c>
      <c r="O389" s="473">
        <v>18.234999999999999</v>
      </c>
      <c r="P389" s="473">
        <v>13</v>
      </c>
      <c r="Q389" s="483">
        <v>5.2349999999999994</v>
      </c>
      <c r="R389" s="485">
        <f t="shared" ref="R389:R391" si="903">Y389*-1</f>
        <v>0</v>
      </c>
      <c r="S389" s="475">
        <v>0</v>
      </c>
      <c r="T389" s="475">
        <v>0</v>
      </c>
      <c r="U389" s="475">
        <v>0</v>
      </c>
      <c r="V389" s="475">
        <v>-51546</v>
      </c>
      <c r="W389" s="475">
        <v>0</v>
      </c>
      <c r="X389" s="475">
        <f t="shared" ref="X389:X391" si="904">SUM(R389:W389)</f>
        <v>-51546</v>
      </c>
      <c r="Y389" s="475">
        <v>0</v>
      </c>
      <c r="Z389" s="475">
        <v>0</v>
      </c>
      <c r="AA389" s="475">
        <v>0</v>
      </c>
      <c r="AB389" s="475">
        <f t="shared" ref="AB389:AB391" si="905">SUM(Y389:AA389)</f>
        <v>0</v>
      </c>
      <c r="AC389" s="475">
        <f t="shared" ref="AC389:AC391" si="906">X389+AB389</f>
        <v>-51546</v>
      </c>
      <c r="AD389" s="70">
        <f t="shared" ref="AD389:AD391" si="907">ROUND((X389+Y389+Z389)*33.8%,0)</f>
        <v>-17423</v>
      </c>
      <c r="AE389" s="70">
        <f t="shared" ref="AE389:AE391" si="908">ROUND(X389*2%,0)</f>
        <v>-1031</v>
      </c>
      <c r="AF389" s="475">
        <v>0</v>
      </c>
      <c r="AG389" s="475">
        <v>70000</v>
      </c>
      <c r="AH389" s="475">
        <f t="shared" ref="AH389:AH391" si="909">SUM(AF389:AG389)</f>
        <v>70000</v>
      </c>
      <c r="AI389" s="475">
        <f t="shared" ref="AI389:AI391" si="910">AC389+AD389+AE389+AH389</f>
        <v>0</v>
      </c>
      <c r="AJ389" s="476">
        <v>0</v>
      </c>
      <c r="AK389" s="476">
        <v>0</v>
      </c>
      <c r="AL389" s="476">
        <v>0</v>
      </c>
      <c r="AM389" s="476">
        <v>0</v>
      </c>
      <c r="AN389" s="476">
        <v>0</v>
      </c>
      <c r="AO389" s="476">
        <v>0</v>
      </c>
      <c r="AP389" s="476">
        <v>0</v>
      </c>
      <c r="AQ389" s="476">
        <v>0</v>
      </c>
      <c r="AR389" s="476">
        <f t="shared" si="783"/>
        <v>0</v>
      </c>
      <c r="AS389" s="476">
        <f t="shared" si="784"/>
        <v>0</v>
      </c>
      <c r="AT389" s="478">
        <f t="shared" si="785"/>
        <v>0</v>
      </c>
      <c r="AU389" s="484">
        <f>I389+AI389</f>
        <v>11169251</v>
      </c>
      <c r="AV389" s="475">
        <f>J389+X389</f>
        <v>8098387</v>
      </c>
      <c r="AW389" s="475">
        <f>K389+AB389</f>
        <v>23500</v>
      </c>
      <c r="AX389" s="475">
        <f t="shared" ref="AX389:AY391" si="911">L389+AD389</f>
        <v>2745197</v>
      </c>
      <c r="AY389" s="475">
        <f t="shared" si="911"/>
        <v>161967</v>
      </c>
      <c r="AZ389" s="475">
        <f>N389+AH389</f>
        <v>140200</v>
      </c>
      <c r="BA389" s="476">
        <f>O389+AT389</f>
        <v>18.234999999999999</v>
      </c>
      <c r="BB389" s="476">
        <f t="shared" ref="BB389:BC391" si="912">P389+AR389</f>
        <v>13</v>
      </c>
      <c r="BC389" s="478">
        <f t="shared" si="912"/>
        <v>5.2349999999999994</v>
      </c>
    </row>
    <row r="390" spans="1:55" ht="14.1" customHeight="1" x14ac:dyDescent="0.2">
      <c r="A390" s="68">
        <v>78</v>
      </c>
      <c r="B390" s="65">
        <v>2324</v>
      </c>
      <c r="C390" s="66">
        <v>600074030</v>
      </c>
      <c r="D390" s="65">
        <v>71013083</v>
      </c>
      <c r="E390" s="67" t="s">
        <v>720</v>
      </c>
      <c r="F390" s="68">
        <v>3111</v>
      </c>
      <c r="G390" s="80" t="s">
        <v>312</v>
      </c>
      <c r="H390" s="69" t="s">
        <v>278</v>
      </c>
      <c r="I390" s="477">
        <v>1846102</v>
      </c>
      <c r="J390" s="472">
        <v>1352652</v>
      </c>
      <c r="K390" s="472">
        <v>0</v>
      </c>
      <c r="L390" s="472">
        <v>457197</v>
      </c>
      <c r="M390" s="472">
        <v>27053</v>
      </c>
      <c r="N390" s="472">
        <v>9200</v>
      </c>
      <c r="O390" s="473">
        <v>3.87</v>
      </c>
      <c r="P390" s="474">
        <v>3.87</v>
      </c>
      <c r="Q390" s="483">
        <v>0</v>
      </c>
      <c r="R390" s="485">
        <f t="shared" si="903"/>
        <v>0</v>
      </c>
      <c r="S390" s="475">
        <v>0</v>
      </c>
      <c r="T390" s="475">
        <v>0</v>
      </c>
      <c r="U390" s="475">
        <v>0</v>
      </c>
      <c r="V390" s="475">
        <v>0</v>
      </c>
      <c r="W390" s="475">
        <v>0</v>
      </c>
      <c r="X390" s="475">
        <f t="shared" si="904"/>
        <v>0</v>
      </c>
      <c r="Y390" s="475">
        <v>0</v>
      </c>
      <c r="Z390" s="475">
        <v>0</v>
      </c>
      <c r="AA390" s="475">
        <v>0</v>
      </c>
      <c r="AB390" s="475">
        <f t="shared" si="905"/>
        <v>0</v>
      </c>
      <c r="AC390" s="475">
        <f t="shared" si="906"/>
        <v>0</v>
      </c>
      <c r="AD390" s="70">
        <f t="shared" si="907"/>
        <v>0</v>
      </c>
      <c r="AE390" s="70">
        <f t="shared" si="908"/>
        <v>0</v>
      </c>
      <c r="AF390" s="475">
        <v>4000</v>
      </c>
      <c r="AG390" s="475">
        <v>0</v>
      </c>
      <c r="AH390" s="475">
        <f t="shared" si="909"/>
        <v>4000</v>
      </c>
      <c r="AI390" s="475">
        <f t="shared" si="910"/>
        <v>4000</v>
      </c>
      <c r="AJ390" s="476">
        <v>0</v>
      </c>
      <c r="AK390" s="476">
        <v>0</v>
      </c>
      <c r="AL390" s="476">
        <v>0</v>
      </c>
      <c r="AM390" s="476">
        <v>0</v>
      </c>
      <c r="AN390" s="476">
        <v>0</v>
      </c>
      <c r="AO390" s="476">
        <v>0</v>
      </c>
      <c r="AP390" s="476">
        <v>0</v>
      </c>
      <c r="AQ390" s="476">
        <v>0</v>
      </c>
      <c r="AR390" s="476">
        <f t="shared" si="783"/>
        <v>0</v>
      </c>
      <c r="AS390" s="476">
        <f t="shared" si="784"/>
        <v>0</v>
      </c>
      <c r="AT390" s="478">
        <f t="shared" si="785"/>
        <v>0</v>
      </c>
      <c r="AU390" s="484">
        <f>I390+AI390</f>
        <v>1850102</v>
      </c>
      <c r="AV390" s="475">
        <f>J390+X390</f>
        <v>1352652</v>
      </c>
      <c r="AW390" s="475">
        <f>K390+AB390</f>
        <v>0</v>
      </c>
      <c r="AX390" s="475">
        <f t="shared" si="911"/>
        <v>457197</v>
      </c>
      <c r="AY390" s="475">
        <f t="shared" si="911"/>
        <v>27053</v>
      </c>
      <c r="AZ390" s="475">
        <f>N390+AH390</f>
        <v>13200</v>
      </c>
      <c r="BA390" s="476">
        <f>O390+AT390</f>
        <v>3.87</v>
      </c>
      <c r="BB390" s="476">
        <f t="shared" si="912"/>
        <v>3.87</v>
      </c>
      <c r="BC390" s="478">
        <f t="shared" si="912"/>
        <v>0</v>
      </c>
    </row>
    <row r="391" spans="1:55" ht="14.1" customHeight="1" x14ac:dyDescent="0.2">
      <c r="A391" s="68">
        <v>78</v>
      </c>
      <c r="B391" s="65">
        <v>2324</v>
      </c>
      <c r="C391" s="66">
        <v>600074030</v>
      </c>
      <c r="D391" s="65">
        <v>71013083</v>
      </c>
      <c r="E391" s="67" t="s">
        <v>720</v>
      </c>
      <c r="F391" s="68">
        <v>3141</v>
      </c>
      <c r="G391" s="67" t="s">
        <v>315</v>
      </c>
      <c r="H391" s="69" t="s">
        <v>278</v>
      </c>
      <c r="I391" s="477">
        <v>1214700</v>
      </c>
      <c r="J391" s="472">
        <v>889214</v>
      </c>
      <c r="K391" s="472">
        <v>0</v>
      </c>
      <c r="L391" s="472">
        <v>300554</v>
      </c>
      <c r="M391" s="472">
        <v>17784</v>
      </c>
      <c r="N391" s="472">
        <v>7148</v>
      </c>
      <c r="O391" s="473">
        <v>2.8</v>
      </c>
      <c r="P391" s="474">
        <v>0</v>
      </c>
      <c r="Q391" s="483">
        <v>2.8</v>
      </c>
      <c r="R391" s="485">
        <f t="shared" si="903"/>
        <v>0</v>
      </c>
      <c r="S391" s="475">
        <v>0</v>
      </c>
      <c r="T391" s="755">
        <v>-1348</v>
      </c>
      <c r="U391" s="475">
        <v>0</v>
      </c>
      <c r="V391" s="475">
        <v>0</v>
      </c>
      <c r="W391" s="475">
        <v>0</v>
      </c>
      <c r="X391" s="475">
        <f t="shared" si="904"/>
        <v>-1348</v>
      </c>
      <c r="Y391" s="475">
        <v>0</v>
      </c>
      <c r="Z391" s="475">
        <v>0</v>
      </c>
      <c r="AA391" s="475">
        <v>0</v>
      </c>
      <c r="AB391" s="475">
        <f t="shared" si="905"/>
        <v>0</v>
      </c>
      <c r="AC391" s="475">
        <f t="shared" si="906"/>
        <v>-1348</v>
      </c>
      <c r="AD391" s="70">
        <f t="shared" si="907"/>
        <v>-456</v>
      </c>
      <c r="AE391" s="70">
        <f t="shared" si="908"/>
        <v>-27</v>
      </c>
      <c r="AF391" s="475">
        <v>0</v>
      </c>
      <c r="AG391" s="475">
        <v>0</v>
      </c>
      <c r="AH391" s="475">
        <f t="shared" si="909"/>
        <v>0</v>
      </c>
      <c r="AI391" s="475">
        <f t="shared" si="910"/>
        <v>-1831</v>
      </c>
      <c r="AJ391" s="476">
        <v>0</v>
      </c>
      <c r="AK391" s="476">
        <v>0</v>
      </c>
      <c r="AL391" s="476">
        <v>0</v>
      </c>
      <c r="AM391" s="476">
        <v>0</v>
      </c>
      <c r="AN391" s="756">
        <v>-1.0000000000000009E-2</v>
      </c>
      <c r="AO391" s="476">
        <v>0</v>
      </c>
      <c r="AP391" s="476">
        <v>0</v>
      </c>
      <c r="AQ391" s="476">
        <v>0</v>
      </c>
      <c r="AR391" s="476">
        <f t="shared" si="783"/>
        <v>0</v>
      </c>
      <c r="AS391" s="476">
        <f t="shared" si="784"/>
        <v>-1.0000000000000009E-2</v>
      </c>
      <c r="AT391" s="478">
        <f t="shared" si="785"/>
        <v>-1.0000000000000009E-2</v>
      </c>
      <c r="AU391" s="484">
        <f>I391+AI391</f>
        <v>1212869</v>
      </c>
      <c r="AV391" s="475">
        <f>J391+X391</f>
        <v>887866</v>
      </c>
      <c r="AW391" s="475">
        <f>K391+AB391</f>
        <v>0</v>
      </c>
      <c r="AX391" s="475">
        <f t="shared" si="911"/>
        <v>300098</v>
      </c>
      <c r="AY391" s="475">
        <f t="shared" si="911"/>
        <v>17757</v>
      </c>
      <c r="AZ391" s="475">
        <f>N391+AH391</f>
        <v>7148</v>
      </c>
      <c r="BA391" s="476">
        <f>O391+AT391</f>
        <v>2.79</v>
      </c>
      <c r="BB391" s="476">
        <f t="shared" si="912"/>
        <v>0</v>
      </c>
      <c r="BC391" s="478">
        <f t="shared" si="912"/>
        <v>2.79</v>
      </c>
    </row>
    <row r="392" spans="1:55" ht="14.1" customHeight="1" x14ac:dyDescent="0.2">
      <c r="A392" s="74">
        <v>78</v>
      </c>
      <c r="B392" s="71">
        <v>2324</v>
      </c>
      <c r="C392" s="72">
        <v>600074030</v>
      </c>
      <c r="D392" s="71">
        <v>71013083</v>
      </c>
      <c r="E392" s="73" t="s">
        <v>721</v>
      </c>
      <c r="F392" s="74"/>
      <c r="G392" s="73"/>
      <c r="H392" s="75"/>
      <c r="I392" s="76">
        <v>14230053</v>
      </c>
      <c r="J392" s="77">
        <v>10391799</v>
      </c>
      <c r="K392" s="77">
        <v>23500</v>
      </c>
      <c r="L392" s="77">
        <v>3520371</v>
      </c>
      <c r="M392" s="77">
        <v>207835</v>
      </c>
      <c r="N392" s="77">
        <v>86548</v>
      </c>
      <c r="O392" s="78">
        <v>24.905000000000001</v>
      </c>
      <c r="P392" s="78">
        <v>16.87</v>
      </c>
      <c r="Q392" s="718">
        <v>8.0350000000000001</v>
      </c>
      <c r="R392" s="76">
        <f t="shared" ref="R392:BC392" si="913">SUM(R389:R391)</f>
        <v>0</v>
      </c>
      <c r="S392" s="77">
        <f t="shared" si="913"/>
        <v>0</v>
      </c>
      <c r="T392" s="77">
        <f t="shared" si="913"/>
        <v>-1348</v>
      </c>
      <c r="U392" s="77">
        <f t="shared" si="913"/>
        <v>0</v>
      </c>
      <c r="V392" s="77">
        <f t="shared" si="913"/>
        <v>-51546</v>
      </c>
      <c r="W392" s="77">
        <f t="shared" si="913"/>
        <v>0</v>
      </c>
      <c r="X392" s="77">
        <f t="shared" si="913"/>
        <v>-52894</v>
      </c>
      <c r="Y392" s="77">
        <f t="shared" si="913"/>
        <v>0</v>
      </c>
      <c r="Z392" s="77">
        <f t="shared" si="913"/>
        <v>0</v>
      </c>
      <c r="AA392" s="77">
        <f t="shared" si="913"/>
        <v>0</v>
      </c>
      <c r="AB392" s="77">
        <f t="shared" si="913"/>
        <v>0</v>
      </c>
      <c r="AC392" s="77">
        <f t="shared" si="913"/>
        <v>-52894</v>
      </c>
      <c r="AD392" s="77">
        <f t="shared" si="913"/>
        <v>-17879</v>
      </c>
      <c r="AE392" s="77">
        <f t="shared" si="913"/>
        <v>-1058</v>
      </c>
      <c r="AF392" s="77">
        <f t="shared" si="913"/>
        <v>4000</v>
      </c>
      <c r="AG392" s="77">
        <f t="shared" si="913"/>
        <v>70000</v>
      </c>
      <c r="AH392" s="77">
        <f t="shared" si="913"/>
        <v>74000</v>
      </c>
      <c r="AI392" s="77">
        <f t="shared" si="913"/>
        <v>2169</v>
      </c>
      <c r="AJ392" s="78">
        <f t="shared" si="913"/>
        <v>0</v>
      </c>
      <c r="AK392" s="78">
        <f t="shared" si="913"/>
        <v>0</v>
      </c>
      <c r="AL392" s="78">
        <f t="shared" si="913"/>
        <v>0</v>
      </c>
      <c r="AM392" s="78">
        <f t="shared" si="913"/>
        <v>0</v>
      </c>
      <c r="AN392" s="78">
        <f t="shared" si="913"/>
        <v>-1.0000000000000009E-2</v>
      </c>
      <c r="AO392" s="78">
        <f t="shared" si="913"/>
        <v>0</v>
      </c>
      <c r="AP392" s="78">
        <f t="shared" si="913"/>
        <v>0</v>
      </c>
      <c r="AQ392" s="78">
        <f t="shared" si="913"/>
        <v>0</v>
      </c>
      <c r="AR392" s="78">
        <f t="shared" si="913"/>
        <v>0</v>
      </c>
      <c r="AS392" s="78">
        <f t="shared" si="913"/>
        <v>-1.0000000000000009E-2</v>
      </c>
      <c r="AT392" s="79">
        <f t="shared" si="913"/>
        <v>-1.0000000000000009E-2</v>
      </c>
      <c r="AU392" s="433">
        <f t="shared" si="913"/>
        <v>14232222</v>
      </c>
      <c r="AV392" s="77">
        <f t="shared" si="913"/>
        <v>10338905</v>
      </c>
      <c r="AW392" s="77">
        <f t="shared" si="913"/>
        <v>23500</v>
      </c>
      <c r="AX392" s="77">
        <f t="shared" si="913"/>
        <v>3502492</v>
      </c>
      <c r="AY392" s="77">
        <f t="shared" si="913"/>
        <v>206777</v>
      </c>
      <c r="AZ392" s="77">
        <f t="shared" si="913"/>
        <v>160548</v>
      </c>
      <c r="BA392" s="78">
        <f t="shared" si="913"/>
        <v>24.895</v>
      </c>
      <c r="BB392" s="78">
        <f t="shared" si="913"/>
        <v>16.87</v>
      </c>
      <c r="BC392" s="79">
        <f t="shared" si="913"/>
        <v>8.0249999999999986</v>
      </c>
    </row>
    <row r="393" spans="1:55" ht="14.1" customHeight="1" x14ac:dyDescent="0.2">
      <c r="A393" s="68">
        <v>79</v>
      </c>
      <c r="B393" s="65">
        <v>2325</v>
      </c>
      <c r="C393" s="66">
        <v>600074561</v>
      </c>
      <c r="D393" s="65">
        <v>46750321</v>
      </c>
      <c r="E393" s="67" t="s">
        <v>722</v>
      </c>
      <c r="F393" s="68">
        <v>3113</v>
      </c>
      <c r="G393" s="67" t="s">
        <v>314</v>
      </c>
      <c r="H393" s="69" t="s">
        <v>277</v>
      </c>
      <c r="I393" s="477">
        <v>29003312</v>
      </c>
      <c r="J393" s="472">
        <v>20889217</v>
      </c>
      <c r="K393" s="472">
        <v>33000</v>
      </c>
      <c r="L393" s="472">
        <v>7071710</v>
      </c>
      <c r="M393" s="472">
        <v>417785</v>
      </c>
      <c r="N393" s="472">
        <v>591600</v>
      </c>
      <c r="O393" s="473">
        <v>37.137300000000003</v>
      </c>
      <c r="P393" s="473">
        <v>29.554699999999997</v>
      </c>
      <c r="Q393" s="483">
        <v>7.5826000000000002</v>
      </c>
      <c r="R393" s="485">
        <f t="shared" ref="R393:R398" si="914">Y393*-1</f>
        <v>0</v>
      </c>
      <c r="S393" s="475">
        <v>0</v>
      </c>
      <c r="T393" s="475">
        <v>0</v>
      </c>
      <c r="U393" s="475">
        <v>0</v>
      </c>
      <c r="V393" s="475">
        <v>0</v>
      </c>
      <c r="W393" s="475">
        <v>0</v>
      </c>
      <c r="X393" s="475">
        <f t="shared" ref="X393:X398" si="915">SUM(R393:W393)</f>
        <v>0</v>
      </c>
      <c r="Y393" s="475">
        <v>0</v>
      </c>
      <c r="Z393" s="475">
        <v>0</v>
      </c>
      <c r="AA393" s="475">
        <v>0</v>
      </c>
      <c r="AB393" s="475">
        <f t="shared" ref="AB393:AB398" si="916">SUM(Y393:AA393)</f>
        <v>0</v>
      </c>
      <c r="AC393" s="475">
        <f t="shared" ref="AC393:AC398" si="917">X393+AB393</f>
        <v>0</v>
      </c>
      <c r="AD393" s="70">
        <f t="shared" ref="AD393:AD398" si="918">ROUND((X393+Y393+Z393)*33.8%,0)</f>
        <v>0</v>
      </c>
      <c r="AE393" s="70">
        <f t="shared" ref="AE393:AE398" si="919">ROUND(X393*2%,0)</f>
        <v>0</v>
      </c>
      <c r="AF393" s="475">
        <v>0</v>
      </c>
      <c r="AG393" s="475">
        <v>0</v>
      </c>
      <c r="AH393" s="475">
        <f t="shared" ref="AH393:AH398" si="920">SUM(AF393:AG393)</f>
        <v>0</v>
      </c>
      <c r="AI393" s="475">
        <f t="shared" ref="AI393:AI398" si="921">AC393+AD393+AE393+AH393</f>
        <v>0</v>
      </c>
      <c r="AJ393" s="476">
        <v>0</v>
      </c>
      <c r="AK393" s="476">
        <v>0</v>
      </c>
      <c r="AL393" s="476">
        <v>0</v>
      </c>
      <c r="AM393" s="476">
        <v>0</v>
      </c>
      <c r="AN393" s="476">
        <v>0</v>
      </c>
      <c r="AO393" s="476">
        <v>0</v>
      </c>
      <c r="AP393" s="476">
        <v>0</v>
      </c>
      <c r="AQ393" s="476">
        <v>0</v>
      </c>
      <c r="AR393" s="476">
        <f t="shared" si="783"/>
        <v>0</v>
      </c>
      <c r="AS393" s="476">
        <f t="shared" si="784"/>
        <v>0</v>
      </c>
      <c r="AT393" s="478">
        <f t="shared" si="785"/>
        <v>0</v>
      </c>
      <c r="AU393" s="484">
        <f t="shared" ref="AU393:AU398" si="922">I393+AI393</f>
        <v>29003312</v>
      </c>
      <c r="AV393" s="475">
        <f t="shared" ref="AV393:AV398" si="923">J393+X393</f>
        <v>20889217</v>
      </c>
      <c r="AW393" s="475">
        <f t="shared" ref="AW393:AW398" si="924">K393+AB393</f>
        <v>33000</v>
      </c>
      <c r="AX393" s="475">
        <f t="shared" ref="AX393:AY398" si="925">L393+AD393</f>
        <v>7071710</v>
      </c>
      <c r="AY393" s="475">
        <f t="shared" si="925"/>
        <v>417785</v>
      </c>
      <c r="AZ393" s="475">
        <f t="shared" ref="AZ393:AZ398" si="926">N393+AH393</f>
        <v>591600</v>
      </c>
      <c r="BA393" s="476">
        <f t="shared" ref="BA393:BA398" si="927">O393+AT393</f>
        <v>37.137300000000003</v>
      </c>
      <c r="BB393" s="476">
        <f t="shared" ref="BB393:BC398" si="928">P393+AR393</f>
        <v>29.554699999999997</v>
      </c>
      <c r="BC393" s="478">
        <f t="shared" si="928"/>
        <v>7.5826000000000002</v>
      </c>
    </row>
    <row r="394" spans="1:55" ht="14.1" customHeight="1" x14ac:dyDescent="0.2">
      <c r="A394" s="68">
        <v>79</v>
      </c>
      <c r="B394" s="65">
        <v>2325</v>
      </c>
      <c r="C394" s="66">
        <v>600074561</v>
      </c>
      <c r="D394" s="65">
        <v>46750321</v>
      </c>
      <c r="E394" s="67" t="s">
        <v>722</v>
      </c>
      <c r="F394" s="68">
        <v>3113</v>
      </c>
      <c r="G394" s="80" t="s">
        <v>312</v>
      </c>
      <c r="H394" s="69" t="s">
        <v>278</v>
      </c>
      <c r="I394" s="477">
        <v>3834002</v>
      </c>
      <c r="J394" s="472">
        <v>2801548</v>
      </c>
      <c r="K394" s="472">
        <v>0</v>
      </c>
      <c r="L394" s="472">
        <v>946923</v>
      </c>
      <c r="M394" s="472">
        <v>56031</v>
      </c>
      <c r="N394" s="472">
        <v>29500</v>
      </c>
      <c r="O394" s="473">
        <v>8.0300000000000011</v>
      </c>
      <c r="P394" s="474">
        <v>8.0300000000000011</v>
      </c>
      <c r="Q394" s="483">
        <v>0</v>
      </c>
      <c r="R394" s="485">
        <f t="shared" si="914"/>
        <v>0</v>
      </c>
      <c r="S394" s="475">
        <v>43306</v>
      </c>
      <c r="T394" s="475">
        <v>0</v>
      </c>
      <c r="U394" s="475">
        <v>0</v>
      </c>
      <c r="V394" s="475">
        <v>0</v>
      </c>
      <c r="W394" s="475">
        <v>0</v>
      </c>
      <c r="X394" s="475">
        <f t="shared" si="915"/>
        <v>43306</v>
      </c>
      <c r="Y394" s="475">
        <v>0</v>
      </c>
      <c r="Z394" s="475">
        <v>0</v>
      </c>
      <c r="AA394" s="475">
        <v>0</v>
      </c>
      <c r="AB394" s="475">
        <f t="shared" si="916"/>
        <v>0</v>
      </c>
      <c r="AC394" s="475">
        <f t="shared" si="917"/>
        <v>43306</v>
      </c>
      <c r="AD394" s="70">
        <f t="shared" si="918"/>
        <v>14637</v>
      </c>
      <c r="AE394" s="70">
        <f t="shared" si="919"/>
        <v>866</v>
      </c>
      <c r="AF394" s="475">
        <v>0</v>
      </c>
      <c r="AG394" s="475">
        <v>0</v>
      </c>
      <c r="AH394" s="475">
        <f t="shared" si="920"/>
        <v>0</v>
      </c>
      <c r="AI394" s="475">
        <f t="shared" si="921"/>
        <v>58809</v>
      </c>
      <c r="AJ394" s="476">
        <v>0</v>
      </c>
      <c r="AK394" s="476">
        <v>0</v>
      </c>
      <c r="AL394" s="476">
        <v>0.13</v>
      </c>
      <c r="AM394" s="476">
        <v>0</v>
      </c>
      <c r="AN394" s="476">
        <v>0</v>
      </c>
      <c r="AO394" s="476">
        <v>0</v>
      </c>
      <c r="AP394" s="476">
        <v>0</v>
      </c>
      <c r="AQ394" s="476">
        <v>0</v>
      </c>
      <c r="AR394" s="476">
        <f t="shared" si="783"/>
        <v>0.13</v>
      </c>
      <c r="AS394" s="476">
        <f t="shared" si="784"/>
        <v>0</v>
      </c>
      <c r="AT394" s="478">
        <f t="shared" si="785"/>
        <v>0.13</v>
      </c>
      <c r="AU394" s="484">
        <f t="shared" si="922"/>
        <v>3892811</v>
      </c>
      <c r="AV394" s="475">
        <f t="shared" si="923"/>
        <v>2844854</v>
      </c>
      <c r="AW394" s="475">
        <f t="shared" si="924"/>
        <v>0</v>
      </c>
      <c r="AX394" s="475">
        <f t="shared" si="925"/>
        <v>961560</v>
      </c>
      <c r="AY394" s="475">
        <f t="shared" si="925"/>
        <v>56897</v>
      </c>
      <c r="AZ394" s="475">
        <f t="shared" si="926"/>
        <v>29500</v>
      </c>
      <c r="BA394" s="476">
        <f t="shared" si="927"/>
        <v>8.1600000000000019</v>
      </c>
      <c r="BB394" s="476">
        <f t="shared" si="928"/>
        <v>8.1600000000000019</v>
      </c>
      <c r="BC394" s="478">
        <f t="shared" si="928"/>
        <v>0</v>
      </c>
    </row>
    <row r="395" spans="1:55" ht="14.1" customHeight="1" x14ac:dyDescent="0.2">
      <c r="A395" s="68">
        <v>79</v>
      </c>
      <c r="B395" s="65">
        <v>2325</v>
      </c>
      <c r="C395" s="66">
        <v>600074561</v>
      </c>
      <c r="D395" s="65">
        <v>46750321</v>
      </c>
      <c r="E395" s="67" t="s">
        <v>722</v>
      </c>
      <c r="F395" s="68">
        <v>3141</v>
      </c>
      <c r="G395" s="67" t="s">
        <v>315</v>
      </c>
      <c r="H395" s="69" t="s">
        <v>278</v>
      </c>
      <c r="I395" s="477">
        <v>2719458</v>
      </c>
      <c r="J395" s="472">
        <v>1987161</v>
      </c>
      <c r="K395" s="472">
        <v>0</v>
      </c>
      <c r="L395" s="472">
        <v>671660</v>
      </c>
      <c r="M395" s="472">
        <v>39743</v>
      </c>
      <c r="N395" s="472">
        <v>20894</v>
      </c>
      <c r="O395" s="473">
        <v>6.26</v>
      </c>
      <c r="P395" s="474">
        <v>0</v>
      </c>
      <c r="Q395" s="483">
        <v>6.26</v>
      </c>
      <c r="R395" s="485">
        <f t="shared" si="914"/>
        <v>0</v>
      </c>
      <c r="S395" s="475">
        <v>0</v>
      </c>
      <c r="T395" s="755">
        <v>-9692</v>
      </c>
      <c r="U395" s="475">
        <v>0</v>
      </c>
      <c r="V395" s="475">
        <v>0</v>
      </c>
      <c r="W395" s="475">
        <v>0</v>
      </c>
      <c r="X395" s="475">
        <f t="shared" si="915"/>
        <v>-9692</v>
      </c>
      <c r="Y395" s="475">
        <v>0</v>
      </c>
      <c r="Z395" s="475">
        <v>0</v>
      </c>
      <c r="AA395" s="475">
        <v>0</v>
      </c>
      <c r="AB395" s="475">
        <f t="shared" si="916"/>
        <v>0</v>
      </c>
      <c r="AC395" s="475">
        <f t="shared" si="917"/>
        <v>-9692</v>
      </c>
      <c r="AD395" s="70">
        <f t="shared" si="918"/>
        <v>-3276</v>
      </c>
      <c r="AE395" s="70">
        <f t="shared" si="919"/>
        <v>-194</v>
      </c>
      <c r="AF395" s="475">
        <v>0</v>
      </c>
      <c r="AG395" s="475">
        <v>0</v>
      </c>
      <c r="AH395" s="475">
        <f t="shared" si="920"/>
        <v>0</v>
      </c>
      <c r="AI395" s="475">
        <f t="shared" si="921"/>
        <v>-13162</v>
      </c>
      <c r="AJ395" s="476">
        <v>0</v>
      </c>
      <c r="AK395" s="476">
        <v>0</v>
      </c>
      <c r="AL395" s="476">
        <v>0</v>
      </c>
      <c r="AM395" s="476">
        <v>0</v>
      </c>
      <c r="AN395" s="756">
        <v>-2.9999999999999805E-2</v>
      </c>
      <c r="AO395" s="476">
        <v>0</v>
      </c>
      <c r="AP395" s="476">
        <v>0</v>
      </c>
      <c r="AQ395" s="476">
        <v>0</v>
      </c>
      <c r="AR395" s="476">
        <f t="shared" si="783"/>
        <v>0</v>
      </c>
      <c r="AS395" s="476">
        <f t="shared" si="784"/>
        <v>-2.9999999999999805E-2</v>
      </c>
      <c r="AT395" s="478">
        <f t="shared" si="785"/>
        <v>-2.9999999999999805E-2</v>
      </c>
      <c r="AU395" s="484">
        <f t="shared" si="922"/>
        <v>2706296</v>
      </c>
      <c r="AV395" s="475">
        <f t="shared" si="923"/>
        <v>1977469</v>
      </c>
      <c r="AW395" s="475">
        <f t="shared" si="924"/>
        <v>0</v>
      </c>
      <c r="AX395" s="475">
        <f t="shared" si="925"/>
        <v>668384</v>
      </c>
      <c r="AY395" s="475">
        <f t="shared" si="925"/>
        <v>39549</v>
      </c>
      <c r="AZ395" s="475">
        <f t="shared" si="926"/>
        <v>20894</v>
      </c>
      <c r="BA395" s="476">
        <f t="shared" si="927"/>
        <v>6.23</v>
      </c>
      <c r="BB395" s="476">
        <f t="shared" si="928"/>
        <v>0</v>
      </c>
      <c r="BC395" s="478">
        <f t="shared" si="928"/>
        <v>6.23</v>
      </c>
    </row>
    <row r="396" spans="1:55" ht="14.1" customHeight="1" x14ac:dyDescent="0.2">
      <c r="A396" s="68">
        <v>79</v>
      </c>
      <c r="B396" s="65">
        <v>2325</v>
      </c>
      <c r="C396" s="66">
        <v>600074561</v>
      </c>
      <c r="D396" s="65">
        <v>46750321</v>
      </c>
      <c r="E396" s="67" t="s">
        <v>722</v>
      </c>
      <c r="F396" s="68">
        <v>3143</v>
      </c>
      <c r="G396" s="80" t="s">
        <v>626</v>
      </c>
      <c r="H396" s="69" t="s">
        <v>277</v>
      </c>
      <c r="I396" s="477">
        <v>2193187</v>
      </c>
      <c r="J396" s="472">
        <v>1598263</v>
      </c>
      <c r="K396" s="472">
        <v>17000</v>
      </c>
      <c r="L396" s="472">
        <v>545959</v>
      </c>
      <c r="M396" s="472">
        <v>31965</v>
      </c>
      <c r="N396" s="472">
        <v>0</v>
      </c>
      <c r="O396" s="473">
        <v>3.5</v>
      </c>
      <c r="P396" s="473">
        <v>3.5</v>
      </c>
      <c r="Q396" s="483">
        <v>0</v>
      </c>
      <c r="R396" s="485">
        <f t="shared" si="914"/>
        <v>0</v>
      </c>
      <c r="S396" s="475">
        <v>0</v>
      </c>
      <c r="T396" s="475">
        <v>0</v>
      </c>
      <c r="U396" s="475">
        <v>0</v>
      </c>
      <c r="V396" s="475">
        <v>0</v>
      </c>
      <c r="W396" s="475">
        <v>0</v>
      </c>
      <c r="X396" s="475">
        <f t="shared" si="915"/>
        <v>0</v>
      </c>
      <c r="Y396" s="475">
        <v>0</v>
      </c>
      <c r="Z396" s="475">
        <v>0</v>
      </c>
      <c r="AA396" s="475">
        <v>0</v>
      </c>
      <c r="AB396" s="475">
        <f t="shared" si="916"/>
        <v>0</v>
      </c>
      <c r="AC396" s="475">
        <f t="shared" si="917"/>
        <v>0</v>
      </c>
      <c r="AD396" s="70">
        <f t="shared" si="918"/>
        <v>0</v>
      </c>
      <c r="AE396" s="70">
        <f t="shared" si="919"/>
        <v>0</v>
      </c>
      <c r="AF396" s="475">
        <v>0</v>
      </c>
      <c r="AG396" s="475">
        <v>0</v>
      </c>
      <c r="AH396" s="475">
        <f t="shared" si="920"/>
        <v>0</v>
      </c>
      <c r="AI396" s="475">
        <f t="shared" si="921"/>
        <v>0</v>
      </c>
      <c r="AJ396" s="476">
        <v>0</v>
      </c>
      <c r="AK396" s="476">
        <v>0</v>
      </c>
      <c r="AL396" s="476">
        <v>0</v>
      </c>
      <c r="AM396" s="476">
        <v>0</v>
      </c>
      <c r="AN396" s="476">
        <v>0</v>
      </c>
      <c r="AO396" s="476">
        <v>0</v>
      </c>
      <c r="AP396" s="476">
        <v>0</v>
      </c>
      <c r="AQ396" s="476">
        <v>0</v>
      </c>
      <c r="AR396" s="476">
        <f t="shared" si="783"/>
        <v>0</v>
      </c>
      <c r="AS396" s="476">
        <f t="shared" si="784"/>
        <v>0</v>
      </c>
      <c r="AT396" s="478">
        <f t="shared" si="785"/>
        <v>0</v>
      </c>
      <c r="AU396" s="484">
        <f t="shared" si="922"/>
        <v>2193187</v>
      </c>
      <c r="AV396" s="475">
        <f t="shared" si="923"/>
        <v>1598263</v>
      </c>
      <c r="AW396" s="475">
        <f t="shared" si="924"/>
        <v>17000</v>
      </c>
      <c r="AX396" s="475">
        <f t="shared" si="925"/>
        <v>545959</v>
      </c>
      <c r="AY396" s="475">
        <f t="shared" si="925"/>
        <v>31965</v>
      </c>
      <c r="AZ396" s="475">
        <f t="shared" si="926"/>
        <v>0</v>
      </c>
      <c r="BA396" s="476">
        <f t="shared" si="927"/>
        <v>3.5</v>
      </c>
      <c r="BB396" s="476">
        <f t="shared" si="928"/>
        <v>3.5</v>
      </c>
      <c r="BC396" s="478">
        <f t="shared" si="928"/>
        <v>0</v>
      </c>
    </row>
    <row r="397" spans="1:55" ht="14.1" customHeight="1" x14ac:dyDescent="0.2">
      <c r="A397" s="68">
        <v>79</v>
      </c>
      <c r="B397" s="65">
        <v>2325</v>
      </c>
      <c r="C397" s="66">
        <v>600074561</v>
      </c>
      <c r="D397" s="65">
        <v>46750321</v>
      </c>
      <c r="E397" s="67" t="s">
        <v>722</v>
      </c>
      <c r="F397" s="68">
        <v>3143</v>
      </c>
      <c r="G397" s="80" t="s">
        <v>627</v>
      </c>
      <c r="H397" s="69" t="s">
        <v>278</v>
      </c>
      <c r="I397" s="477">
        <v>86940</v>
      </c>
      <c r="J397" s="472">
        <v>61480</v>
      </c>
      <c r="K397" s="472">
        <v>0</v>
      </c>
      <c r="L397" s="472">
        <v>20780</v>
      </c>
      <c r="M397" s="472">
        <v>1230</v>
      </c>
      <c r="N397" s="472">
        <v>3450</v>
      </c>
      <c r="O397" s="473">
        <v>0.24</v>
      </c>
      <c r="P397" s="474">
        <v>0</v>
      </c>
      <c r="Q397" s="483">
        <v>0.24</v>
      </c>
      <c r="R397" s="485">
        <f t="shared" si="914"/>
        <v>0</v>
      </c>
      <c r="S397" s="475">
        <v>0</v>
      </c>
      <c r="T397" s="475">
        <v>0</v>
      </c>
      <c r="U397" s="475">
        <v>0</v>
      </c>
      <c r="V397" s="475">
        <v>0</v>
      </c>
      <c r="W397" s="475">
        <v>0</v>
      </c>
      <c r="X397" s="475">
        <f t="shared" si="915"/>
        <v>0</v>
      </c>
      <c r="Y397" s="475">
        <v>0</v>
      </c>
      <c r="Z397" s="475">
        <v>0</v>
      </c>
      <c r="AA397" s="475">
        <v>0</v>
      </c>
      <c r="AB397" s="475">
        <f t="shared" si="916"/>
        <v>0</v>
      </c>
      <c r="AC397" s="475">
        <f t="shared" si="917"/>
        <v>0</v>
      </c>
      <c r="AD397" s="70">
        <f t="shared" si="918"/>
        <v>0</v>
      </c>
      <c r="AE397" s="70">
        <f t="shared" si="919"/>
        <v>0</v>
      </c>
      <c r="AF397" s="475">
        <v>0</v>
      </c>
      <c r="AG397" s="475">
        <v>0</v>
      </c>
      <c r="AH397" s="475">
        <f t="shared" si="920"/>
        <v>0</v>
      </c>
      <c r="AI397" s="475">
        <f t="shared" si="921"/>
        <v>0</v>
      </c>
      <c r="AJ397" s="476">
        <v>0</v>
      </c>
      <c r="AK397" s="476">
        <v>0</v>
      </c>
      <c r="AL397" s="476">
        <v>0</v>
      </c>
      <c r="AM397" s="476">
        <v>0</v>
      </c>
      <c r="AN397" s="476">
        <v>0</v>
      </c>
      <c r="AO397" s="476">
        <v>0</v>
      </c>
      <c r="AP397" s="476">
        <v>0</v>
      </c>
      <c r="AQ397" s="476">
        <v>0</v>
      </c>
      <c r="AR397" s="476">
        <f t="shared" ref="AR397:AR460" si="929">AJ397+AL397+AM397+AO397+AP397</f>
        <v>0</v>
      </c>
      <c r="AS397" s="476">
        <f t="shared" ref="AS397:AS460" si="930">AK397+AN397+AQ397</f>
        <v>0</v>
      </c>
      <c r="AT397" s="478">
        <f t="shared" ref="AT397:AT460" si="931">SUM(AR397:AS397)</f>
        <v>0</v>
      </c>
      <c r="AU397" s="484">
        <f t="shared" si="922"/>
        <v>86940</v>
      </c>
      <c r="AV397" s="475">
        <f t="shared" si="923"/>
        <v>61480</v>
      </c>
      <c r="AW397" s="475">
        <f t="shared" si="924"/>
        <v>0</v>
      </c>
      <c r="AX397" s="475">
        <f t="shared" si="925"/>
        <v>20780</v>
      </c>
      <c r="AY397" s="475">
        <f t="shared" si="925"/>
        <v>1230</v>
      </c>
      <c r="AZ397" s="475">
        <f t="shared" si="926"/>
        <v>3450</v>
      </c>
      <c r="BA397" s="476">
        <f t="shared" si="927"/>
        <v>0.24</v>
      </c>
      <c r="BB397" s="476">
        <f t="shared" si="928"/>
        <v>0</v>
      </c>
      <c r="BC397" s="478">
        <f t="shared" si="928"/>
        <v>0.24</v>
      </c>
    </row>
    <row r="398" spans="1:55" ht="14.1" customHeight="1" x14ac:dyDescent="0.2">
      <c r="A398" s="68">
        <v>79</v>
      </c>
      <c r="B398" s="65">
        <v>2325</v>
      </c>
      <c r="C398" s="66">
        <v>600074561</v>
      </c>
      <c r="D398" s="65">
        <v>46750321</v>
      </c>
      <c r="E398" s="67" t="s">
        <v>722</v>
      </c>
      <c r="F398" s="68">
        <v>3231</v>
      </c>
      <c r="G398" s="67" t="s">
        <v>316</v>
      </c>
      <c r="H398" s="69" t="s">
        <v>277</v>
      </c>
      <c r="I398" s="477">
        <v>3403096</v>
      </c>
      <c r="J398" s="472">
        <v>2497891</v>
      </c>
      <c r="K398" s="472">
        <v>0</v>
      </c>
      <c r="L398" s="472">
        <v>844287</v>
      </c>
      <c r="M398" s="472">
        <v>49958</v>
      </c>
      <c r="N398" s="472">
        <v>10960</v>
      </c>
      <c r="O398" s="473">
        <v>4.6379000000000001</v>
      </c>
      <c r="P398" s="474">
        <v>4.1239999999999997</v>
      </c>
      <c r="Q398" s="483">
        <v>0.51390000000000002</v>
      </c>
      <c r="R398" s="485">
        <f t="shared" si="914"/>
        <v>0</v>
      </c>
      <c r="S398" s="475">
        <v>0</v>
      </c>
      <c r="T398" s="475">
        <v>0</v>
      </c>
      <c r="U398" s="475">
        <v>0</v>
      </c>
      <c r="V398" s="475">
        <v>0</v>
      </c>
      <c r="W398" s="475">
        <v>0</v>
      </c>
      <c r="X398" s="475">
        <f t="shared" si="915"/>
        <v>0</v>
      </c>
      <c r="Y398" s="475">
        <v>0</v>
      </c>
      <c r="Z398" s="475">
        <v>0</v>
      </c>
      <c r="AA398" s="475">
        <v>0</v>
      </c>
      <c r="AB398" s="475">
        <f t="shared" si="916"/>
        <v>0</v>
      </c>
      <c r="AC398" s="475">
        <f t="shared" si="917"/>
        <v>0</v>
      </c>
      <c r="AD398" s="70">
        <f t="shared" si="918"/>
        <v>0</v>
      </c>
      <c r="AE398" s="70">
        <f t="shared" si="919"/>
        <v>0</v>
      </c>
      <c r="AF398" s="475">
        <v>0</v>
      </c>
      <c r="AG398" s="475">
        <v>0</v>
      </c>
      <c r="AH398" s="475">
        <f t="shared" si="920"/>
        <v>0</v>
      </c>
      <c r="AI398" s="475">
        <f t="shared" si="921"/>
        <v>0</v>
      </c>
      <c r="AJ398" s="476">
        <v>0</v>
      </c>
      <c r="AK398" s="476">
        <v>0</v>
      </c>
      <c r="AL398" s="476">
        <v>0</v>
      </c>
      <c r="AM398" s="476">
        <v>0</v>
      </c>
      <c r="AN398" s="476">
        <v>0</v>
      </c>
      <c r="AO398" s="476">
        <v>0</v>
      </c>
      <c r="AP398" s="476">
        <v>0</v>
      </c>
      <c r="AQ398" s="476">
        <v>0</v>
      </c>
      <c r="AR398" s="476">
        <f t="shared" si="929"/>
        <v>0</v>
      </c>
      <c r="AS398" s="476">
        <f t="shared" si="930"/>
        <v>0</v>
      </c>
      <c r="AT398" s="478">
        <f t="shared" si="931"/>
        <v>0</v>
      </c>
      <c r="AU398" s="484">
        <f t="shared" si="922"/>
        <v>3403096</v>
      </c>
      <c r="AV398" s="475">
        <f t="shared" si="923"/>
        <v>2497891</v>
      </c>
      <c r="AW398" s="475">
        <f t="shared" si="924"/>
        <v>0</v>
      </c>
      <c r="AX398" s="475">
        <f t="shared" si="925"/>
        <v>844287</v>
      </c>
      <c r="AY398" s="475">
        <f t="shared" si="925"/>
        <v>49958</v>
      </c>
      <c r="AZ398" s="475">
        <f t="shared" si="926"/>
        <v>10960</v>
      </c>
      <c r="BA398" s="476">
        <f t="shared" si="927"/>
        <v>4.6379000000000001</v>
      </c>
      <c r="BB398" s="476">
        <f t="shared" si="928"/>
        <v>4.1239999999999997</v>
      </c>
      <c r="BC398" s="478">
        <f t="shared" si="928"/>
        <v>0.51390000000000002</v>
      </c>
    </row>
    <row r="399" spans="1:55" ht="14.1" customHeight="1" x14ac:dyDescent="0.2">
      <c r="A399" s="74">
        <v>79</v>
      </c>
      <c r="B399" s="71">
        <v>2325</v>
      </c>
      <c r="C399" s="72">
        <v>600074561</v>
      </c>
      <c r="D399" s="71">
        <v>46750321</v>
      </c>
      <c r="E399" s="73" t="s">
        <v>723</v>
      </c>
      <c r="F399" s="74"/>
      <c r="G399" s="73"/>
      <c r="H399" s="75"/>
      <c r="I399" s="81">
        <v>41239995</v>
      </c>
      <c r="J399" s="82">
        <v>29835560</v>
      </c>
      <c r="K399" s="82">
        <v>50000</v>
      </c>
      <c r="L399" s="82">
        <v>10101319</v>
      </c>
      <c r="M399" s="82">
        <v>596712</v>
      </c>
      <c r="N399" s="82">
        <v>656404</v>
      </c>
      <c r="O399" s="83">
        <v>59.805200000000006</v>
      </c>
      <c r="P399" s="83">
        <v>45.2087</v>
      </c>
      <c r="Q399" s="719">
        <v>14.596500000000001</v>
      </c>
      <c r="R399" s="81">
        <f t="shared" ref="R399:BC399" si="932">SUM(R393:R398)</f>
        <v>0</v>
      </c>
      <c r="S399" s="82">
        <f t="shared" si="932"/>
        <v>43306</v>
      </c>
      <c r="T399" s="82">
        <f t="shared" si="932"/>
        <v>-9692</v>
      </c>
      <c r="U399" s="82">
        <f t="shared" si="932"/>
        <v>0</v>
      </c>
      <c r="V399" s="82">
        <f t="shared" si="932"/>
        <v>0</v>
      </c>
      <c r="W399" s="82">
        <f t="shared" si="932"/>
        <v>0</v>
      </c>
      <c r="X399" s="82">
        <f t="shared" si="932"/>
        <v>33614</v>
      </c>
      <c r="Y399" s="82">
        <f t="shared" si="932"/>
        <v>0</v>
      </c>
      <c r="Z399" s="82">
        <f t="shared" si="932"/>
        <v>0</v>
      </c>
      <c r="AA399" s="82">
        <f t="shared" si="932"/>
        <v>0</v>
      </c>
      <c r="AB399" s="82">
        <f t="shared" si="932"/>
        <v>0</v>
      </c>
      <c r="AC399" s="82">
        <f t="shared" si="932"/>
        <v>33614</v>
      </c>
      <c r="AD399" s="82">
        <f t="shared" si="932"/>
        <v>11361</v>
      </c>
      <c r="AE399" s="82">
        <f t="shared" si="932"/>
        <v>672</v>
      </c>
      <c r="AF399" s="82">
        <f t="shared" si="932"/>
        <v>0</v>
      </c>
      <c r="AG399" s="82">
        <f t="shared" si="932"/>
        <v>0</v>
      </c>
      <c r="AH399" s="82">
        <f t="shared" si="932"/>
        <v>0</v>
      </c>
      <c r="AI399" s="82">
        <f t="shared" si="932"/>
        <v>45647</v>
      </c>
      <c r="AJ399" s="83">
        <f t="shared" si="932"/>
        <v>0</v>
      </c>
      <c r="AK399" s="83">
        <f t="shared" si="932"/>
        <v>0</v>
      </c>
      <c r="AL399" s="83">
        <f t="shared" si="932"/>
        <v>0.13</v>
      </c>
      <c r="AM399" s="83">
        <f t="shared" si="932"/>
        <v>0</v>
      </c>
      <c r="AN399" s="83">
        <f t="shared" si="932"/>
        <v>-2.9999999999999805E-2</v>
      </c>
      <c r="AO399" s="83">
        <f t="shared" si="932"/>
        <v>0</v>
      </c>
      <c r="AP399" s="83">
        <f t="shared" si="932"/>
        <v>0</v>
      </c>
      <c r="AQ399" s="83">
        <f t="shared" si="932"/>
        <v>0</v>
      </c>
      <c r="AR399" s="83">
        <f t="shared" si="932"/>
        <v>0.13</v>
      </c>
      <c r="AS399" s="83">
        <f t="shared" si="932"/>
        <v>-2.9999999999999805E-2</v>
      </c>
      <c r="AT399" s="84">
        <f t="shared" si="932"/>
        <v>0.1000000000000002</v>
      </c>
      <c r="AU399" s="434">
        <f t="shared" si="932"/>
        <v>41285642</v>
      </c>
      <c r="AV399" s="82">
        <f t="shared" si="932"/>
        <v>29869174</v>
      </c>
      <c r="AW399" s="82">
        <f t="shared" si="932"/>
        <v>50000</v>
      </c>
      <c r="AX399" s="82">
        <f t="shared" si="932"/>
        <v>10112680</v>
      </c>
      <c r="AY399" s="82">
        <f t="shared" si="932"/>
        <v>597384</v>
      </c>
      <c r="AZ399" s="82">
        <f t="shared" si="932"/>
        <v>656404</v>
      </c>
      <c r="BA399" s="83">
        <f t="shared" si="932"/>
        <v>59.905200000000015</v>
      </c>
      <c r="BB399" s="83">
        <f t="shared" si="932"/>
        <v>45.338700000000003</v>
      </c>
      <c r="BC399" s="84">
        <f t="shared" si="932"/>
        <v>14.5665</v>
      </c>
    </row>
    <row r="400" spans="1:55" ht="14.1" customHeight="1" x14ac:dyDescent="0.2">
      <c r="A400" s="68">
        <v>80</v>
      </c>
      <c r="B400" s="65">
        <v>2329</v>
      </c>
      <c r="C400" s="66">
        <v>691007331</v>
      </c>
      <c r="D400" s="65">
        <v>71294171</v>
      </c>
      <c r="E400" s="67" t="s">
        <v>797</v>
      </c>
      <c r="F400" s="68">
        <v>3114</v>
      </c>
      <c r="G400" s="172" t="s">
        <v>556</v>
      </c>
      <c r="H400" s="69" t="s">
        <v>277</v>
      </c>
      <c r="I400" s="477">
        <v>7603962</v>
      </c>
      <c r="J400" s="472">
        <v>5478817</v>
      </c>
      <c r="K400" s="472">
        <v>18301</v>
      </c>
      <c r="L400" s="472">
        <v>1858027</v>
      </c>
      <c r="M400" s="472">
        <v>109577</v>
      </c>
      <c r="N400" s="472">
        <v>139240</v>
      </c>
      <c r="O400" s="473">
        <v>9.9129000000000005</v>
      </c>
      <c r="P400" s="473">
        <v>7.0352000000000006</v>
      </c>
      <c r="Q400" s="483">
        <v>2.8776999999999999</v>
      </c>
      <c r="R400" s="485">
        <f t="shared" ref="R400:R405" si="933">Y400*-1</f>
        <v>0</v>
      </c>
      <c r="S400" s="475">
        <v>0</v>
      </c>
      <c r="T400" s="475">
        <v>0</v>
      </c>
      <c r="U400" s="475">
        <v>0</v>
      </c>
      <c r="V400" s="475">
        <v>0</v>
      </c>
      <c r="W400" s="475">
        <v>0</v>
      </c>
      <c r="X400" s="475">
        <f t="shared" ref="X400:X405" si="934">SUM(R400:W400)</f>
        <v>0</v>
      </c>
      <c r="Y400" s="475">
        <v>0</v>
      </c>
      <c r="Z400" s="475">
        <v>0</v>
      </c>
      <c r="AA400" s="475">
        <v>0</v>
      </c>
      <c r="AB400" s="475">
        <f t="shared" ref="AB400:AB405" si="935">SUM(Y400:AA400)</f>
        <v>0</v>
      </c>
      <c r="AC400" s="475">
        <f t="shared" ref="AC400:AC405" si="936">X400+AB400</f>
        <v>0</v>
      </c>
      <c r="AD400" s="70">
        <f t="shared" ref="AD400:AD405" si="937">ROUND((X400+Y400+Z400)*33.8%,0)</f>
        <v>0</v>
      </c>
      <c r="AE400" s="70">
        <f t="shared" ref="AE400:AE405" si="938">ROUND(X400*2%,0)</f>
        <v>0</v>
      </c>
      <c r="AF400" s="475">
        <v>0</v>
      </c>
      <c r="AG400" s="475">
        <v>0</v>
      </c>
      <c r="AH400" s="475">
        <f t="shared" ref="AH400:AH405" si="939">SUM(AF400:AG400)</f>
        <v>0</v>
      </c>
      <c r="AI400" s="475">
        <f t="shared" ref="AI400:AI405" si="940">AC400+AD400+AE400+AH400</f>
        <v>0</v>
      </c>
      <c r="AJ400" s="476">
        <v>0</v>
      </c>
      <c r="AK400" s="476">
        <v>0</v>
      </c>
      <c r="AL400" s="476">
        <v>0</v>
      </c>
      <c r="AM400" s="476">
        <v>0</v>
      </c>
      <c r="AN400" s="476">
        <v>0</v>
      </c>
      <c r="AO400" s="476">
        <v>0</v>
      </c>
      <c r="AP400" s="476">
        <v>0</v>
      </c>
      <c r="AQ400" s="476">
        <v>0</v>
      </c>
      <c r="AR400" s="476">
        <f t="shared" si="929"/>
        <v>0</v>
      </c>
      <c r="AS400" s="476">
        <f t="shared" si="930"/>
        <v>0</v>
      </c>
      <c r="AT400" s="478">
        <f t="shared" si="931"/>
        <v>0</v>
      </c>
      <c r="AU400" s="484">
        <f t="shared" ref="AU400:AU405" si="941">I400+AI400</f>
        <v>7603962</v>
      </c>
      <c r="AV400" s="475">
        <f t="shared" ref="AV400:AV405" si="942">J400+X400</f>
        <v>5478817</v>
      </c>
      <c r="AW400" s="475">
        <f t="shared" ref="AW400:AW405" si="943">K400+AB400</f>
        <v>18301</v>
      </c>
      <c r="AX400" s="475">
        <f t="shared" ref="AX400:AY405" si="944">L400+AD400</f>
        <v>1858027</v>
      </c>
      <c r="AY400" s="475">
        <f t="shared" si="944"/>
        <v>109577</v>
      </c>
      <c r="AZ400" s="475">
        <f t="shared" ref="AZ400:AZ405" si="945">N400+AH400</f>
        <v>139240</v>
      </c>
      <c r="BA400" s="476">
        <f t="shared" ref="BA400:BA405" si="946">O400+AT400</f>
        <v>9.9129000000000005</v>
      </c>
      <c r="BB400" s="476">
        <f t="shared" ref="BB400:BC405" si="947">P400+AR400</f>
        <v>7.0352000000000006</v>
      </c>
      <c r="BC400" s="478">
        <f t="shared" si="947"/>
        <v>2.8776999999999999</v>
      </c>
    </row>
    <row r="401" spans="1:55" ht="14.1" customHeight="1" x14ac:dyDescent="0.2">
      <c r="A401" s="68">
        <v>80</v>
      </c>
      <c r="B401" s="65">
        <v>2329</v>
      </c>
      <c r="C401" s="66">
        <v>691007331</v>
      </c>
      <c r="D401" s="65">
        <v>71294171</v>
      </c>
      <c r="E401" s="67" t="s">
        <v>797</v>
      </c>
      <c r="F401" s="68">
        <v>3114</v>
      </c>
      <c r="G401" s="44" t="s">
        <v>313</v>
      </c>
      <c r="H401" s="69" t="s">
        <v>277</v>
      </c>
      <c r="I401" s="477">
        <v>1643183</v>
      </c>
      <c r="J401" s="472">
        <v>1156511</v>
      </c>
      <c r="K401" s="472">
        <v>72641</v>
      </c>
      <c r="L401" s="472">
        <v>390901</v>
      </c>
      <c r="M401" s="472">
        <v>23130</v>
      </c>
      <c r="N401" s="472">
        <v>0</v>
      </c>
      <c r="O401" s="473">
        <v>3.0278</v>
      </c>
      <c r="P401" s="473">
        <v>3.0278</v>
      </c>
      <c r="Q401" s="483">
        <v>0</v>
      </c>
      <c r="R401" s="485">
        <f t="shared" si="933"/>
        <v>0</v>
      </c>
      <c r="S401" s="475">
        <v>0</v>
      </c>
      <c r="T401" s="475">
        <v>0</v>
      </c>
      <c r="U401" s="475">
        <v>0</v>
      </c>
      <c r="V401" s="475">
        <v>0</v>
      </c>
      <c r="W401" s="475">
        <v>0</v>
      </c>
      <c r="X401" s="475">
        <f t="shared" si="934"/>
        <v>0</v>
      </c>
      <c r="Y401" s="475">
        <v>0</v>
      </c>
      <c r="Z401" s="475">
        <v>0</v>
      </c>
      <c r="AA401" s="475">
        <v>0</v>
      </c>
      <c r="AB401" s="475">
        <f t="shared" si="935"/>
        <v>0</v>
      </c>
      <c r="AC401" s="475">
        <f t="shared" si="936"/>
        <v>0</v>
      </c>
      <c r="AD401" s="70">
        <f t="shared" si="937"/>
        <v>0</v>
      </c>
      <c r="AE401" s="70">
        <f t="shared" si="938"/>
        <v>0</v>
      </c>
      <c r="AF401" s="475">
        <v>0</v>
      </c>
      <c r="AG401" s="475">
        <v>0</v>
      </c>
      <c r="AH401" s="475">
        <f t="shared" si="939"/>
        <v>0</v>
      </c>
      <c r="AI401" s="475">
        <f t="shared" si="940"/>
        <v>0</v>
      </c>
      <c r="AJ401" s="476">
        <v>0</v>
      </c>
      <c r="AK401" s="476">
        <v>0</v>
      </c>
      <c r="AL401" s="476">
        <v>0</v>
      </c>
      <c r="AM401" s="476">
        <v>0</v>
      </c>
      <c r="AN401" s="476">
        <v>0</v>
      </c>
      <c r="AO401" s="476">
        <v>0</v>
      </c>
      <c r="AP401" s="476">
        <v>0</v>
      </c>
      <c r="AQ401" s="476">
        <v>0</v>
      </c>
      <c r="AR401" s="476">
        <f t="shared" si="929"/>
        <v>0</v>
      </c>
      <c r="AS401" s="476">
        <f t="shared" si="930"/>
        <v>0</v>
      </c>
      <c r="AT401" s="478">
        <f t="shared" si="931"/>
        <v>0</v>
      </c>
      <c r="AU401" s="484">
        <f t="shared" si="941"/>
        <v>1643183</v>
      </c>
      <c r="AV401" s="475">
        <f t="shared" si="942"/>
        <v>1156511</v>
      </c>
      <c r="AW401" s="475">
        <f t="shared" si="943"/>
        <v>72641</v>
      </c>
      <c r="AX401" s="475">
        <f t="shared" si="944"/>
        <v>390901</v>
      </c>
      <c r="AY401" s="475">
        <f t="shared" si="944"/>
        <v>23130</v>
      </c>
      <c r="AZ401" s="475">
        <f t="shared" si="945"/>
        <v>0</v>
      </c>
      <c r="BA401" s="476">
        <f t="shared" si="946"/>
        <v>3.0278</v>
      </c>
      <c r="BB401" s="476">
        <f t="shared" si="947"/>
        <v>3.0278</v>
      </c>
      <c r="BC401" s="478">
        <f t="shared" si="947"/>
        <v>0</v>
      </c>
    </row>
    <row r="402" spans="1:55" ht="14.1" customHeight="1" x14ac:dyDescent="0.2">
      <c r="A402" s="68">
        <v>80</v>
      </c>
      <c r="B402" s="65">
        <v>2329</v>
      </c>
      <c r="C402" s="66">
        <v>691007331</v>
      </c>
      <c r="D402" s="65">
        <v>71294171</v>
      </c>
      <c r="E402" s="67" t="s">
        <v>797</v>
      </c>
      <c r="F402" s="68">
        <v>3114</v>
      </c>
      <c r="G402" s="80" t="s">
        <v>312</v>
      </c>
      <c r="H402" s="69" t="s">
        <v>278</v>
      </c>
      <c r="I402" s="477">
        <v>0</v>
      </c>
      <c r="J402" s="472">
        <v>0</v>
      </c>
      <c r="K402" s="472">
        <v>0</v>
      </c>
      <c r="L402" s="472">
        <v>0</v>
      </c>
      <c r="M402" s="472">
        <v>0</v>
      </c>
      <c r="N402" s="472">
        <v>0</v>
      </c>
      <c r="O402" s="473">
        <v>0</v>
      </c>
      <c r="P402" s="474">
        <v>0</v>
      </c>
      <c r="Q402" s="483">
        <v>0</v>
      </c>
      <c r="R402" s="485">
        <f t="shared" si="933"/>
        <v>0</v>
      </c>
      <c r="S402" s="475">
        <v>0</v>
      </c>
      <c r="T402" s="475">
        <v>0</v>
      </c>
      <c r="U402" s="475">
        <v>0</v>
      </c>
      <c r="V402" s="475">
        <v>0</v>
      </c>
      <c r="W402" s="475">
        <v>0</v>
      </c>
      <c r="X402" s="475">
        <f t="shared" si="934"/>
        <v>0</v>
      </c>
      <c r="Y402" s="475">
        <v>0</v>
      </c>
      <c r="Z402" s="475">
        <v>0</v>
      </c>
      <c r="AA402" s="475">
        <v>0</v>
      </c>
      <c r="AB402" s="475">
        <f t="shared" si="935"/>
        <v>0</v>
      </c>
      <c r="AC402" s="475">
        <f t="shared" si="936"/>
        <v>0</v>
      </c>
      <c r="AD402" s="70">
        <f t="shared" si="937"/>
        <v>0</v>
      </c>
      <c r="AE402" s="70">
        <f t="shared" si="938"/>
        <v>0</v>
      </c>
      <c r="AF402" s="475">
        <v>0</v>
      </c>
      <c r="AG402" s="475">
        <v>0</v>
      </c>
      <c r="AH402" s="475">
        <f t="shared" si="939"/>
        <v>0</v>
      </c>
      <c r="AI402" s="475">
        <f t="shared" si="940"/>
        <v>0</v>
      </c>
      <c r="AJ402" s="476">
        <v>0</v>
      </c>
      <c r="AK402" s="476">
        <v>0</v>
      </c>
      <c r="AL402" s="476">
        <v>0</v>
      </c>
      <c r="AM402" s="476">
        <v>0</v>
      </c>
      <c r="AN402" s="476">
        <v>0</v>
      </c>
      <c r="AO402" s="476">
        <v>0</v>
      </c>
      <c r="AP402" s="476">
        <v>0</v>
      </c>
      <c r="AQ402" s="476">
        <v>0</v>
      </c>
      <c r="AR402" s="476">
        <f t="shared" si="929"/>
        <v>0</v>
      </c>
      <c r="AS402" s="476">
        <f t="shared" si="930"/>
        <v>0</v>
      </c>
      <c r="AT402" s="478">
        <f t="shared" si="931"/>
        <v>0</v>
      </c>
      <c r="AU402" s="484">
        <f t="shared" si="941"/>
        <v>0</v>
      </c>
      <c r="AV402" s="475">
        <f t="shared" si="942"/>
        <v>0</v>
      </c>
      <c r="AW402" s="475">
        <f t="shared" si="943"/>
        <v>0</v>
      </c>
      <c r="AX402" s="475">
        <f t="shared" si="944"/>
        <v>0</v>
      </c>
      <c r="AY402" s="475">
        <f t="shared" si="944"/>
        <v>0</v>
      </c>
      <c r="AZ402" s="475">
        <f t="shared" si="945"/>
        <v>0</v>
      </c>
      <c r="BA402" s="476">
        <f t="shared" si="946"/>
        <v>0</v>
      </c>
      <c r="BB402" s="476">
        <f t="shared" si="947"/>
        <v>0</v>
      </c>
      <c r="BC402" s="478">
        <f t="shared" si="947"/>
        <v>0</v>
      </c>
    </row>
    <row r="403" spans="1:55" ht="14.1" customHeight="1" x14ac:dyDescent="0.2">
      <c r="A403" s="68">
        <v>80</v>
      </c>
      <c r="B403" s="65">
        <v>2329</v>
      </c>
      <c r="C403" s="66">
        <v>691007331</v>
      </c>
      <c r="D403" s="65">
        <v>71294171</v>
      </c>
      <c r="E403" s="67" t="s">
        <v>797</v>
      </c>
      <c r="F403" s="68">
        <v>3141</v>
      </c>
      <c r="G403" s="67" t="s">
        <v>315</v>
      </c>
      <c r="H403" s="69" t="s">
        <v>278</v>
      </c>
      <c r="I403" s="477">
        <v>97159</v>
      </c>
      <c r="J403" s="472">
        <v>70986</v>
      </c>
      <c r="K403" s="472">
        <v>0</v>
      </c>
      <c r="L403" s="472">
        <v>23993</v>
      </c>
      <c r="M403" s="472">
        <v>1420</v>
      </c>
      <c r="N403" s="472">
        <v>760</v>
      </c>
      <c r="O403" s="473">
        <v>0.22</v>
      </c>
      <c r="P403" s="474">
        <v>0</v>
      </c>
      <c r="Q403" s="483">
        <v>0.22</v>
      </c>
      <c r="R403" s="485">
        <f t="shared" si="933"/>
        <v>0</v>
      </c>
      <c r="S403" s="475">
        <v>0</v>
      </c>
      <c r="T403" s="755">
        <v>-4732</v>
      </c>
      <c r="U403" s="475">
        <v>0</v>
      </c>
      <c r="V403" s="475">
        <v>0</v>
      </c>
      <c r="W403" s="475">
        <v>0</v>
      </c>
      <c r="X403" s="475">
        <f t="shared" si="934"/>
        <v>-4732</v>
      </c>
      <c r="Y403" s="475">
        <v>0</v>
      </c>
      <c r="Z403" s="475">
        <v>0</v>
      </c>
      <c r="AA403" s="475">
        <v>0</v>
      </c>
      <c r="AB403" s="475">
        <f t="shared" si="935"/>
        <v>0</v>
      </c>
      <c r="AC403" s="475">
        <f t="shared" si="936"/>
        <v>-4732</v>
      </c>
      <c r="AD403" s="70">
        <f t="shared" si="937"/>
        <v>-1599</v>
      </c>
      <c r="AE403" s="70">
        <f t="shared" si="938"/>
        <v>-95</v>
      </c>
      <c r="AF403" s="475">
        <v>0</v>
      </c>
      <c r="AG403" s="475">
        <v>0</v>
      </c>
      <c r="AH403" s="475">
        <f t="shared" si="939"/>
        <v>0</v>
      </c>
      <c r="AI403" s="475">
        <f t="shared" si="940"/>
        <v>-6426</v>
      </c>
      <c r="AJ403" s="476">
        <v>0</v>
      </c>
      <c r="AK403" s="476">
        <v>0</v>
      </c>
      <c r="AL403" s="476">
        <v>0</v>
      </c>
      <c r="AM403" s="476">
        <v>0</v>
      </c>
      <c r="AN403" s="756">
        <v>-1.0000000000000009E-2</v>
      </c>
      <c r="AO403" s="476">
        <v>0</v>
      </c>
      <c r="AP403" s="476">
        <v>0</v>
      </c>
      <c r="AQ403" s="476">
        <v>0</v>
      </c>
      <c r="AR403" s="476">
        <f t="shared" si="929"/>
        <v>0</v>
      </c>
      <c r="AS403" s="476">
        <f t="shared" si="930"/>
        <v>-1.0000000000000009E-2</v>
      </c>
      <c r="AT403" s="478">
        <f t="shared" si="931"/>
        <v>-1.0000000000000009E-2</v>
      </c>
      <c r="AU403" s="484">
        <f t="shared" si="941"/>
        <v>90733</v>
      </c>
      <c r="AV403" s="475">
        <f t="shared" si="942"/>
        <v>66254</v>
      </c>
      <c r="AW403" s="475">
        <f t="shared" si="943"/>
        <v>0</v>
      </c>
      <c r="AX403" s="475">
        <f t="shared" si="944"/>
        <v>22394</v>
      </c>
      <c r="AY403" s="475">
        <f t="shared" si="944"/>
        <v>1325</v>
      </c>
      <c r="AZ403" s="475">
        <f t="shared" si="945"/>
        <v>760</v>
      </c>
      <c r="BA403" s="476">
        <f t="shared" si="946"/>
        <v>0.21</v>
      </c>
      <c r="BB403" s="476">
        <f t="shared" si="947"/>
        <v>0</v>
      </c>
      <c r="BC403" s="478">
        <f t="shared" si="947"/>
        <v>0.21</v>
      </c>
    </row>
    <row r="404" spans="1:55" ht="14.1" customHeight="1" x14ac:dyDescent="0.2">
      <c r="A404" s="68">
        <v>80</v>
      </c>
      <c r="B404" s="65">
        <v>2329</v>
      </c>
      <c r="C404" s="66">
        <v>691007331</v>
      </c>
      <c r="D404" s="65">
        <v>71294171</v>
      </c>
      <c r="E404" s="67" t="s">
        <v>797</v>
      </c>
      <c r="F404" s="68">
        <v>3143</v>
      </c>
      <c r="G404" s="80" t="s">
        <v>626</v>
      </c>
      <c r="H404" s="69" t="s">
        <v>277</v>
      </c>
      <c r="I404" s="477">
        <v>525643</v>
      </c>
      <c r="J404" s="472">
        <v>387072</v>
      </c>
      <c r="K404" s="472">
        <v>0</v>
      </c>
      <c r="L404" s="472">
        <v>130830</v>
      </c>
      <c r="M404" s="472">
        <v>7741</v>
      </c>
      <c r="N404" s="472">
        <v>0</v>
      </c>
      <c r="O404" s="473">
        <v>0.75</v>
      </c>
      <c r="P404" s="473">
        <v>0.75</v>
      </c>
      <c r="Q404" s="483">
        <v>0</v>
      </c>
      <c r="R404" s="485">
        <f t="shared" si="933"/>
        <v>0</v>
      </c>
      <c r="S404" s="475">
        <v>0</v>
      </c>
      <c r="T404" s="475">
        <v>0</v>
      </c>
      <c r="U404" s="475">
        <v>0</v>
      </c>
      <c r="V404" s="475">
        <v>0</v>
      </c>
      <c r="W404" s="475">
        <v>0</v>
      </c>
      <c r="X404" s="475">
        <f t="shared" si="934"/>
        <v>0</v>
      </c>
      <c r="Y404" s="475">
        <v>0</v>
      </c>
      <c r="Z404" s="475">
        <v>0</v>
      </c>
      <c r="AA404" s="475">
        <v>0</v>
      </c>
      <c r="AB404" s="475">
        <f t="shared" si="935"/>
        <v>0</v>
      </c>
      <c r="AC404" s="475">
        <f t="shared" si="936"/>
        <v>0</v>
      </c>
      <c r="AD404" s="70">
        <f t="shared" si="937"/>
        <v>0</v>
      </c>
      <c r="AE404" s="70">
        <f t="shared" si="938"/>
        <v>0</v>
      </c>
      <c r="AF404" s="475">
        <v>0</v>
      </c>
      <c r="AG404" s="475">
        <v>0</v>
      </c>
      <c r="AH404" s="475">
        <f t="shared" si="939"/>
        <v>0</v>
      </c>
      <c r="AI404" s="475">
        <f t="shared" si="940"/>
        <v>0</v>
      </c>
      <c r="AJ404" s="476">
        <v>0</v>
      </c>
      <c r="AK404" s="476">
        <v>0</v>
      </c>
      <c r="AL404" s="476">
        <v>0</v>
      </c>
      <c r="AM404" s="476">
        <v>0</v>
      </c>
      <c r="AN404" s="476">
        <v>0</v>
      </c>
      <c r="AO404" s="476">
        <v>0</v>
      </c>
      <c r="AP404" s="476">
        <v>0</v>
      </c>
      <c r="AQ404" s="476">
        <v>0</v>
      </c>
      <c r="AR404" s="476">
        <f t="shared" si="929"/>
        <v>0</v>
      </c>
      <c r="AS404" s="476">
        <f t="shared" si="930"/>
        <v>0</v>
      </c>
      <c r="AT404" s="478">
        <f t="shared" si="931"/>
        <v>0</v>
      </c>
      <c r="AU404" s="484">
        <f t="shared" si="941"/>
        <v>525643</v>
      </c>
      <c r="AV404" s="475">
        <f t="shared" si="942"/>
        <v>387072</v>
      </c>
      <c r="AW404" s="475">
        <f t="shared" si="943"/>
        <v>0</v>
      </c>
      <c r="AX404" s="475">
        <f t="shared" si="944"/>
        <v>130830</v>
      </c>
      <c r="AY404" s="475">
        <f t="shared" si="944"/>
        <v>7741</v>
      </c>
      <c r="AZ404" s="475">
        <f t="shared" si="945"/>
        <v>0</v>
      </c>
      <c r="BA404" s="476">
        <f t="shared" si="946"/>
        <v>0.75</v>
      </c>
      <c r="BB404" s="476">
        <f t="shared" si="947"/>
        <v>0.75</v>
      </c>
      <c r="BC404" s="478">
        <f t="shared" si="947"/>
        <v>0</v>
      </c>
    </row>
    <row r="405" spans="1:55" ht="14.1" customHeight="1" x14ac:dyDescent="0.2">
      <c r="A405" s="68">
        <v>80</v>
      </c>
      <c r="B405" s="65">
        <v>2329</v>
      </c>
      <c r="C405" s="66">
        <v>691007331</v>
      </c>
      <c r="D405" s="65">
        <v>71294171</v>
      </c>
      <c r="E405" s="67" t="s">
        <v>797</v>
      </c>
      <c r="F405" s="68">
        <v>3143</v>
      </c>
      <c r="G405" s="80" t="s">
        <v>627</v>
      </c>
      <c r="H405" s="69" t="s">
        <v>278</v>
      </c>
      <c r="I405" s="477">
        <v>10585</v>
      </c>
      <c r="J405" s="472">
        <v>7485</v>
      </c>
      <c r="K405" s="472">
        <v>0</v>
      </c>
      <c r="L405" s="472">
        <v>2530</v>
      </c>
      <c r="M405" s="472">
        <v>150</v>
      </c>
      <c r="N405" s="472">
        <v>420</v>
      </c>
      <c r="O405" s="473">
        <v>0.03</v>
      </c>
      <c r="P405" s="474">
        <v>0</v>
      </c>
      <c r="Q405" s="483">
        <v>0.03</v>
      </c>
      <c r="R405" s="485">
        <f t="shared" si="933"/>
        <v>0</v>
      </c>
      <c r="S405" s="475">
        <v>0</v>
      </c>
      <c r="T405" s="475">
        <v>0</v>
      </c>
      <c r="U405" s="475">
        <v>0</v>
      </c>
      <c r="V405" s="475">
        <v>0</v>
      </c>
      <c r="W405" s="475">
        <v>0</v>
      </c>
      <c r="X405" s="475">
        <f t="shared" si="934"/>
        <v>0</v>
      </c>
      <c r="Y405" s="475">
        <v>0</v>
      </c>
      <c r="Z405" s="475">
        <v>0</v>
      </c>
      <c r="AA405" s="475">
        <v>0</v>
      </c>
      <c r="AB405" s="475">
        <f t="shared" si="935"/>
        <v>0</v>
      </c>
      <c r="AC405" s="475">
        <f t="shared" si="936"/>
        <v>0</v>
      </c>
      <c r="AD405" s="70">
        <f t="shared" si="937"/>
        <v>0</v>
      </c>
      <c r="AE405" s="70">
        <f t="shared" si="938"/>
        <v>0</v>
      </c>
      <c r="AF405" s="475">
        <v>0</v>
      </c>
      <c r="AG405" s="475">
        <v>0</v>
      </c>
      <c r="AH405" s="475">
        <f t="shared" si="939"/>
        <v>0</v>
      </c>
      <c r="AI405" s="475">
        <f t="shared" si="940"/>
        <v>0</v>
      </c>
      <c r="AJ405" s="476">
        <v>0</v>
      </c>
      <c r="AK405" s="476">
        <v>0</v>
      </c>
      <c r="AL405" s="476">
        <v>0</v>
      </c>
      <c r="AM405" s="476">
        <v>0</v>
      </c>
      <c r="AN405" s="476">
        <v>0</v>
      </c>
      <c r="AO405" s="476">
        <v>0</v>
      </c>
      <c r="AP405" s="476">
        <v>0</v>
      </c>
      <c r="AQ405" s="476">
        <v>0</v>
      </c>
      <c r="AR405" s="476">
        <f t="shared" si="929"/>
        <v>0</v>
      </c>
      <c r="AS405" s="476">
        <f t="shared" si="930"/>
        <v>0</v>
      </c>
      <c r="AT405" s="478">
        <f t="shared" si="931"/>
        <v>0</v>
      </c>
      <c r="AU405" s="484">
        <f t="shared" si="941"/>
        <v>10585</v>
      </c>
      <c r="AV405" s="475">
        <f t="shared" si="942"/>
        <v>7485</v>
      </c>
      <c r="AW405" s="475">
        <f t="shared" si="943"/>
        <v>0</v>
      </c>
      <c r="AX405" s="475">
        <f t="shared" si="944"/>
        <v>2530</v>
      </c>
      <c r="AY405" s="475">
        <f t="shared" si="944"/>
        <v>150</v>
      </c>
      <c r="AZ405" s="475">
        <f t="shared" si="945"/>
        <v>420</v>
      </c>
      <c r="BA405" s="476">
        <f t="shared" si="946"/>
        <v>0.03</v>
      </c>
      <c r="BB405" s="476">
        <f t="shared" si="947"/>
        <v>0</v>
      </c>
      <c r="BC405" s="478">
        <f t="shared" si="947"/>
        <v>0.03</v>
      </c>
    </row>
    <row r="406" spans="1:55" ht="14.1" customHeight="1" x14ac:dyDescent="0.2">
      <c r="A406" s="74">
        <v>80</v>
      </c>
      <c r="B406" s="71">
        <v>2329</v>
      </c>
      <c r="C406" s="72">
        <v>691007331</v>
      </c>
      <c r="D406" s="71">
        <v>71294171</v>
      </c>
      <c r="E406" s="73" t="s">
        <v>821</v>
      </c>
      <c r="F406" s="74"/>
      <c r="G406" s="73"/>
      <c r="H406" s="75"/>
      <c r="I406" s="86">
        <v>9880532</v>
      </c>
      <c r="J406" s="87">
        <v>7100871</v>
      </c>
      <c r="K406" s="87">
        <v>90942</v>
      </c>
      <c r="L406" s="87">
        <v>2406281</v>
      </c>
      <c r="M406" s="87">
        <v>142018</v>
      </c>
      <c r="N406" s="87">
        <v>140420</v>
      </c>
      <c r="O406" s="88">
        <v>13.9407</v>
      </c>
      <c r="P406" s="88">
        <v>10.813000000000001</v>
      </c>
      <c r="Q406" s="720">
        <v>3.1276999999999999</v>
      </c>
      <c r="R406" s="86">
        <f t="shared" ref="R406:BC406" si="948">SUM(R400:R405)</f>
        <v>0</v>
      </c>
      <c r="S406" s="87">
        <f t="shared" si="948"/>
        <v>0</v>
      </c>
      <c r="T406" s="87">
        <f t="shared" si="948"/>
        <v>-4732</v>
      </c>
      <c r="U406" s="87">
        <f t="shared" si="948"/>
        <v>0</v>
      </c>
      <c r="V406" s="87">
        <f t="shared" si="948"/>
        <v>0</v>
      </c>
      <c r="W406" s="87">
        <f t="shared" si="948"/>
        <v>0</v>
      </c>
      <c r="X406" s="87">
        <f t="shared" si="948"/>
        <v>-4732</v>
      </c>
      <c r="Y406" s="87">
        <f t="shared" si="948"/>
        <v>0</v>
      </c>
      <c r="Z406" s="87">
        <f t="shared" si="948"/>
        <v>0</v>
      </c>
      <c r="AA406" s="87">
        <f t="shared" si="948"/>
        <v>0</v>
      </c>
      <c r="AB406" s="87">
        <f t="shared" si="948"/>
        <v>0</v>
      </c>
      <c r="AC406" s="87">
        <f t="shared" si="948"/>
        <v>-4732</v>
      </c>
      <c r="AD406" s="87">
        <f t="shared" si="948"/>
        <v>-1599</v>
      </c>
      <c r="AE406" s="87">
        <f t="shared" si="948"/>
        <v>-95</v>
      </c>
      <c r="AF406" s="87">
        <f t="shared" si="948"/>
        <v>0</v>
      </c>
      <c r="AG406" s="87">
        <f t="shared" si="948"/>
        <v>0</v>
      </c>
      <c r="AH406" s="87">
        <f t="shared" si="948"/>
        <v>0</v>
      </c>
      <c r="AI406" s="87">
        <f t="shared" si="948"/>
        <v>-6426</v>
      </c>
      <c r="AJ406" s="88">
        <f t="shared" si="948"/>
        <v>0</v>
      </c>
      <c r="AK406" s="88">
        <f t="shared" si="948"/>
        <v>0</v>
      </c>
      <c r="AL406" s="88">
        <f t="shared" si="948"/>
        <v>0</v>
      </c>
      <c r="AM406" s="88">
        <f t="shared" si="948"/>
        <v>0</v>
      </c>
      <c r="AN406" s="88">
        <f t="shared" si="948"/>
        <v>-1.0000000000000009E-2</v>
      </c>
      <c r="AO406" s="88">
        <f t="shared" si="948"/>
        <v>0</v>
      </c>
      <c r="AP406" s="88">
        <f t="shared" si="948"/>
        <v>0</v>
      </c>
      <c r="AQ406" s="88">
        <f t="shared" si="948"/>
        <v>0</v>
      </c>
      <c r="AR406" s="88">
        <f t="shared" si="948"/>
        <v>0</v>
      </c>
      <c r="AS406" s="88">
        <f t="shared" si="948"/>
        <v>-1.0000000000000009E-2</v>
      </c>
      <c r="AT406" s="89">
        <f t="shared" si="948"/>
        <v>-1.0000000000000009E-2</v>
      </c>
      <c r="AU406" s="435">
        <f t="shared" si="948"/>
        <v>9874106</v>
      </c>
      <c r="AV406" s="87">
        <f t="shared" si="948"/>
        <v>7096139</v>
      </c>
      <c r="AW406" s="87">
        <f t="shared" si="948"/>
        <v>90942</v>
      </c>
      <c r="AX406" s="87">
        <f t="shared" si="948"/>
        <v>2404682</v>
      </c>
      <c r="AY406" s="87">
        <f t="shared" si="948"/>
        <v>141923</v>
      </c>
      <c r="AZ406" s="87">
        <f t="shared" si="948"/>
        <v>140420</v>
      </c>
      <c r="BA406" s="88">
        <f t="shared" si="948"/>
        <v>13.9307</v>
      </c>
      <c r="BB406" s="88">
        <f t="shared" si="948"/>
        <v>10.813000000000001</v>
      </c>
      <c r="BC406" s="89">
        <f t="shared" si="948"/>
        <v>3.1176999999999997</v>
      </c>
    </row>
    <row r="407" spans="1:55" ht="14.1" customHeight="1" x14ac:dyDescent="0.2">
      <c r="A407" s="68">
        <v>81</v>
      </c>
      <c r="B407" s="65">
        <v>2406</v>
      </c>
      <c r="C407" s="66">
        <v>600079031</v>
      </c>
      <c r="D407" s="65">
        <v>70695091</v>
      </c>
      <c r="E407" s="67" t="s">
        <v>724</v>
      </c>
      <c r="F407" s="68">
        <v>3111</v>
      </c>
      <c r="G407" s="67" t="s">
        <v>311</v>
      </c>
      <c r="H407" s="69" t="s">
        <v>277</v>
      </c>
      <c r="I407" s="477">
        <v>3475640</v>
      </c>
      <c r="J407" s="643">
        <v>2545795</v>
      </c>
      <c r="K407" s="643">
        <v>0</v>
      </c>
      <c r="L407" s="472">
        <v>860479</v>
      </c>
      <c r="M407" s="472">
        <v>50916</v>
      </c>
      <c r="N407" s="472">
        <v>18450</v>
      </c>
      <c r="O407" s="473">
        <v>5.7897999999999996</v>
      </c>
      <c r="P407" s="473">
        <v>4</v>
      </c>
      <c r="Q407" s="483">
        <v>1.7898000000000001</v>
      </c>
      <c r="R407" s="485">
        <f t="shared" ref="R407:R409" si="949">Y407*-1</f>
        <v>0</v>
      </c>
      <c r="S407" s="475">
        <v>0</v>
      </c>
      <c r="T407" s="475">
        <v>0</v>
      </c>
      <c r="U407" s="475">
        <v>0</v>
      </c>
      <c r="V407" s="475">
        <v>0</v>
      </c>
      <c r="W407" s="475">
        <v>0</v>
      </c>
      <c r="X407" s="475">
        <f t="shared" ref="X407:X409" si="950">SUM(R407:W407)</f>
        <v>0</v>
      </c>
      <c r="Y407" s="475">
        <v>0</v>
      </c>
      <c r="Z407" s="475">
        <v>0</v>
      </c>
      <c r="AA407" s="475">
        <v>0</v>
      </c>
      <c r="AB407" s="475">
        <f t="shared" ref="AB407:AB409" si="951">SUM(Y407:AA407)</f>
        <v>0</v>
      </c>
      <c r="AC407" s="475">
        <f t="shared" ref="AC407:AC409" si="952">X407+AB407</f>
        <v>0</v>
      </c>
      <c r="AD407" s="70">
        <f t="shared" ref="AD407:AD409" si="953">ROUND((X407+Y407+Z407)*33.8%,0)</f>
        <v>0</v>
      </c>
      <c r="AE407" s="70">
        <f t="shared" ref="AE407:AE409" si="954">ROUND(X407*2%,0)</f>
        <v>0</v>
      </c>
      <c r="AF407" s="475">
        <v>0</v>
      </c>
      <c r="AG407" s="475">
        <v>0</v>
      </c>
      <c r="AH407" s="475">
        <f t="shared" ref="AH407:AH409" si="955">SUM(AF407:AG407)</f>
        <v>0</v>
      </c>
      <c r="AI407" s="475">
        <f t="shared" ref="AI407:AI409" si="956">AC407+AD407+AE407+AH407</f>
        <v>0</v>
      </c>
      <c r="AJ407" s="476">
        <v>0</v>
      </c>
      <c r="AK407" s="476">
        <v>0</v>
      </c>
      <c r="AL407" s="476">
        <v>0</v>
      </c>
      <c r="AM407" s="476">
        <v>0</v>
      </c>
      <c r="AN407" s="476">
        <v>0</v>
      </c>
      <c r="AO407" s="476">
        <v>0</v>
      </c>
      <c r="AP407" s="476">
        <v>0</v>
      </c>
      <c r="AQ407" s="476">
        <v>0</v>
      </c>
      <c r="AR407" s="476">
        <f t="shared" si="929"/>
        <v>0</v>
      </c>
      <c r="AS407" s="476">
        <f t="shared" si="930"/>
        <v>0</v>
      </c>
      <c r="AT407" s="478">
        <f t="shared" si="931"/>
        <v>0</v>
      </c>
      <c r="AU407" s="484">
        <f>I407+AI407</f>
        <v>3475640</v>
      </c>
      <c r="AV407" s="475">
        <f>J407+X407</f>
        <v>2545795</v>
      </c>
      <c r="AW407" s="475">
        <f>K407+AB407</f>
        <v>0</v>
      </c>
      <c r="AX407" s="475">
        <f t="shared" ref="AX407:AY409" si="957">L407+AD407</f>
        <v>860479</v>
      </c>
      <c r="AY407" s="475">
        <f t="shared" si="957"/>
        <v>50916</v>
      </c>
      <c r="AZ407" s="475">
        <f>N407+AH407</f>
        <v>18450</v>
      </c>
      <c r="BA407" s="476">
        <f>O407+AT407</f>
        <v>5.7897999999999996</v>
      </c>
      <c r="BB407" s="476">
        <f t="shared" ref="BB407:BC409" si="958">P407+AR407</f>
        <v>4</v>
      </c>
      <c r="BC407" s="478">
        <f t="shared" si="958"/>
        <v>1.7898000000000001</v>
      </c>
    </row>
    <row r="408" spans="1:55" ht="14.1" customHeight="1" x14ac:dyDescent="0.2">
      <c r="A408" s="68">
        <v>81</v>
      </c>
      <c r="B408" s="65">
        <v>2406</v>
      </c>
      <c r="C408" s="66">
        <v>600079031</v>
      </c>
      <c r="D408" s="65">
        <v>70695091</v>
      </c>
      <c r="E408" s="67" t="s">
        <v>724</v>
      </c>
      <c r="F408" s="68">
        <v>3111</v>
      </c>
      <c r="G408" s="67" t="s">
        <v>312</v>
      </c>
      <c r="H408" s="69" t="s">
        <v>278</v>
      </c>
      <c r="I408" s="477">
        <v>117618</v>
      </c>
      <c r="J408" s="643">
        <v>86611</v>
      </c>
      <c r="K408" s="643">
        <v>0</v>
      </c>
      <c r="L408" s="472">
        <v>29275</v>
      </c>
      <c r="M408" s="472">
        <v>1732</v>
      </c>
      <c r="N408" s="472">
        <v>0</v>
      </c>
      <c r="O408" s="473">
        <v>0.25</v>
      </c>
      <c r="P408" s="473">
        <v>0.25</v>
      </c>
      <c r="Q408" s="483">
        <v>0</v>
      </c>
      <c r="R408" s="485">
        <f t="shared" si="949"/>
        <v>0</v>
      </c>
      <c r="S408" s="475">
        <v>0</v>
      </c>
      <c r="T408" s="475">
        <v>0</v>
      </c>
      <c r="U408" s="475">
        <v>0</v>
      </c>
      <c r="V408" s="475">
        <v>0</v>
      </c>
      <c r="W408" s="475">
        <v>0</v>
      </c>
      <c r="X408" s="475">
        <f t="shared" si="950"/>
        <v>0</v>
      </c>
      <c r="Y408" s="475">
        <v>0</v>
      </c>
      <c r="Z408" s="475">
        <v>0</v>
      </c>
      <c r="AA408" s="475">
        <v>0</v>
      </c>
      <c r="AB408" s="475">
        <f t="shared" si="951"/>
        <v>0</v>
      </c>
      <c r="AC408" s="475">
        <f t="shared" si="952"/>
        <v>0</v>
      </c>
      <c r="AD408" s="70">
        <f t="shared" si="953"/>
        <v>0</v>
      </c>
      <c r="AE408" s="70">
        <f t="shared" si="954"/>
        <v>0</v>
      </c>
      <c r="AF408" s="475">
        <v>0</v>
      </c>
      <c r="AG408" s="475">
        <v>0</v>
      </c>
      <c r="AH408" s="475">
        <f t="shared" si="955"/>
        <v>0</v>
      </c>
      <c r="AI408" s="475">
        <f t="shared" si="956"/>
        <v>0</v>
      </c>
      <c r="AJ408" s="476">
        <v>0</v>
      </c>
      <c r="AK408" s="476">
        <v>0</v>
      </c>
      <c r="AL408" s="476">
        <v>0</v>
      </c>
      <c r="AM408" s="476">
        <v>0</v>
      </c>
      <c r="AN408" s="476">
        <v>0</v>
      </c>
      <c r="AO408" s="476">
        <v>0</v>
      </c>
      <c r="AP408" s="476">
        <v>0</v>
      </c>
      <c r="AQ408" s="476">
        <v>0</v>
      </c>
      <c r="AR408" s="476">
        <f t="shared" si="929"/>
        <v>0</v>
      </c>
      <c r="AS408" s="476">
        <f t="shared" si="930"/>
        <v>0</v>
      </c>
      <c r="AT408" s="478">
        <f t="shared" si="931"/>
        <v>0</v>
      </c>
      <c r="AU408" s="484">
        <f>I408+AI408</f>
        <v>117618</v>
      </c>
      <c r="AV408" s="475">
        <f>J408+X408</f>
        <v>86611</v>
      </c>
      <c r="AW408" s="475">
        <f>K408+AB408</f>
        <v>0</v>
      </c>
      <c r="AX408" s="475">
        <f t="shared" si="957"/>
        <v>29275</v>
      </c>
      <c r="AY408" s="475">
        <f t="shared" si="957"/>
        <v>1732</v>
      </c>
      <c r="AZ408" s="475">
        <f>N408+AH408</f>
        <v>0</v>
      </c>
      <c r="BA408" s="476">
        <f>O408+AT408</f>
        <v>0.25</v>
      </c>
      <c r="BB408" s="476">
        <f t="shared" si="958"/>
        <v>0.25</v>
      </c>
      <c r="BC408" s="478">
        <f t="shared" si="958"/>
        <v>0</v>
      </c>
    </row>
    <row r="409" spans="1:55" ht="14.1" customHeight="1" x14ac:dyDescent="0.2">
      <c r="A409" s="68">
        <v>81</v>
      </c>
      <c r="B409" s="65">
        <v>2406</v>
      </c>
      <c r="C409" s="66">
        <v>600079031</v>
      </c>
      <c r="D409" s="65">
        <v>70695091</v>
      </c>
      <c r="E409" s="67" t="s">
        <v>724</v>
      </c>
      <c r="F409" s="68">
        <v>3141</v>
      </c>
      <c r="G409" s="67" t="s">
        <v>315</v>
      </c>
      <c r="H409" s="69" t="s">
        <v>278</v>
      </c>
      <c r="I409" s="477">
        <v>404755</v>
      </c>
      <c r="J409" s="472">
        <v>297027</v>
      </c>
      <c r="K409" s="472">
        <v>0</v>
      </c>
      <c r="L409" s="472">
        <v>100395</v>
      </c>
      <c r="M409" s="472">
        <v>5941</v>
      </c>
      <c r="N409" s="472">
        <v>1392</v>
      </c>
      <c r="O409" s="473">
        <v>0.94</v>
      </c>
      <c r="P409" s="474">
        <v>0</v>
      </c>
      <c r="Q409" s="483">
        <v>0.94</v>
      </c>
      <c r="R409" s="485">
        <f t="shared" si="949"/>
        <v>0</v>
      </c>
      <c r="S409" s="475">
        <v>0</v>
      </c>
      <c r="T409" s="755">
        <v>3142</v>
      </c>
      <c r="U409" s="475">
        <v>0</v>
      </c>
      <c r="V409" s="475">
        <v>0</v>
      </c>
      <c r="W409" s="475">
        <v>0</v>
      </c>
      <c r="X409" s="475">
        <f t="shared" si="950"/>
        <v>3142</v>
      </c>
      <c r="Y409" s="475">
        <v>0</v>
      </c>
      <c r="Z409" s="475">
        <v>0</v>
      </c>
      <c r="AA409" s="475">
        <v>0</v>
      </c>
      <c r="AB409" s="475">
        <f t="shared" si="951"/>
        <v>0</v>
      </c>
      <c r="AC409" s="475">
        <f t="shared" si="952"/>
        <v>3142</v>
      </c>
      <c r="AD409" s="70">
        <f t="shared" si="953"/>
        <v>1062</v>
      </c>
      <c r="AE409" s="70">
        <f t="shared" si="954"/>
        <v>63</v>
      </c>
      <c r="AF409" s="475">
        <v>0</v>
      </c>
      <c r="AG409" s="475">
        <v>0</v>
      </c>
      <c r="AH409" s="475">
        <f t="shared" si="955"/>
        <v>0</v>
      </c>
      <c r="AI409" s="475">
        <f t="shared" si="956"/>
        <v>4267</v>
      </c>
      <c r="AJ409" s="476">
        <v>0</v>
      </c>
      <c r="AK409" s="476">
        <v>0</v>
      </c>
      <c r="AL409" s="476">
        <v>0</v>
      </c>
      <c r="AM409" s="476">
        <v>0</v>
      </c>
      <c r="AN409" s="756">
        <v>1.0000000000000009E-2</v>
      </c>
      <c r="AO409" s="476">
        <v>0</v>
      </c>
      <c r="AP409" s="476">
        <v>0</v>
      </c>
      <c r="AQ409" s="476">
        <v>0</v>
      </c>
      <c r="AR409" s="476">
        <f t="shared" si="929"/>
        <v>0</v>
      </c>
      <c r="AS409" s="476">
        <f t="shared" si="930"/>
        <v>1.0000000000000009E-2</v>
      </c>
      <c r="AT409" s="478">
        <f t="shared" si="931"/>
        <v>1.0000000000000009E-2</v>
      </c>
      <c r="AU409" s="484">
        <f>I409+AI409</f>
        <v>409022</v>
      </c>
      <c r="AV409" s="475">
        <f>J409+X409</f>
        <v>300169</v>
      </c>
      <c r="AW409" s="475">
        <f>K409+AB409</f>
        <v>0</v>
      </c>
      <c r="AX409" s="475">
        <f t="shared" si="957"/>
        <v>101457</v>
      </c>
      <c r="AY409" s="475">
        <f t="shared" si="957"/>
        <v>6004</v>
      </c>
      <c r="AZ409" s="475">
        <f>N409+AH409</f>
        <v>1392</v>
      </c>
      <c r="BA409" s="476">
        <f>O409+AT409</f>
        <v>0.95</v>
      </c>
      <c r="BB409" s="476">
        <f t="shared" si="958"/>
        <v>0</v>
      </c>
      <c r="BC409" s="478">
        <f t="shared" si="958"/>
        <v>0.95</v>
      </c>
    </row>
    <row r="410" spans="1:55" ht="14.1" customHeight="1" x14ac:dyDescent="0.2">
      <c r="A410" s="74">
        <v>81</v>
      </c>
      <c r="B410" s="71">
        <v>2406</v>
      </c>
      <c r="C410" s="72">
        <v>600079031</v>
      </c>
      <c r="D410" s="71">
        <v>70695091</v>
      </c>
      <c r="E410" s="73" t="s">
        <v>725</v>
      </c>
      <c r="F410" s="74"/>
      <c r="G410" s="73"/>
      <c r="H410" s="75"/>
      <c r="I410" s="76">
        <v>3998013</v>
      </c>
      <c r="J410" s="77">
        <v>2929433</v>
      </c>
      <c r="K410" s="77">
        <v>0</v>
      </c>
      <c r="L410" s="77">
        <v>990149</v>
      </c>
      <c r="M410" s="77">
        <v>58589</v>
      </c>
      <c r="N410" s="77">
        <v>19842</v>
      </c>
      <c r="O410" s="78">
        <v>6.9797999999999991</v>
      </c>
      <c r="P410" s="78">
        <v>4.25</v>
      </c>
      <c r="Q410" s="718">
        <v>2.7298</v>
      </c>
      <c r="R410" s="76">
        <f t="shared" ref="R410:BC410" si="959">SUM(R407:R409)</f>
        <v>0</v>
      </c>
      <c r="S410" s="77">
        <f t="shared" si="959"/>
        <v>0</v>
      </c>
      <c r="T410" s="77">
        <f t="shared" si="959"/>
        <v>3142</v>
      </c>
      <c r="U410" s="77">
        <f t="shared" si="959"/>
        <v>0</v>
      </c>
      <c r="V410" s="77">
        <f t="shared" si="959"/>
        <v>0</v>
      </c>
      <c r="W410" s="77">
        <f t="shared" si="959"/>
        <v>0</v>
      </c>
      <c r="X410" s="77">
        <f t="shared" si="959"/>
        <v>3142</v>
      </c>
      <c r="Y410" s="77">
        <f t="shared" si="959"/>
        <v>0</v>
      </c>
      <c r="Z410" s="77">
        <f t="shared" si="959"/>
        <v>0</v>
      </c>
      <c r="AA410" s="77">
        <f t="shared" si="959"/>
        <v>0</v>
      </c>
      <c r="AB410" s="77">
        <f t="shared" si="959"/>
        <v>0</v>
      </c>
      <c r="AC410" s="77">
        <f t="shared" si="959"/>
        <v>3142</v>
      </c>
      <c r="AD410" s="77">
        <f t="shared" si="959"/>
        <v>1062</v>
      </c>
      <c r="AE410" s="77">
        <f t="shared" si="959"/>
        <v>63</v>
      </c>
      <c r="AF410" s="77">
        <f t="shared" si="959"/>
        <v>0</v>
      </c>
      <c r="AG410" s="77">
        <f t="shared" si="959"/>
        <v>0</v>
      </c>
      <c r="AH410" s="77">
        <f t="shared" si="959"/>
        <v>0</v>
      </c>
      <c r="AI410" s="77">
        <f t="shared" si="959"/>
        <v>4267</v>
      </c>
      <c r="AJ410" s="78">
        <f t="shared" si="959"/>
        <v>0</v>
      </c>
      <c r="AK410" s="78">
        <f t="shared" si="959"/>
        <v>0</v>
      </c>
      <c r="AL410" s="78">
        <f t="shared" si="959"/>
        <v>0</v>
      </c>
      <c r="AM410" s="78">
        <f t="shared" si="959"/>
        <v>0</v>
      </c>
      <c r="AN410" s="78">
        <f t="shared" si="959"/>
        <v>1.0000000000000009E-2</v>
      </c>
      <c r="AO410" s="78">
        <f t="shared" si="959"/>
        <v>0</v>
      </c>
      <c r="AP410" s="78">
        <f t="shared" si="959"/>
        <v>0</v>
      </c>
      <c r="AQ410" s="78">
        <f t="shared" si="959"/>
        <v>0</v>
      </c>
      <c r="AR410" s="78">
        <f t="shared" si="959"/>
        <v>0</v>
      </c>
      <c r="AS410" s="78">
        <f t="shared" si="959"/>
        <v>1.0000000000000009E-2</v>
      </c>
      <c r="AT410" s="79">
        <f t="shared" si="959"/>
        <v>1.0000000000000009E-2</v>
      </c>
      <c r="AU410" s="433">
        <f t="shared" si="959"/>
        <v>4002280</v>
      </c>
      <c r="AV410" s="77">
        <f t="shared" si="959"/>
        <v>2932575</v>
      </c>
      <c r="AW410" s="77">
        <f t="shared" si="959"/>
        <v>0</v>
      </c>
      <c r="AX410" s="77">
        <f t="shared" si="959"/>
        <v>991211</v>
      </c>
      <c r="AY410" s="77">
        <f t="shared" si="959"/>
        <v>58652</v>
      </c>
      <c r="AZ410" s="77">
        <f t="shared" si="959"/>
        <v>19842</v>
      </c>
      <c r="BA410" s="78">
        <f t="shared" si="959"/>
        <v>6.9897999999999998</v>
      </c>
      <c r="BB410" s="78">
        <f t="shared" si="959"/>
        <v>4.25</v>
      </c>
      <c r="BC410" s="79">
        <f t="shared" si="959"/>
        <v>2.7397999999999998</v>
      </c>
    </row>
    <row r="411" spans="1:55" ht="14.1" customHeight="1" x14ac:dyDescent="0.2">
      <c r="A411" s="68">
        <v>82</v>
      </c>
      <c r="B411" s="65">
        <v>2466</v>
      </c>
      <c r="C411" s="66">
        <v>600079821</v>
      </c>
      <c r="D411" s="65">
        <v>70695083</v>
      </c>
      <c r="E411" s="67" t="s">
        <v>726</v>
      </c>
      <c r="F411" s="68">
        <v>3113</v>
      </c>
      <c r="G411" s="67" t="s">
        <v>314</v>
      </c>
      <c r="H411" s="69" t="s">
        <v>277</v>
      </c>
      <c r="I411" s="477">
        <v>8232059</v>
      </c>
      <c r="J411" s="472">
        <v>5874374</v>
      </c>
      <c r="K411" s="472">
        <v>100000</v>
      </c>
      <c r="L411" s="472">
        <v>2019338</v>
      </c>
      <c r="M411" s="472">
        <v>117487</v>
      </c>
      <c r="N411" s="472">
        <v>120860</v>
      </c>
      <c r="O411" s="473">
        <v>12.247</v>
      </c>
      <c r="P411" s="473">
        <v>9.4545999999999992</v>
      </c>
      <c r="Q411" s="483">
        <v>2.7923999999999998</v>
      </c>
      <c r="R411" s="485">
        <f t="shared" ref="R411:R415" si="960">Y411*-1</f>
        <v>0</v>
      </c>
      <c r="S411" s="475">
        <v>0</v>
      </c>
      <c r="T411" s="475">
        <v>0</v>
      </c>
      <c r="U411" s="475">
        <v>0</v>
      </c>
      <c r="V411" s="475">
        <v>0</v>
      </c>
      <c r="W411" s="475">
        <v>0</v>
      </c>
      <c r="X411" s="475">
        <f t="shared" ref="X411:X415" si="961">SUM(R411:W411)</f>
        <v>0</v>
      </c>
      <c r="Y411" s="475">
        <v>0</v>
      </c>
      <c r="Z411" s="475">
        <v>0</v>
      </c>
      <c r="AA411" s="475">
        <v>0</v>
      </c>
      <c r="AB411" s="475">
        <f t="shared" ref="AB411:AB415" si="962">SUM(Y411:AA411)</f>
        <v>0</v>
      </c>
      <c r="AC411" s="475">
        <f t="shared" ref="AC411:AC415" si="963">X411+AB411</f>
        <v>0</v>
      </c>
      <c r="AD411" s="70">
        <f t="shared" ref="AD411:AD415" si="964">ROUND((X411+Y411+Z411)*33.8%,0)</f>
        <v>0</v>
      </c>
      <c r="AE411" s="70">
        <f t="shared" ref="AE411:AE415" si="965">ROUND(X411*2%,0)</f>
        <v>0</v>
      </c>
      <c r="AF411" s="475">
        <v>0</v>
      </c>
      <c r="AG411" s="475">
        <v>0</v>
      </c>
      <c r="AH411" s="475">
        <f t="shared" ref="AH411:AH415" si="966">SUM(AF411:AG411)</f>
        <v>0</v>
      </c>
      <c r="AI411" s="475">
        <f t="shared" ref="AI411:AI415" si="967">AC411+AD411+AE411+AH411</f>
        <v>0</v>
      </c>
      <c r="AJ411" s="476">
        <v>0</v>
      </c>
      <c r="AK411" s="476">
        <v>0</v>
      </c>
      <c r="AL411" s="476">
        <v>0</v>
      </c>
      <c r="AM411" s="476">
        <v>0</v>
      </c>
      <c r="AN411" s="476">
        <v>0</v>
      </c>
      <c r="AO411" s="476">
        <v>0</v>
      </c>
      <c r="AP411" s="476">
        <v>0</v>
      </c>
      <c r="AQ411" s="476">
        <v>0</v>
      </c>
      <c r="AR411" s="476">
        <f t="shared" si="929"/>
        <v>0</v>
      </c>
      <c r="AS411" s="476">
        <f t="shared" si="930"/>
        <v>0</v>
      </c>
      <c r="AT411" s="478">
        <f t="shared" si="931"/>
        <v>0</v>
      </c>
      <c r="AU411" s="484">
        <f>I411+AI411</f>
        <v>8232059</v>
      </c>
      <c r="AV411" s="475">
        <f>J411+X411</f>
        <v>5874374</v>
      </c>
      <c r="AW411" s="475">
        <f>K411+AB411</f>
        <v>100000</v>
      </c>
      <c r="AX411" s="475">
        <f t="shared" ref="AX411:AY415" si="968">L411+AD411</f>
        <v>2019338</v>
      </c>
      <c r="AY411" s="475">
        <f t="shared" si="968"/>
        <v>117487</v>
      </c>
      <c r="AZ411" s="475">
        <f>N411+AH411</f>
        <v>120860</v>
      </c>
      <c r="BA411" s="476">
        <f>O411+AT411</f>
        <v>12.247</v>
      </c>
      <c r="BB411" s="476">
        <f t="shared" ref="BB411:BC415" si="969">P411+AR411</f>
        <v>9.4545999999999992</v>
      </c>
      <c r="BC411" s="478">
        <f t="shared" si="969"/>
        <v>2.7923999999999998</v>
      </c>
    </row>
    <row r="412" spans="1:55" ht="14.1" customHeight="1" x14ac:dyDescent="0.2">
      <c r="A412" s="68">
        <v>82</v>
      </c>
      <c r="B412" s="65">
        <v>2466</v>
      </c>
      <c r="C412" s="66">
        <v>600079821</v>
      </c>
      <c r="D412" s="65">
        <v>70695083</v>
      </c>
      <c r="E412" s="67" t="s">
        <v>726</v>
      </c>
      <c r="F412" s="68">
        <v>3113</v>
      </c>
      <c r="G412" s="80" t="s">
        <v>312</v>
      </c>
      <c r="H412" s="69" t="s">
        <v>278</v>
      </c>
      <c r="I412" s="477">
        <v>1499930</v>
      </c>
      <c r="J412" s="472">
        <v>1102674</v>
      </c>
      <c r="K412" s="472">
        <v>0</v>
      </c>
      <c r="L412" s="472">
        <v>372703</v>
      </c>
      <c r="M412" s="472">
        <v>22053</v>
      </c>
      <c r="N412" s="472">
        <v>2500</v>
      </c>
      <c r="O412" s="473">
        <v>3.31</v>
      </c>
      <c r="P412" s="474">
        <v>3.31</v>
      </c>
      <c r="Q412" s="483">
        <v>0</v>
      </c>
      <c r="R412" s="485">
        <f t="shared" si="960"/>
        <v>0</v>
      </c>
      <c r="S412" s="475">
        <v>16340</v>
      </c>
      <c r="T412" s="475">
        <v>0</v>
      </c>
      <c r="U412" s="475">
        <v>0</v>
      </c>
      <c r="V412" s="475">
        <v>0</v>
      </c>
      <c r="W412" s="475">
        <v>0</v>
      </c>
      <c r="X412" s="475">
        <f t="shared" si="961"/>
        <v>16340</v>
      </c>
      <c r="Y412" s="475">
        <v>0</v>
      </c>
      <c r="Z412" s="475">
        <v>0</v>
      </c>
      <c r="AA412" s="475">
        <v>0</v>
      </c>
      <c r="AB412" s="475">
        <f t="shared" si="962"/>
        <v>0</v>
      </c>
      <c r="AC412" s="475">
        <f t="shared" si="963"/>
        <v>16340</v>
      </c>
      <c r="AD412" s="70">
        <f t="shared" si="964"/>
        <v>5523</v>
      </c>
      <c r="AE412" s="70">
        <f t="shared" si="965"/>
        <v>327</v>
      </c>
      <c r="AF412" s="475">
        <v>0</v>
      </c>
      <c r="AG412" s="475">
        <v>0</v>
      </c>
      <c r="AH412" s="475">
        <f t="shared" si="966"/>
        <v>0</v>
      </c>
      <c r="AI412" s="475">
        <f t="shared" si="967"/>
        <v>22190</v>
      </c>
      <c r="AJ412" s="476">
        <v>0</v>
      </c>
      <c r="AK412" s="476">
        <v>0</v>
      </c>
      <c r="AL412" s="476">
        <v>0.1</v>
      </c>
      <c r="AM412" s="476">
        <v>0</v>
      </c>
      <c r="AN412" s="476">
        <v>0</v>
      </c>
      <c r="AO412" s="476">
        <v>0</v>
      </c>
      <c r="AP412" s="476">
        <v>0</v>
      </c>
      <c r="AQ412" s="476">
        <v>0</v>
      </c>
      <c r="AR412" s="476">
        <f t="shared" si="929"/>
        <v>0.1</v>
      </c>
      <c r="AS412" s="476">
        <f t="shared" si="930"/>
        <v>0</v>
      </c>
      <c r="AT412" s="478">
        <f t="shared" si="931"/>
        <v>0.1</v>
      </c>
      <c r="AU412" s="484">
        <f>I412+AI412</f>
        <v>1522120</v>
      </c>
      <c r="AV412" s="475">
        <f>J412+X412</f>
        <v>1119014</v>
      </c>
      <c r="AW412" s="475">
        <f>K412+AB412</f>
        <v>0</v>
      </c>
      <c r="AX412" s="475">
        <f t="shared" si="968"/>
        <v>378226</v>
      </c>
      <c r="AY412" s="475">
        <f t="shared" si="968"/>
        <v>22380</v>
      </c>
      <c r="AZ412" s="475">
        <f>N412+AH412</f>
        <v>2500</v>
      </c>
      <c r="BA412" s="476">
        <f>O412+AT412</f>
        <v>3.41</v>
      </c>
      <c r="BB412" s="476">
        <f t="shared" si="969"/>
        <v>3.41</v>
      </c>
      <c r="BC412" s="478">
        <f t="shared" si="969"/>
        <v>0</v>
      </c>
    </row>
    <row r="413" spans="1:55" ht="14.1" customHeight="1" x14ac:dyDescent="0.2">
      <c r="A413" s="68">
        <v>82</v>
      </c>
      <c r="B413" s="65">
        <v>2466</v>
      </c>
      <c r="C413" s="66">
        <v>600079821</v>
      </c>
      <c r="D413" s="65">
        <v>70695083</v>
      </c>
      <c r="E413" s="67" t="s">
        <v>726</v>
      </c>
      <c r="F413" s="68">
        <v>3141</v>
      </c>
      <c r="G413" s="67" t="s">
        <v>315</v>
      </c>
      <c r="H413" s="69" t="s">
        <v>278</v>
      </c>
      <c r="I413" s="477">
        <v>1053897</v>
      </c>
      <c r="J413" s="472">
        <v>772051</v>
      </c>
      <c r="K413" s="472">
        <v>0</v>
      </c>
      <c r="L413" s="472">
        <v>260953</v>
      </c>
      <c r="M413" s="472">
        <v>15441</v>
      </c>
      <c r="N413" s="472">
        <v>5452</v>
      </c>
      <c r="O413" s="473">
        <v>2.4300000000000002</v>
      </c>
      <c r="P413" s="474">
        <v>0</v>
      </c>
      <c r="Q413" s="483">
        <v>2.4300000000000002</v>
      </c>
      <c r="R413" s="485">
        <f t="shared" si="960"/>
        <v>0</v>
      </c>
      <c r="S413" s="475">
        <v>0</v>
      </c>
      <c r="T413" s="755">
        <v>-10663</v>
      </c>
      <c r="U413" s="475">
        <v>0</v>
      </c>
      <c r="V413" s="475">
        <v>0</v>
      </c>
      <c r="W413" s="475">
        <v>0</v>
      </c>
      <c r="X413" s="475">
        <f t="shared" si="961"/>
        <v>-10663</v>
      </c>
      <c r="Y413" s="475">
        <v>0</v>
      </c>
      <c r="Z413" s="475">
        <v>0</v>
      </c>
      <c r="AA413" s="475">
        <v>0</v>
      </c>
      <c r="AB413" s="475">
        <f t="shared" si="962"/>
        <v>0</v>
      </c>
      <c r="AC413" s="475">
        <f t="shared" si="963"/>
        <v>-10663</v>
      </c>
      <c r="AD413" s="70">
        <f t="shared" si="964"/>
        <v>-3604</v>
      </c>
      <c r="AE413" s="70">
        <f t="shared" si="965"/>
        <v>-213</v>
      </c>
      <c r="AF413" s="475">
        <v>0</v>
      </c>
      <c r="AG413" s="475">
        <v>0</v>
      </c>
      <c r="AH413" s="475">
        <f t="shared" si="966"/>
        <v>0</v>
      </c>
      <c r="AI413" s="475">
        <f t="shared" si="967"/>
        <v>-14480</v>
      </c>
      <c r="AJ413" s="476">
        <v>0</v>
      </c>
      <c r="AK413" s="476">
        <v>0</v>
      </c>
      <c r="AL413" s="476">
        <v>0</v>
      </c>
      <c r="AM413" s="476">
        <v>0</v>
      </c>
      <c r="AN413" s="756">
        <v>-3.0000000000000027E-2</v>
      </c>
      <c r="AO413" s="476">
        <v>0</v>
      </c>
      <c r="AP413" s="476">
        <v>0</v>
      </c>
      <c r="AQ413" s="476">
        <v>0</v>
      </c>
      <c r="AR413" s="476">
        <f t="shared" si="929"/>
        <v>0</v>
      </c>
      <c r="AS413" s="476">
        <f t="shared" si="930"/>
        <v>-3.0000000000000027E-2</v>
      </c>
      <c r="AT413" s="478">
        <f t="shared" si="931"/>
        <v>-3.0000000000000027E-2</v>
      </c>
      <c r="AU413" s="484">
        <f>I413+AI413</f>
        <v>1039417</v>
      </c>
      <c r="AV413" s="475">
        <f>J413+X413</f>
        <v>761388</v>
      </c>
      <c r="AW413" s="475">
        <f>K413+AB413</f>
        <v>0</v>
      </c>
      <c r="AX413" s="475">
        <f t="shared" si="968"/>
        <v>257349</v>
      </c>
      <c r="AY413" s="475">
        <f t="shared" si="968"/>
        <v>15228</v>
      </c>
      <c r="AZ413" s="475">
        <f>N413+AH413</f>
        <v>5452</v>
      </c>
      <c r="BA413" s="476">
        <f>O413+AT413</f>
        <v>2.4000000000000004</v>
      </c>
      <c r="BB413" s="476">
        <f t="shared" si="969"/>
        <v>0</v>
      </c>
      <c r="BC413" s="478">
        <f t="shared" si="969"/>
        <v>2.4000000000000004</v>
      </c>
    </row>
    <row r="414" spans="1:55" ht="14.1" customHeight="1" x14ac:dyDescent="0.2">
      <c r="A414" s="68">
        <v>82</v>
      </c>
      <c r="B414" s="65">
        <v>2466</v>
      </c>
      <c r="C414" s="66">
        <v>600079821</v>
      </c>
      <c r="D414" s="65">
        <v>70695083</v>
      </c>
      <c r="E414" s="67" t="s">
        <v>726</v>
      </c>
      <c r="F414" s="68">
        <v>3143</v>
      </c>
      <c r="G414" s="80" t="s">
        <v>626</v>
      </c>
      <c r="H414" s="69" t="s">
        <v>277</v>
      </c>
      <c r="I414" s="477">
        <v>783360</v>
      </c>
      <c r="J414" s="472">
        <v>576848</v>
      </c>
      <c r="K414" s="472">
        <v>0</v>
      </c>
      <c r="L414" s="472">
        <v>194975</v>
      </c>
      <c r="M414" s="472">
        <v>11537</v>
      </c>
      <c r="N414" s="472">
        <v>0</v>
      </c>
      <c r="O414" s="473">
        <v>1.1606000000000001</v>
      </c>
      <c r="P414" s="473">
        <v>1.1606000000000001</v>
      </c>
      <c r="Q414" s="483">
        <v>0</v>
      </c>
      <c r="R414" s="485">
        <f t="shared" si="960"/>
        <v>0</v>
      </c>
      <c r="S414" s="475">
        <v>0</v>
      </c>
      <c r="T414" s="475">
        <v>0</v>
      </c>
      <c r="U414" s="475">
        <v>0</v>
      </c>
      <c r="V414" s="475">
        <v>0</v>
      </c>
      <c r="W414" s="475">
        <v>0</v>
      </c>
      <c r="X414" s="475">
        <f t="shared" si="961"/>
        <v>0</v>
      </c>
      <c r="Y414" s="475">
        <v>0</v>
      </c>
      <c r="Z414" s="475">
        <v>0</v>
      </c>
      <c r="AA414" s="475">
        <v>0</v>
      </c>
      <c r="AB414" s="475">
        <f t="shared" si="962"/>
        <v>0</v>
      </c>
      <c r="AC414" s="475">
        <f t="shared" si="963"/>
        <v>0</v>
      </c>
      <c r="AD414" s="70">
        <f t="shared" si="964"/>
        <v>0</v>
      </c>
      <c r="AE414" s="70">
        <f t="shared" si="965"/>
        <v>0</v>
      </c>
      <c r="AF414" s="475">
        <v>0</v>
      </c>
      <c r="AG414" s="475">
        <v>0</v>
      </c>
      <c r="AH414" s="475">
        <f t="shared" si="966"/>
        <v>0</v>
      </c>
      <c r="AI414" s="475">
        <f t="shared" si="967"/>
        <v>0</v>
      </c>
      <c r="AJ414" s="476">
        <v>0</v>
      </c>
      <c r="AK414" s="476">
        <v>0</v>
      </c>
      <c r="AL414" s="476">
        <v>0</v>
      </c>
      <c r="AM414" s="476">
        <v>0</v>
      </c>
      <c r="AN414" s="476">
        <v>0</v>
      </c>
      <c r="AO414" s="476">
        <v>0</v>
      </c>
      <c r="AP414" s="476">
        <v>0</v>
      </c>
      <c r="AQ414" s="476">
        <v>0</v>
      </c>
      <c r="AR414" s="476">
        <f t="shared" si="929"/>
        <v>0</v>
      </c>
      <c r="AS414" s="476">
        <f t="shared" si="930"/>
        <v>0</v>
      </c>
      <c r="AT414" s="478">
        <f t="shared" si="931"/>
        <v>0</v>
      </c>
      <c r="AU414" s="484">
        <f>I414+AI414</f>
        <v>783360</v>
      </c>
      <c r="AV414" s="475">
        <f>J414+X414</f>
        <v>576848</v>
      </c>
      <c r="AW414" s="475">
        <f>K414+AB414</f>
        <v>0</v>
      </c>
      <c r="AX414" s="475">
        <f t="shared" si="968"/>
        <v>194975</v>
      </c>
      <c r="AY414" s="475">
        <f t="shared" si="968"/>
        <v>11537</v>
      </c>
      <c r="AZ414" s="475">
        <f>N414+AH414</f>
        <v>0</v>
      </c>
      <c r="BA414" s="476">
        <f>O414+AT414</f>
        <v>1.1606000000000001</v>
      </c>
      <c r="BB414" s="476">
        <f t="shared" si="969"/>
        <v>1.1606000000000001</v>
      </c>
      <c r="BC414" s="478">
        <f t="shared" si="969"/>
        <v>0</v>
      </c>
    </row>
    <row r="415" spans="1:55" ht="14.1" customHeight="1" x14ac:dyDescent="0.2">
      <c r="A415" s="68">
        <v>82</v>
      </c>
      <c r="B415" s="65">
        <v>2466</v>
      </c>
      <c r="C415" s="66">
        <v>600079821</v>
      </c>
      <c r="D415" s="65">
        <v>70695083</v>
      </c>
      <c r="E415" s="67" t="s">
        <v>726</v>
      </c>
      <c r="F415" s="68">
        <v>3143</v>
      </c>
      <c r="G415" s="80" t="s">
        <v>627</v>
      </c>
      <c r="H415" s="69" t="s">
        <v>278</v>
      </c>
      <c r="I415" s="477">
        <v>24193</v>
      </c>
      <c r="J415" s="472">
        <v>17108</v>
      </c>
      <c r="K415" s="472">
        <v>0</v>
      </c>
      <c r="L415" s="472">
        <v>5783</v>
      </c>
      <c r="M415" s="472">
        <v>342</v>
      </c>
      <c r="N415" s="472">
        <v>960</v>
      </c>
      <c r="O415" s="473">
        <v>7.0000000000000007E-2</v>
      </c>
      <c r="P415" s="474">
        <v>0</v>
      </c>
      <c r="Q415" s="483">
        <v>7.0000000000000007E-2</v>
      </c>
      <c r="R415" s="485">
        <f t="shared" si="960"/>
        <v>0</v>
      </c>
      <c r="S415" s="475">
        <v>0</v>
      </c>
      <c r="T415" s="475">
        <v>0</v>
      </c>
      <c r="U415" s="475">
        <v>0</v>
      </c>
      <c r="V415" s="475">
        <v>0</v>
      </c>
      <c r="W415" s="475">
        <v>0</v>
      </c>
      <c r="X415" s="475">
        <f t="shared" si="961"/>
        <v>0</v>
      </c>
      <c r="Y415" s="475">
        <v>0</v>
      </c>
      <c r="Z415" s="475">
        <v>0</v>
      </c>
      <c r="AA415" s="475">
        <v>0</v>
      </c>
      <c r="AB415" s="475">
        <f t="shared" si="962"/>
        <v>0</v>
      </c>
      <c r="AC415" s="475">
        <f t="shared" si="963"/>
        <v>0</v>
      </c>
      <c r="AD415" s="70">
        <f t="shared" si="964"/>
        <v>0</v>
      </c>
      <c r="AE415" s="70">
        <f t="shared" si="965"/>
        <v>0</v>
      </c>
      <c r="AF415" s="475">
        <v>0</v>
      </c>
      <c r="AG415" s="475">
        <v>0</v>
      </c>
      <c r="AH415" s="475">
        <f t="shared" si="966"/>
        <v>0</v>
      </c>
      <c r="AI415" s="475">
        <f t="shared" si="967"/>
        <v>0</v>
      </c>
      <c r="AJ415" s="476">
        <v>0</v>
      </c>
      <c r="AK415" s="476">
        <v>0</v>
      </c>
      <c r="AL415" s="476">
        <v>0</v>
      </c>
      <c r="AM415" s="476">
        <v>0</v>
      </c>
      <c r="AN415" s="476">
        <v>0</v>
      </c>
      <c r="AO415" s="476">
        <v>0</v>
      </c>
      <c r="AP415" s="476">
        <v>0</v>
      </c>
      <c r="AQ415" s="476">
        <v>0</v>
      </c>
      <c r="AR415" s="476">
        <f t="shared" si="929"/>
        <v>0</v>
      </c>
      <c r="AS415" s="476">
        <f t="shared" si="930"/>
        <v>0</v>
      </c>
      <c r="AT415" s="478">
        <f t="shared" si="931"/>
        <v>0</v>
      </c>
      <c r="AU415" s="484">
        <f>I415+AI415</f>
        <v>24193</v>
      </c>
      <c r="AV415" s="475">
        <f>J415+X415</f>
        <v>17108</v>
      </c>
      <c r="AW415" s="475">
        <f>K415+AB415</f>
        <v>0</v>
      </c>
      <c r="AX415" s="475">
        <f t="shared" si="968"/>
        <v>5783</v>
      </c>
      <c r="AY415" s="475">
        <f t="shared" si="968"/>
        <v>342</v>
      </c>
      <c r="AZ415" s="475">
        <f>N415+AH415</f>
        <v>960</v>
      </c>
      <c r="BA415" s="476">
        <f>O415+AT415</f>
        <v>7.0000000000000007E-2</v>
      </c>
      <c r="BB415" s="476">
        <f t="shared" si="969"/>
        <v>0</v>
      </c>
      <c r="BC415" s="478">
        <f t="shared" si="969"/>
        <v>7.0000000000000007E-2</v>
      </c>
    </row>
    <row r="416" spans="1:55" ht="14.1" customHeight="1" x14ac:dyDescent="0.2">
      <c r="A416" s="74">
        <v>82</v>
      </c>
      <c r="B416" s="71">
        <v>2466</v>
      </c>
      <c r="C416" s="72">
        <v>600079821</v>
      </c>
      <c r="D416" s="71">
        <v>70695083</v>
      </c>
      <c r="E416" s="73" t="s">
        <v>727</v>
      </c>
      <c r="F416" s="74"/>
      <c r="G416" s="73"/>
      <c r="H416" s="75"/>
      <c r="I416" s="76">
        <v>11593439</v>
      </c>
      <c r="J416" s="77">
        <v>8343055</v>
      </c>
      <c r="K416" s="77">
        <v>100000</v>
      </c>
      <c r="L416" s="77">
        <v>2853752</v>
      </c>
      <c r="M416" s="77">
        <v>166860</v>
      </c>
      <c r="N416" s="77">
        <v>129772</v>
      </c>
      <c r="O416" s="78">
        <v>19.217600000000001</v>
      </c>
      <c r="P416" s="78">
        <v>13.9252</v>
      </c>
      <c r="Q416" s="718">
        <v>5.2924000000000007</v>
      </c>
      <c r="R416" s="76">
        <f t="shared" ref="R416:BC416" si="970">SUM(R411:R415)</f>
        <v>0</v>
      </c>
      <c r="S416" s="77">
        <f t="shared" si="970"/>
        <v>16340</v>
      </c>
      <c r="T416" s="77">
        <f t="shared" si="970"/>
        <v>-10663</v>
      </c>
      <c r="U416" s="77">
        <f t="shared" si="970"/>
        <v>0</v>
      </c>
      <c r="V416" s="77">
        <f t="shared" si="970"/>
        <v>0</v>
      </c>
      <c r="W416" s="77">
        <f t="shared" si="970"/>
        <v>0</v>
      </c>
      <c r="X416" s="77">
        <f t="shared" si="970"/>
        <v>5677</v>
      </c>
      <c r="Y416" s="77">
        <f t="shared" si="970"/>
        <v>0</v>
      </c>
      <c r="Z416" s="77">
        <f t="shared" si="970"/>
        <v>0</v>
      </c>
      <c r="AA416" s="77">
        <f t="shared" si="970"/>
        <v>0</v>
      </c>
      <c r="AB416" s="77">
        <f t="shared" si="970"/>
        <v>0</v>
      </c>
      <c r="AC416" s="77">
        <f t="shared" si="970"/>
        <v>5677</v>
      </c>
      <c r="AD416" s="77">
        <f t="shared" si="970"/>
        <v>1919</v>
      </c>
      <c r="AE416" s="77">
        <f t="shared" si="970"/>
        <v>114</v>
      </c>
      <c r="AF416" s="77">
        <f t="shared" si="970"/>
        <v>0</v>
      </c>
      <c r="AG416" s="77">
        <f t="shared" si="970"/>
        <v>0</v>
      </c>
      <c r="AH416" s="77">
        <f t="shared" si="970"/>
        <v>0</v>
      </c>
      <c r="AI416" s="77">
        <f t="shared" si="970"/>
        <v>7710</v>
      </c>
      <c r="AJ416" s="78">
        <f t="shared" si="970"/>
        <v>0</v>
      </c>
      <c r="AK416" s="78">
        <f t="shared" si="970"/>
        <v>0</v>
      </c>
      <c r="AL416" s="78">
        <f t="shared" si="970"/>
        <v>0.1</v>
      </c>
      <c r="AM416" s="78">
        <f t="shared" si="970"/>
        <v>0</v>
      </c>
      <c r="AN416" s="78">
        <f t="shared" si="970"/>
        <v>-3.0000000000000027E-2</v>
      </c>
      <c r="AO416" s="78">
        <f t="shared" si="970"/>
        <v>0</v>
      </c>
      <c r="AP416" s="78">
        <f t="shared" si="970"/>
        <v>0</v>
      </c>
      <c r="AQ416" s="78">
        <f t="shared" si="970"/>
        <v>0</v>
      </c>
      <c r="AR416" s="78">
        <f t="shared" si="970"/>
        <v>0.1</v>
      </c>
      <c r="AS416" s="78">
        <f t="shared" si="970"/>
        <v>-3.0000000000000027E-2</v>
      </c>
      <c r="AT416" s="79">
        <f t="shared" si="970"/>
        <v>6.9999999999999979E-2</v>
      </c>
      <c r="AU416" s="433">
        <f t="shared" si="970"/>
        <v>11601149</v>
      </c>
      <c r="AV416" s="77">
        <f t="shared" si="970"/>
        <v>8348732</v>
      </c>
      <c r="AW416" s="77">
        <f t="shared" si="970"/>
        <v>100000</v>
      </c>
      <c r="AX416" s="77">
        <f t="shared" si="970"/>
        <v>2855671</v>
      </c>
      <c r="AY416" s="77">
        <f t="shared" si="970"/>
        <v>166974</v>
      </c>
      <c r="AZ416" s="77">
        <f t="shared" si="970"/>
        <v>129772</v>
      </c>
      <c r="BA416" s="78">
        <f t="shared" si="970"/>
        <v>19.287600000000001</v>
      </c>
      <c r="BB416" s="78">
        <f t="shared" si="970"/>
        <v>14.0252</v>
      </c>
      <c r="BC416" s="79">
        <f t="shared" si="970"/>
        <v>5.2624000000000004</v>
      </c>
    </row>
    <row r="417" spans="1:55" ht="14.1" customHeight="1" x14ac:dyDescent="0.2">
      <c r="A417" s="68">
        <v>83</v>
      </c>
      <c r="B417" s="65">
        <v>2493</v>
      </c>
      <c r="C417" s="66">
        <v>600080021</v>
      </c>
      <c r="D417" s="65">
        <v>72742399</v>
      </c>
      <c r="E417" s="67" t="s">
        <v>728</v>
      </c>
      <c r="F417" s="68">
        <v>3111</v>
      </c>
      <c r="G417" s="67" t="s">
        <v>311</v>
      </c>
      <c r="H417" s="69" t="s">
        <v>277</v>
      </c>
      <c r="I417" s="477">
        <v>7094120</v>
      </c>
      <c r="J417" s="472">
        <v>5190810</v>
      </c>
      <c r="K417" s="472">
        <v>0</v>
      </c>
      <c r="L417" s="472">
        <v>1754494</v>
      </c>
      <c r="M417" s="472">
        <v>103816</v>
      </c>
      <c r="N417" s="472">
        <v>45000</v>
      </c>
      <c r="O417" s="473">
        <v>12.094900000000001</v>
      </c>
      <c r="P417" s="473">
        <v>9.7903000000000002</v>
      </c>
      <c r="Q417" s="483">
        <v>2.3046000000000002</v>
      </c>
      <c r="R417" s="485">
        <f t="shared" ref="R417:R422" si="971">Y417*-1</f>
        <v>0</v>
      </c>
      <c r="S417" s="475">
        <v>0</v>
      </c>
      <c r="T417" s="475">
        <v>0</v>
      </c>
      <c r="U417" s="475">
        <v>0</v>
      </c>
      <c r="V417" s="475">
        <v>0</v>
      </c>
      <c r="W417" s="475">
        <v>0</v>
      </c>
      <c r="X417" s="475">
        <f t="shared" ref="X417:X422" si="972">SUM(R417:W417)</f>
        <v>0</v>
      </c>
      <c r="Y417" s="475">
        <v>0</v>
      </c>
      <c r="Z417" s="475">
        <v>0</v>
      </c>
      <c r="AA417" s="475">
        <v>0</v>
      </c>
      <c r="AB417" s="475">
        <f t="shared" ref="AB417:AB422" si="973">SUM(Y417:AA417)</f>
        <v>0</v>
      </c>
      <c r="AC417" s="475">
        <f t="shared" ref="AC417:AC422" si="974">X417+AB417</f>
        <v>0</v>
      </c>
      <c r="AD417" s="70">
        <f t="shared" ref="AD417:AD422" si="975">ROUND((X417+Y417+Z417)*33.8%,0)</f>
        <v>0</v>
      </c>
      <c r="AE417" s="70">
        <f t="shared" ref="AE417:AE422" si="976">ROUND(X417*2%,0)</f>
        <v>0</v>
      </c>
      <c r="AF417" s="475">
        <v>0</v>
      </c>
      <c r="AG417" s="475">
        <v>0</v>
      </c>
      <c r="AH417" s="475">
        <f t="shared" ref="AH417:AH422" si="977">SUM(AF417:AG417)</f>
        <v>0</v>
      </c>
      <c r="AI417" s="475">
        <f t="shared" ref="AI417:AI422" si="978">AC417+AD417+AE417+AH417</f>
        <v>0</v>
      </c>
      <c r="AJ417" s="476">
        <v>0</v>
      </c>
      <c r="AK417" s="476">
        <v>0</v>
      </c>
      <c r="AL417" s="476">
        <v>0</v>
      </c>
      <c r="AM417" s="476">
        <v>0</v>
      </c>
      <c r="AN417" s="476">
        <v>0</v>
      </c>
      <c r="AO417" s="476">
        <v>0</v>
      </c>
      <c r="AP417" s="476">
        <v>0</v>
      </c>
      <c r="AQ417" s="476">
        <v>0</v>
      </c>
      <c r="AR417" s="476">
        <f t="shared" si="929"/>
        <v>0</v>
      </c>
      <c r="AS417" s="476">
        <f t="shared" si="930"/>
        <v>0</v>
      </c>
      <c r="AT417" s="478">
        <f t="shared" si="931"/>
        <v>0</v>
      </c>
      <c r="AU417" s="484">
        <f t="shared" ref="AU417:AU422" si="979">I417+AI417</f>
        <v>7094120</v>
      </c>
      <c r="AV417" s="475">
        <f t="shared" ref="AV417:AV422" si="980">J417+X417</f>
        <v>5190810</v>
      </c>
      <c r="AW417" s="475">
        <f t="shared" ref="AW417:AW422" si="981">K417+AB417</f>
        <v>0</v>
      </c>
      <c r="AX417" s="475">
        <f t="shared" ref="AX417:AY422" si="982">L417+AD417</f>
        <v>1754494</v>
      </c>
      <c r="AY417" s="475">
        <f t="shared" si="982"/>
        <v>103816</v>
      </c>
      <c r="AZ417" s="475">
        <f t="shared" ref="AZ417:AZ422" si="983">N417+AH417</f>
        <v>45000</v>
      </c>
      <c r="BA417" s="476">
        <f t="shared" ref="BA417:BA422" si="984">O417+AT417</f>
        <v>12.094900000000001</v>
      </c>
      <c r="BB417" s="476">
        <f t="shared" ref="BB417:BC422" si="985">P417+AR417</f>
        <v>9.7903000000000002</v>
      </c>
      <c r="BC417" s="478">
        <f t="shared" si="985"/>
        <v>2.3046000000000002</v>
      </c>
    </row>
    <row r="418" spans="1:55" ht="14.1" customHeight="1" x14ac:dyDescent="0.2">
      <c r="A418" s="68">
        <v>83</v>
      </c>
      <c r="B418" s="65">
        <v>2493</v>
      </c>
      <c r="C418" s="66">
        <v>600080021</v>
      </c>
      <c r="D418" s="65">
        <v>72742399</v>
      </c>
      <c r="E418" s="67" t="s">
        <v>728</v>
      </c>
      <c r="F418" s="68">
        <v>3113</v>
      </c>
      <c r="G418" s="67" t="s">
        <v>314</v>
      </c>
      <c r="H418" s="69" t="s">
        <v>277</v>
      </c>
      <c r="I418" s="477">
        <v>17942234</v>
      </c>
      <c r="J418" s="472">
        <v>12891061</v>
      </c>
      <c r="K418" s="472">
        <v>38000</v>
      </c>
      <c r="L418" s="472">
        <v>4370022</v>
      </c>
      <c r="M418" s="472">
        <v>257821</v>
      </c>
      <c r="N418" s="472">
        <v>385330</v>
      </c>
      <c r="O418" s="473">
        <v>22.202199999999998</v>
      </c>
      <c r="P418" s="473">
        <v>16.059999999999999</v>
      </c>
      <c r="Q418" s="483">
        <v>6.1421999999999999</v>
      </c>
      <c r="R418" s="485">
        <f t="shared" si="971"/>
        <v>0</v>
      </c>
      <c r="S418" s="475">
        <v>0</v>
      </c>
      <c r="T418" s="475">
        <v>0</v>
      </c>
      <c r="U418" s="475">
        <v>0</v>
      </c>
      <c r="V418" s="475">
        <v>-184094</v>
      </c>
      <c r="W418" s="475">
        <v>0</v>
      </c>
      <c r="X418" s="475">
        <f t="shared" si="972"/>
        <v>-184094</v>
      </c>
      <c r="Y418" s="475">
        <v>0</v>
      </c>
      <c r="Z418" s="475">
        <v>0</v>
      </c>
      <c r="AA418" s="475">
        <v>0</v>
      </c>
      <c r="AB418" s="475">
        <f t="shared" si="973"/>
        <v>0</v>
      </c>
      <c r="AC418" s="475">
        <f t="shared" si="974"/>
        <v>-184094</v>
      </c>
      <c r="AD418" s="70">
        <f t="shared" si="975"/>
        <v>-62224</v>
      </c>
      <c r="AE418" s="70">
        <f t="shared" si="976"/>
        <v>-3682</v>
      </c>
      <c r="AF418" s="475">
        <v>0</v>
      </c>
      <c r="AG418" s="475">
        <v>250000</v>
      </c>
      <c r="AH418" s="475">
        <f t="shared" si="977"/>
        <v>250000</v>
      </c>
      <c r="AI418" s="475">
        <f t="shared" si="978"/>
        <v>0</v>
      </c>
      <c r="AJ418" s="476">
        <v>0</v>
      </c>
      <c r="AK418" s="476">
        <v>0</v>
      </c>
      <c r="AL418" s="476">
        <v>0</v>
      </c>
      <c r="AM418" s="476">
        <v>0</v>
      </c>
      <c r="AN418" s="476">
        <v>0</v>
      </c>
      <c r="AO418" s="476">
        <v>0</v>
      </c>
      <c r="AP418" s="476">
        <v>0</v>
      </c>
      <c r="AQ418" s="476">
        <v>0</v>
      </c>
      <c r="AR418" s="476">
        <f t="shared" si="929"/>
        <v>0</v>
      </c>
      <c r="AS418" s="476">
        <f t="shared" si="930"/>
        <v>0</v>
      </c>
      <c r="AT418" s="478">
        <f t="shared" si="931"/>
        <v>0</v>
      </c>
      <c r="AU418" s="484">
        <f t="shared" si="979"/>
        <v>17942234</v>
      </c>
      <c r="AV418" s="475">
        <f t="shared" si="980"/>
        <v>12706967</v>
      </c>
      <c r="AW418" s="475">
        <f t="shared" si="981"/>
        <v>38000</v>
      </c>
      <c r="AX418" s="475">
        <f t="shared" si="982"/>
        <v>4307798</v>
      </c>
      <c r="AY418" s="475">
        <f t="shared" si="982"/>
        <v>254139</v>
      </c>
      <c r="AZ418" s="475">
        <f t="shared" si="983"/>
        <v>635330</v>
      </c>
      <c r="BA418" s="476">
        <f t="shared" si="984"/>
        <v>22.202199999999998</v>
      </c>
      <c r="BB418" s="476">
        <f t="shared" si="985"/>
        <v>16.059999999999999</v>
      </c>
      <c r="BC418" s="478">
        <f t="shared" si="985"/>
        <v>6.1421999999999999</v>
      </c>
    </row>
    <row r="419" spans="1:55" ht="14.1" customHeight="1" x14ac:dyDescent="0.2">
      <c r="A419" s="68">
        <v>83</v>
      </c>
      <c r="B419" s="65">
        <v>2493</v>
      </c>
      <c r="C419" s="66">
        <v>600080021</v>
      </c>
      <c r="D419" s="65">
        <v>72742399</v>
      </c>
      <c r="E419" s="67" t="s">
        <v>728</v>
      </c>
      <c r="F419" s="68">
        <v>3113</v>
      </c>
      <c r="G419" s="80" t="s">
        <v>312</v>
      </c>
      <c r="H419" s="69" t="s">
        <v>278</v>
      </c>
      <c r="I419" s="477">
        <v>2614324</v>
      </c>
      <c r="J419" s="472">
        <v>1917396</v>
      </c>
      <c r="K419" s="472">
        <v>0</v>
      </c>
      <c r="L419" s="472">
        <v>648080</v>
      </c>
      <c r="M419" s="472">
        <v>38348</v>
      </c>
      <c r="N419" s="472">
        <v>10500</v>
      </c>
      <c r="O419" s="473">
        <v>6.2999999999999989</v>
      </c>
      <c r="P419" s="474">
        <v>6.2999999999999989</v>
      </c>
      <c r="Q419" s="483">
        <v>0</v>
      </c>
      <c r="R419" s="485">
        <f t="shared" si="971"/>
        <v>0</v>
      </c>
      <c r="S419" s="475">
        <v>-10121</v>
      </c>
      <c r="T419" s="475">
        <v>0</v>
      </c>
      <c r="U419" s="475">
        <v>0</v>
      </c>
      <c r="V419" s="475">
        <v>0</v>
      </c>
      <c r="W419" s="475">
        <v>0</v>
      </c>
      <c r="X419" s="475">
        <f t="shared" si="972"/>
        <v>-10121</v>
      </c>
      <c r="Y419" s="475">
        <v>0</v>
      </c>
      <c r="Z419" s="475">
        <v>0</v>
      </c>
      <c r="AA419" s="475">
        <v>0</v>
      </c>
      <c r="AB419" s="475">
        <f t="shared" si="973"/>
        <v>0</v>
      </c>
      <c r="AC419" s="475">
        <f t="shared" si="974"/>
        <v>-10121</v>
      </c>
      <c r="AD419" s="70">
        <f t="shared" si="975"/>
        <v>-3421</v>
      </c>
      <c r="AE419" s="70">
        <f t="shared" si="976"/>
        <v>-202</v>
      </c>
      <c r="AF419" s="475">
        <v>0</v>
      </c>
      <c r="AG419" s="475">
        <v>0</v>
      </c>
      <c r="AH419" s="475">
        <f t="shared" si="977"/>
        <v>0</v>
      </c>
      <c r="AI419" s="475">
        <f t="shared" si="978"/>
        <v>-13744</v>
      </c>
      <c r="AJ419" s="476">
        <v>0</v>
      </c>
      <c r="AK419" s="476">
        <v>0</v>
      </c>
      <c r="AL419" s="476">
        <v>-0.09</v>
      </c>
      <c r="AM419" s="476">
        <v>0</v>
      </c>
      <c r="AN419" s="476">
        <v>0</v>
      </c>
      <c r="AO419" s="476">
        <v>0</v>
      </c>
      <c r="AP419" s="476">
        <v>0</v>
      </c>
      <c r="AQ419" s="476">
        <v>0</v>
      </c>
      <c r="AR419" s="476">
        <f t="shared" si="929"/>
        <v>-0.09</v>
      </c>
      <c r="AS419" s="476">
        <f t="shared" si="930"/>
        <v>0</v>
      </c>
      <c r="AT419" s="478">
        <f t="shared" si="931"/>
        <v>-0.09</v>
      </c>
      <c r="AU419" s="484">
        <f t="shared" si="979"/>
        <v>2600580</v>
      </c>
      <c r="AV419" s="475">
        <f t="shared" si="980"/>
        <v>1907275</v>
      </c>
      <c r="AW419" s="475">
        <f t="shared" si="981"/>
        <v>0</v>
      </c>
      <c r="AX419" s="475">
        <f t="shared" si="982"/>
        <v>644659</v>
      </c>
      <c r="AY419" s="475">
        <f t="shared" si="982"/>
        <v>38146</v>
      </c>
      <c r="AZ419" s="475">
        <f t="shared" si="983"/>
        <v>10500</v>
      </c>
      <c r="BA419" s="476">
        <f t="shared" si="984"/>
        <v>6.2099999999999991</v>
      </c>
      <c r="BB419" s="476">
        <f t="shared" si="985"/>
        <v>6.2099999999999991</v>
      </c>
      <c r="BC419" s="478">
        <f t="shared" si="985"/>
        <v>0</v>
      </c>
    </row>
    <row r="420" spans="1:55" ht="14.1" customHeight="1" x14ac:dyDescent="0.2">
      <c r="A420" s="68">
        <v>83</v>
      </c>
      <c r="B420" s="65">
        <v>2493</v>
      </c>
      <c r="C420" s="66">
        <v>600080021</v>
      </c>
      <c r="D420" s="65">
        <v>72742399</v>
      </c>
      <c r="E420" s="67" t="s">
        <v>728</v>
      </c>
      <c r="F420" s="68">
        <v>3141</v>
      </c>
      <c r="G420" s="67" t="s">
        <v>315</v>
      </c>
      <c r="H420" s="69" t="s">
        <v>278</v>
      </c>
      <c r="I420" s="477">
        <v>2830607</v>
      </c>
      <c r="J420" s="472">
        <v>2070043</v>
      </c>
      <c r="K420" s="472">
        <v>0</v>
      </c>
      <c r="L420" s="472">
        <v>699675</v>
      </c>
      <c r="M420" s="472">
        <v>41401</v>
      </c>
      <c r="N420" s="472">
        <v>19488</v>
      </c>
      <c r="O420" s="473">
        <v>6.52</v>
      </c>
      <c r="P420" s="474">
        <v>0</v>
      </c>
      <c r="Q420" s="483">
        <v>6.52</v>
      </c>
      <c r="R420" s="485">
        <f t="shared" si="971"/>
        <v>0</v>
      </c>
      <c r="S420" s="475">
        <v>0</v>
      </c>
      <c r="T420" s="755">
        <v>-16645</v>
      </c>
      <c r="U420" s="475">
        <v>0</v>
      </c>
      <c r="V420" s="475">
        <v>0</v>
      </c>
      <c r="W420" s="475">
        <v>0</v>
      </c>
      <c r="X420" s="475">
        <f t="shared" si="972"/>
        <v>-16645</v>
      </c>
      <c r="Y420" s="475">
        <v>0</v>
      </c>
      <c r="Z420" s="475">
        <v>0</v>
      </c>
      <c r="AA420" s="475">
        <v>0</v>
      </c>
      <c r="AB420" s="475">
        <f t="shared" si="973"/>
        <v>0</v>
      </c>
      <c r="AC420" s="475">
        <f t="shared" si="974"/>
        <v>-16645</v>
      </c>
      <c r="AD420" s="70">
        <f t="shared" si="975"/>
        <v>-5626</v>
      </c>
      <c r="AE420" s="70">
        <f t="shared" si="976"/>
        <v>-333</v>
      </c>
      <c r="AF420" s="475">
        <v>0</v>
      </c>
      <c r="AG420" s="475">
        <v>0</v>
      </c>
      <c r="AH420" s="475">
        <f t="shared" si="977"/>
        <v>0</v>
      </c>
      <c r="AI420" s="475">
        <f t="shared" si="978"/>
        <v>-22604</v>
      </c>
      <c r="AJ420" s="476">
        <v>0</v>
      </c>
      <c r="AK420" s="476">
        <v>0</v>
      </c>
      <c r="AL420" s="476">
        <v>0</v>
      </c>
      <c r="AM420" s="476">
        <v>0</v>
      </c>
      <c r="AN420" s="756">
        <v>-5.0000000000000044E-2</v>
      </c>
      <c r="AO420" s="476">
        <v>0</v>
      </c>
      <c r="AP420" s="476">
        <v>0</v>
      </c>
      <c r="AQ420" s="476">
        <v>0</v>
      </c>
      <c r="AR420" s="476">
        <f t="shared" si="929"/>
        <v>0</v>
      </c>
      <c r="AS420" s="476">
        <f t="shared" si="930"/>
        <v>-5.0000000000000044E-2</v>
      </c>
      <c r="AT420" s="478">
        <f t="shared" si="931"/>
        <v>-5.0000000000000044E-2</v>
      </c>
      <c r="AU420" s="484">
        <f t="shared" si="979"/>
        <v>2808003</v>
      </c>
      <c r="AV420" s="475">
        <f t="shared" si="980"/>
        <v>2053398</v>
      </c>
      <c r="AW420" s="475">
        <f t="shared" si="981"/>
        <v>0</v>
      </c>
      <c r="AX420" s="475">
        <f t="shared" si="982"/>
        <v>694049</v>
      </c>
      <c r="AY420" s="475">
        <f t="shared" si="982"/>
        <v>41068</v>
      </c>
      <c r="AZ420" s="475">
        <f t="shared" si="983"/>
        <v>19488</v>
      </c>
      <c r="BA420" s="476">
        <f t="shared" si="984"/>
        <v>6.47</v>
      </c>
      <c r="BB420" s="476">
        <f t="shared" si="985"/>
        <v>0</v>
      </c>
      <c r="BC420" s="478">
        <f t="shared" si="985"/>
        <v>6.47</v>
      </c>
    </row>
    <row r="421" spans="1:55" ht="14.1" customHeight="1" x14ac:dyDescent="0.2">
      <c r="A421" s="68">
        <v>83</v>
      </c>
      <c r="B421" s="65">
        <v>2493</v>
      </c>
      <c r="C421" s="66">
        <v>600080021</v>
      </c>
      <c r="D421" s="65">
        <v>72742399</v>
      </c>
      <c r="E421" s="67" t="s">
        <v>728</v>
      </c>
      <c r="F421" s="68">
        <v>3143</v>
      </c>
      <c r="G421" s="80" t="s">
        <v>626</v>
      </c>
      <c r="H421" s="69" t="s">
        <v>277</v>
      </c>
      <c r="I421" s="477">
        <v>1929449</v>
      </c>
      <c r="J421" s="472">
        <v>1420802</v>
      </c>
      <c r="K421" s="472">
        <v>0</v>
      </c>
      <c r="L421" s="472">
        <v>480231</v>
      </c>
      <c r="M421" s="472">
        <v>28416</v>
      </c>
      <c r="N421" s="472">
        <v>0</v>
      </c>
      <c r="O421" s="473">
        <v>2.9641999999999999</v>
      </c>
      <c r="P421" s="473">
        <v>2.9641999999999999</v>
      </c>
      <c r="Q421" s="483">
        <v>0</v>
      </c>
      <c r="R421" s="485">
        <f t="shared" si="971"/>
        <v>0</v>
      </c>
      <c r="S421" s="475">
        <v>0</v>
      </c>
      <c r="T421" s="475">
        <v>0</v>
      </c>
      <c r="U421" s="475">
        <v>0</v>
      </c>
      <c r="V421" s="475">
        <v>0</v>
      </c>
      <c r="W421" s="475">
        <v>0</v>
      </c>
      <c r="X421" s="475">
        <f t="shared" si="972"/>
        <v>0</v>
      </c>
      <c r="Y421" s="475">
        <v>0</v>
      </c>
      <c r="Z421" s="475">
        <v>0</v>
      </c>
      <c r="AA421" s="475">
        <v>0</v>
      </c>
      <c r="AB421" s="475">
        <f t="shared" si="973"/>
        <v>0</v>
      </c>
      <c r="AC421" s="475">
        <f t="shared" si="974"/>
        <v>0</v>
      </c>
      <c r="AD421" s="70">
        <f t="shared" si="975"/>
        <v>0</v>
      </c>
      <c r="AE421" s="70">
        <f t="shared" si="976"/>
        <v>0</v>
      </c>
      <c r="AF421" s="475">
        <v>0</v>
      </c>
      <c r="AG421" s="475">
        <v>0</v>
      </c>
      <c r="AH421" s="475">
        <f t="shared" si="977"/>
        <v>0</v>
      </c>
      <c r="AI421" s="475">
        <f t="shared" si="978"/>
        <v>0</v>
      </c>
      <c r="AJ421" s="476">
        <v>0</v>
      </c>
      <c r="AK421" s="476">
        <v>0</v>
      </c>
      <c r="AL421" s="476">
        <v>0</v>
      </c>
      <c r="AM421" s="476">
        <v>0</v>
      </c>
      <c r="AN421" s="476">
        <v>0</v>
      </c>
      <c r="AO421" s="476">
        <v>0</v>
      </c>
      <c r="AP421" s="476">
        <v>0</v>
      </c>
      <c r="AQ421" s="476">
        <v>0</v>
      </c>
      <c r="AR421" s="476">
        <f t="shared" si="929"/>
        <v>0</v>
      </c>
      <c r="AS421" s="476">
        <f t="shared" si="930"/>
        <v>0</v>
      </c>
      <c r="AT421" s="478">
        <f t="shared" si="931"/>
        <v>0</v>
      </c>
      <c r="AU421" s="484">
        <f t="shared" si="979"/>
        <v>1929449</v>
      </c>
      <c r="AV421" s="475">
        <f t="shared" si="980"/>
        <v>1420802</v>
      </c>
      <c r="AW421" s="475">
        <f t="shared" si="981"/>
        <v>0</v>
      </c>
      <c r="AX421" s="475">
        <f t="shared" si="982"/>
        <v>480231</v>
      </c>
      <c r="AY421" s="475">
        <f t="shared" si="982"/>
        <v>28416</v>
      </c>
      <c r="AZ421" s="475">
        <f t="shared" si="983"/>
        <v>0</v>
      </c>
      <c r="BA421" s="476">
        <f t="shared" si="984"/>
        <v>2.9641999999999999</v>
      </c>
      <c r="BB421" s="476">
        <f t="shared" si="985"/>
        <v>2.9641999999999999</v>
      </c>
      <c r="BC421" s="478">
        <f t="shared" si="985"/>
        <v>0</v>
      </c>
    </row>
    <row r="422" spans="1:55" ht="14.1" customHeight="1" x14ac:dyDescent="0.2">
      <c r="A422" s="68">
        <v>83</v>
      </c>
      <c r="B422" s="65">
        <v>2493</v>
      </c>
      <c r="C422" s="66">
        <v>600080021</v>
      </c>
      <c r="D422" s="65">
        <v>72742399</v>
      </c>
      <c r="E422" s="67" t="s">
        <v>728</v>
      </c>
      <c r="F422" s="68">
        <v>3143</v>
      </c>
      <c r="G422" s="80" t="s">
        <v>627</v>
      </c>
      <c r="H422" s="69" t="s">
        <v>278</v>
      </c>
      <c r="I422" s="477">
        <v>52920</v>
      </c>
      <c r="J422" s="472">
        <v>37423</v>
      </c>
      <c r="K422" s="472">
        <v>0</v>
      </c>
      <c r="L422" s="472">
        <v>12649</v>
      </c>
      <c r="M422" s="472">
        <v>748</v>
      </c>
      <c r="N422" s="472">
        <v>2100</v>
      </c>
      <c r="O422" s="473">
        <v>0.15</v>
      </c>
      <c r="P422" s="474">
        <v>0</v>
      </c>
      <c r="Q422" s="483">
        <v>0.15</v>
      </c>
      <c r="R422" s="485">
        <f t="shared" si="971"/>
        <v>0</v>
      </c>
      <c r="S422" s="475">
        <v>0</v>
      </c>
      <c r="T422" s="475">
        <v>0</v>
      </c>
      <c r="U422" s="475">
        <v>0</v>
      </c>
      <c r="V422" s="475">
        <v>0</v>
      </c>
      <c r="W422" s="475">
        <v>0</v>
      </c>
      <c r="X422" s="475">
        <f t="shared" si="972"/>
        <v>0</v>
      </c>
      <c r="Y422" s="475">
        <v>0</v>
      </c>
      <c r="Z422" s="475">
        <v>0</v>
      </c>
      <c r="AA422" s="475">
        <v>0</v>
      </c>
      <c r="AB422" s="475">
        <f t="shared" si="973"/>
        <v>0</v>
      </c>
      <c r="AC422" s="475">
        <f t="shared" si="974"/>
        <v>0</v>
      </c>
      <c r="AD422" s="70">
        <f t="shared" si="975"/>
        <v>0</v>
      </c>
      <c r="AE422" s="70">
        <f t="shared" si="976"/>
        <v>0</v>
      </c>
      <c r="AF422" s="475">
        <v>0</v>
      </c>
      <c r="AG422" s="475">
        <v>0</v>
      </c>
      <c r="AH422" s="475">
        <f t="shared" si="977"/>
        <v>0</v>
      </c>
      <c r="AI422" s="475">
        <f t="shared" si="978"/>
        <v>0</v>
      </c>
      <c r="AJ422" s="476">
        <v>0</v>
      </c>
      <c r="AK422" s="476">
        <v>0</v>
      </c>
      <c r="AL422" s="476">
        <v>0</v>
      </c>
      <c r="AM422" s="476">
        <v>0</v>
      </c>
      <c r="AN422" s="476">
        <v>0</v>
      </c>
      <c r="AO422" s="476">
        <v>0</v>
      </c>
      <c r="AP422" s="476">
        <v>0</v>
      </c>
      <c r="AQ422" s="476">
        <v>0</v>
      </c>
      <c r="AR422" s="476">
        <f t="shared" si="929"/>
        <v>0</v>
      </c>
      <c r="AS422" s="476">
        <f t="shared" si="930"/>
        <v>0</v>
      </c>
      <c r="AT422" s="478">
        <f t="shared" si="931"/>
        <v>0</v>
      </c>
      <c r="AU422" s="484">
        <f t="shared" si="979"/>
        <v>52920</v>
      </c>
      <c r="AV422" s="475">
        <f t="shared" si="980"/>
        <v>37423</v>
      </c>
      <c r="AW422" s="475">
        <f t="shared" si="981"/>
        <v>0</v>
      </c>
      <c r="AX422" s="475">
        <f t="shared" si="982"/>
        <v>12649</v>
      </c>
      <c r="AY422" s="475">
        <f t="shared" si="982"/>
        <v>748</v>
      </c>
      <c r="AZ422" s="475">
        <f t="shared" si="983"/>
        <v>2100</v>
      </c>
      <c r="BA422" s="476">
        <f t="shared" si="984"/>
        <v>0.15</v>
      </c>
      <c r="BB422" s="476">
        <f t="shared" si="985"/>
        <v>0</v>
      </c>
      <c r="BC422" s="478">
        <f t="shared" si="985"/>
        <v>0.15</v>
      </c>
    </row>
    <row r="423" spans="1:55" ht="14.1" customHeight="1" x14ac:dyDescent="0.2">
      <c r="A423" s="74">
        <v>83</v>
      </c>
      <c r="B423" s="71">
        <v>2493</v>
      </c>
      <c r="C423" s="72">
        <v>600080021</v>
      </c>
      <c r="D423" s="71">
        <v>72742399</v>
      </c>
      <c r="E423" s="73" t="s">
        <v>729</v>
      </c>
      <c r="F423" s="74"/>
      <c r="G423" s="73"/>
      <c r="H423" s="75"/>
      <c r="I423" s="76">
        <v>32463654</v>
      </c>
      <c r="J423" s="77">
        <v>23527535</v>
      </c>
      <c r="K423" s="77">
        <v>38000</v>
      </c>
      <c r="L423" s="77">
        <v>7965151</v>
      </c>
      <c r="M423" s="77">
        <v>470550</v>
      </c>
      <c r="N423" s="77">
        <v>462418</v>
      </c>
      <c r="O423" s="78">
        <v>50.23129999999999</v>
      </c>
      <c r="P423" s="78">
        <v>35.114499999999992</v>
      </c>
      <c r="Q423" s="718">
        <v>15.1168</v>
      </c>
      <c r="R423" s="76">
        <f t="shared" ref="R423:BC423" si="986">SUM(R417:R422)</f>
        <v>0</v>
      </c>
      <c r="S423" s="77">
        <f t="shared" si="986"/>
        <v>-10121</v>
      </c>
      <c r="T423" s="77">
        <f t="shared" si="986"/>
        <v>-16645</v>
      </c>
      <c r="U423" s="77">
        <f t="shared" si="986"/>
        <v>0</v>
      </c>
      <c r="V423" s="77">
        <f t="shared" si="986"/>
        <v>-184094</v>
      </c>
      <c r="W423" s="77">
        <f t="shared" si="986"/>
        <v>0</v>
      </c>
      <c r="X423" s="77">
        <f t="shared" si="986"/>
        <v>-210860</v>
      </c>
      <c r="Y423" s="77">
        <f t="shared" si="986"/>
        <v>0</v>
      </c>
      <c r="Z423" s="77">
        <f t="shared" si="986"/>
        <v>0</v>
      </c>
      <c r="AA423" s="77">
        <f t="shared" si="986"/>
        <v>0</v>
      </c>
      <c r="AB423" s="77">
        <f t="shared" si="986"/>
        <v>0</v>
      </c>
      <c r="AC423" s="77">
        <f t="shared" si="986"/>
        <v>-210860</v>
      </c>
      <c r="AD423" s="77">
        <f t="shared" si="986"/>
        <v>-71271</v>
      </c>
      <c r="AE423" s="77">
        <f t="shared" si="986"/>
        <v>-4217</v>
      </c>
      <c r="AF423" s="77">
        <f t="shared" si="986"/>
        <v>0</v>
      </c>
      <c r="AG423" s="77">
        <f t="shared" si="986"/>
        <v>250000</v>
      </c>
      <c r="AH423" s="77">
        <f t="shared" si="986"/>
        <v>250000</v>
      </c>
      <c r="AI423" s="77">
        <f t="shared" si="986"/>
        <v>-36348</v>
      </c>
      <c r="AJ423" s="78">
        <f t="shared" si="986"/>
        <v>0</v>
      </c>
      <c r="AK423" s="78">
        <f t="shared" si="986"/>
        <v>0</v>
      </c>
      <c r="AL423" s="78">
        <f t="shared" si="986"/>
        <v>-0.09</v>
      </c>
      <c r="AM423" s="78">
        <f t="shared" si="986"/>
        <v>0</v>
      </c>
      <c r="AN423" s="78">
        <f t="shared" si="986"/>
        <v>-5.0000000000000044E-2</v>
      </c>
      <c r="AO423" s="78">
        <f t="shared" si="986"/>
        <v>0</v>
      </c>
      <c r="AP423" s="78">
        <f t="shared" si="986"/>
        <v>0</v>
      </c>
      <c r="AQ423" s="78">
        <f t="shared" si="986"/>
        <v>0</v>
      </c>
      <c r="AR423" s="78">
        <f t="shared" si="986"/>
        <v>-0.09</v>
      </c>
      <c r="AS423" s="78">
        <f t="shared" si="986"/>
        <v>-5.0000000000000044E-2</v>
      </c>
      <c r="AT423" s="79">
        <f t="shared" si="986"/>
        <v>-0.14000000000000004</v>
      </c>
      <c r="AU423" s="433">
        <f t="shared" si="986"/>
        <v>32427306</v>
      </c>
      <c r="AV423" s="77">
        <f t="shared" si="986"/>
        <v>23316675</v>
      </c>
      <c r="AW423" s="77">
        <f t="shared" si="986"/>
        <v>38000</v>
      </c>
      <c r="AX423" s="77">
        <f t="shared" si="986"/>
        <v>7893880</v>
      </c>
      <c r="AY423" s="77">
        <f t="shared" si="986"/>
        <v>466333</v>
      </c>
      <c r="AZ423" s="77">
        <f t="shared" si="986"/>
        <v>712418</v>
      </c>
      <c r="BA423" s="78">
        <f t="shared" si="986"/>
        <v>50.091299999999997</v>
      </c>
      <c r="BB423" s="78">
        <f t="shared" si="986"/>
        <v>35.024499999999996</v>
      </c>
      <c r="BC423" s="79">
        <f t="shared" si="986"/>
        <v>15.066799999999999</v>
      </c>
    </row>
    <row r="424" spans="1:55" ht="14.1" customHeight="1" x14ac:dyDescent="0.2">
      <c r="A424" s="68">
        <v>84</v>
      </c>
      <c r="B424" s="65">
        <v>2445</v>
      </c>
      <c r="C424" s="66">
        <v>600080030</v>
      </c>
      <c r="D424" s="65">
        <v>70695997</v>
      </c>
      <c r="E424" s="67" t="s">
        <v>730</v>
      </c>
      <c r="F424" s="68">
        <v>3111</v>
      </c>
      <c r="G424" s="67" t="s">
        <v>311</v>
      </c>
      <c r="H424" s="69" t="s">
        <v>277</v>
      </c>
      <c r="I424" s="477">
        <v>3047440</v>
      </c>
      <c r="J424" s="472">
        <v>2230147</v>
      </c>
      <c r="K424" s="472">
        <v>0</v>
      </c>
      <c r="L424" s="472">
        <v>753790</v>
      </c>
      <c r="M424" s="472">
        <v>44603</v>
      </c>
      <c r="N424" s="472">
        <v>18900</v>
      </c>
      <c r="O424" s="473">
        <v>5.0217999999999998</v>
      </c>
      <c r="P424" s="473">
        <v>4</v>
      </c>
      <c r="Q424" s="483">
        <v>1.0218</v>
      </c>
      <c r="R424" s="485">
        <f t="shared" ref="R424:R429" si="987">Y424*-1</f>
        <v>0</v>
      </c>
      <c r="S424" s="475">
        <v>0</v>
      </c>
      <c r="T424" s="475">
        <v>0</v>
      </c>
      <c r="U424" s="475">
        <v>0</v>
      </c>
      <c r="V424" s="475">
        <v>0</v>
      </c>
      <c r="W424" s="475">
        <v>0</v>
      </c>
      <c r="X424" s="475">
        <f t="shared" ref="X424:X429" si="988">SUM(R424:W424)</f>
        <v>0</v>
      </c>
      <c r="Y424" s="475">
        <v>0</v>
      </c>
      <c r="Z424" s="475">
        <v>0</v>
      </c>
      <c r="AA424" s="475">
        <v>0</v>
      </c>
      <c r="AB424" s="475">
        <f t="shared" ref="AB424:AB429" si="989">SUM(Y424:AA424)</f>
        <v>0</v>
      </c>
      <c r="AC424" s="475">
        <f t="shared" ref="AC424:AC429" si="990">X424+AB424</f>
        <v>0</v>
      </c>
      <c r="AD424" s="70">
        <f t="shared" ref="AD424:AD429" si="991">ROUND((X424+Y424+Z424)*33.8%,0)</f>
        <v>0</v>
      </c>
      <c r="AE424" s="70">
        <f t="shared" ref="AE424:AE429" si="992">ROUND(X424*2%,0)</f>
        <v>0</v>
      </c>
      <c r="AF424" s="475">
        <v>0</v>
      </c>
      <c r="AG424" s="475">
        <v>0</v>
      </c>
      <c r="AH424" s="475">
        <f t="shared" ref="AH424:AH429" si="993">SUM(AF424:AG424)</f>
        <v>0</v>
      </c>
      <c r="AI424" s="475">
        <f t="shared" ref="AI424:AI429" si="994">AC424+AD424+AE424+AH424</f>
        <v>0</v>
      </c>
      <c r="AJ424" s="476">
        <v>0</v>
      </c>
      <c r="AK424" s="476">
        <v>0</v>
      </c>
      <c r="AL424" s="476">
        <v>0</v>
      </c>
      <c r="AM424" s="476">
        <v>0</v>
      </c>
      <c r="AN424" s="476">
        <v>0</v>
      </c>
      <c r="AO424" s="476">
        <v>0</v>
      </c>
      <c r="AP424" s="476">
        <v>0</v>
      </c>
      <c r="AQ424" s="476">
        <v>0</v>
      </c>
      <c r="AR424" s="476">
        <f t="shared" si="929"/>
        <v>0</v>
      </c>
      <c r="AS424" s="476">
        <f t="shared" si="930"/>
        <v>0</v>
      </c>
      <c r="AT424" s="478">
        <f t="shared" si="931"/>
        <v>0</v>
      </c>
      <c r="AU424" s="484">
        <f t="shared" ref="AU424:AU429" si="995">I424+AI424</f>
        <v>3047440</v>
      </c>
      <c r="AV424" s="475">
        <f t="shared" ref="AV424:AV429" si="996">J424+X424</f>
        <v>2230147</v>
      </c>
      <c r="AW424" s="475">
        <f t="shared" ref="AW424:AW429" si="997">K424+AB424</f>
        <v>0</v>
      </c>
      <c r="AX424" s="475">
        <f t="shared" ref="AX424:AY429" si="998">L424+AD424</f>
        <v>753790</v>
      </c>
      <c r="AY424" s="475">
        <f t="shared" si="998"/>
        <v>44603</v>
      </c>
      <c r="AZ424" s="475">
        <f t="shared" ref="AZ424:AZ429" si="999">N424+AH424</f>
        <v>18900</v>
      </c>
      <c r="BA424" s="476">
        <f t="shared" ref="BA424:BA429" si="1000">O424+AT424</f>
        <v>5.0217999999999998</v>
      </c>
      <c r="BB424" s="476">
        <f t="shared" ref="BB424:BC429" si="1001">P424+AR424</f>
        <v>4</v>
      </c>
      <c r="BC424" s="478">
        <f t="shared" si="1001"/>
        <v>1.0218</v>
      </c>
    </row>
    <row r="425" spans="1:55" ht="14.1" customHeight="1" x14ac:dyDescent="0.2">
      <c r="A425" s="68">
        <v>84</v>
      </c>
      <c r="B425" s="65">
        <v>2445</v>
      </c>
      <c r="C425" s="66">
        <v>600080030</v>
      </c>
      <c r="D425" s="65">
        <v>70695997</v>
      </c>
      <c r="E425" s="67" t="s">
        <v>730</v>
      </c>
      <c r="F425" s="68">
        <v>3117</v>
      </c>
      <c r="G425" s="67" t="s">
        <v>314</v>
      </c>
      <c r="H425" s="69" t="s">
        <v>277</v>
      </c>
      <c r="I425" s="477">
        <v>4391710</v>
      </c>
      <c r="J425" s="472">
        <v>3113881</v>
      </c>
      <c r="K425" s="472">
        <v>12040</v>
      </c>
      <c r="L425" s="472">
        <v>1056561</v>
      </c>
      <c r="M425" s="472">
        <v>62278</v>
      </c>
      <c r="N425" s="472">
        <v>146950</v>
      </c>
      <c r="O425" s="473">
        <v>6.736699999999999</v>
      </c>
      <c r="P425" s="473">
        <v>4.798</v>
      </c>
      <c r="Q425" s="483">
        <v>1.9386999999999999</v>
      </c>
      <c r="R425" s="485">
        <f t="shared" si="987"/>
        <v>0</v>
      </c>
      <c r="S425" s="475">
        <v>0</v>
      </c>
      <c r="T425" s="475">
        <v>0</v>
      </c>
      <c r="U425" s="475">
        <v>0</v>
      </c>
      <c r="V425" s="475">
        <v>0</v>
      </c>
      <c r="W425" s="475">
        <v>0</v>
      </c>
      <c r="X425" s="475">
        <f t="shared" si="988"/>
        <v>0</v>
      </c>
      <c r="Y425" s="475">
        <v>0</v>
      </c>
      <c r="Z425" s="475">
        <v>0</v>
      </c>
      <c r="AA425" s="475">
        <v>0</v>
      </c>
      <c r="AB425" s="475">
        <f t="shared" si="989"/>
        <v>0</v>
      </c>
      <c r="AC425" s="475">
        <f t="shared" si="990"/>
        <v>0</v>
      </c>
      <c r="AD425" s="70">
        <f t="shared" si="991"/>
        <v>0</v>
      </c>
      <c r="AE425" s="70">
        <f t="shared" si="992"/>
        <v>0</v>
      </c>
      <c r="AF425" s="475">
        <v>0</v>
      </c>
      <c r="AG425" s="475">
        <v>0</v>
      </c>
      <c r="AH425" s="475">
        <f t="shared" si="993"/>
        <v>0</v>
      </c>
      <c r="AI425" s="475">
        <f t="shared" si="994"/>
        <v>0</v>
      </c>
      <c r="AJ425" s="476">
        <v>0</v>
      </c>
      <c r="AK425" s="476">
        <v>0</v>
      </c>
      <c r="AL425" s="476">
        <v>0</v>
      </c>
      <c r="AM425" s="476">
        <v>0</v>
      </c>
      <c r="AN425" s="476">
        <v>0</v>
      </c>
      <c r="AO425" s="476">
        <v>0</v>
      </c>
      <c r="AP425" s="476">
        <v>0</v>
      </c>
      <c r="AQ425" s="476">
        <v>0</v>
      </c>
      <c r="AR425" s="476">
        <f t="shared" si="929"/>
        <v>0</v>
      </c>
      <c r="AS425" s="476">
        <f t="shared" si="930"/>
        <v>0</v>
      </c>
      <c r="AT425" s="478">
        <f t="shared" si="931"/>
        <v>0</v>
      </c>
      <c r="AU425" s="484">
        <f t="shared" si="995"/>
        <v>4391710</v>
      </c>
      <c r="AV425" s="475">
        <f t="shared" si="996"/>
        <v>3113881</v>
      </c>
      <c r="AW425" s="475">
        <f t="shared" si="997"/>
        <v>12040</v>
      </c>
      <c r="AX425" s="475">
        <f t="shared" si="998"/>
        <v>1056561</v>
      </c>
      <c r="AY425" s="475">
        <f t="shared" si="998"/>
        <v>62278</v>
      </c>
      <c r="AZ425" s="475">
        <f t="shared" si="999"/>
        <v>146950</v>
      </c>
      <c r="BA425" s="476">
        <f t="shared" si="1000"/>
        <v>6.736699999999999</v>
      </c>
      <c r="BB425" s="476">
        <f t="shared" si="1001"/>
        <v>4.798</v>
      </c>
      <c r="BC425" s="478">
        <f t="shared" si="1001"/>
        <v>1.9386999999999999</v>
      </c>
    </row>
    <row r="426" spans="1:55" ht="14.1" customHeight="1" x14ac:dyDescent="0.2">
      <c r="A426" s="68">
        <v>84</v>
      </c>
      <c r="B426" s="65">
        <v>2445</v>
      </c>
      <c r="C426" s="66">
        <v>600080030</v>
      </c>
      <c r="D426" s="65">
        <v>70695997</v>
      </c>
      <c r="E426" s="67" t="s">
        <v>730</v>
      </c>
      <c r="F426" s="68">
        <v>3117</v>
      </c>
      <c r="G426" s="80" t="s">
        <v>312</v>
      </c>
      <c r="H426" s="69" t="s">
        <v>278</v>
      </c>
      <c r="I426" s="477">
        <v>2153730</v>
      </c>
      <c r="J426" s="472">
        <v>1585957</v>
      </c>
      <c r="K426" s="472">
        <v>0</v>
      </c>
      <c r="L426" s="472">
        <v>536053</v>
      </c>
      <c r="M426" s="472">
        <v>31720</v>
      </c>
      <c r="N426" s="472">
        <v>0</v>
      </c>
      <c r="O426" s="473">
        <v>4.58</v>
      </c>
      <c r="P426" s="474">
        <v>4.58</v>
      </c>
      <c r="Q426" s="483">
        <v>0</v>
      </c>
      <c r="R426" s="485">
        <f t="shared" si="987"/>
        <v>0</v>
      </c>
      <c r="S426" s="475">
        <v>5784</v>
      </c>
      <c r="T426" s="475">
        <v>0</v>
      </c>
      <c r="U426" s="475">
        <v>0</v>
      </c>
      <c r="V426" s="475">
        <v>0</v>
      </c>
      <c r="W426" s="475">
        <v>0</v>
      </c>
      <c r="X426" s="475">
        <f t="shared" si="988"/>
        <v>5784</v>
      </c>
      <c r="Y426" s="475">
        <v>0</v>
      </c>
      <c r="Z426" s="475">
        <v>0</v>
      </c>
      <c r="AA426" s="475">
        <v>0</v>
      </c>
      <c r="AB426" s="475">
        <f t="shared" si="989"/>
        <v>0</v>
      </c>
      <c r="AC426" s="475">
        <f t="shared" si="990"/>
        <v>5784</v>
      </c>
      <c r="AD426" s="70">
        <f t="shared" si="991"/>
        <v>1955</v>
      </c>
      <c r="AE426" s="70">
        <f t="shared" si="992"/>
        <v>116</v>
      </c>
      <c r="AF426" s="475">
        <v>0</v>
      </c>
      <c r="AG426" s="475">
        <v>0</v>
      </c>
      <c r="AH426" s="475">
        <f t="shared" si="993"/>
        <v>0</v>
      </c>
      <c r="AI426" s="475">
        <f t="shared" si="994"/>
        <v>7855</v>
      </c>
      <c r="AJ426" s="476">
        <v>0</v>
      </c>
      <c r="AK426" s="476">
        <v>0</v>
      </c>
      <c r="AL426" s="476">
        <v>0.01</v>
      </c>
      <c r="AM426" s="476">
        <v>0</v>
      </c>
      <c r="AN426" s="476">
        <v>0</v>
      </c>
      <c r="AO426" s="476">
        <v>0</v>
      </c>
      <c r="AP426" s="476">
        <v>0</v>
      </c>
      <c r="AQ426" s="476">
        <v>0</v>
      </c>
      <c r="AR426" s="476">
        <f t="shared" si="929"/>
        <v>0.01</v>
      </c>
      <c r="AS426" s="476">
        <f t="shared" si="930"/>
        <v>0</v>
      </c>
      <c r="AT426" s="478">
        <f t="shared" si="931"/>
        <v>0.01</v>
      </c>
      <c r="AU426" s="484">
        <f t="shared" si="995"/>
        <v>2161585</v>
      </c>
      <c r="AV426" s="475">
        <f t="shared" si="996"/>
        <v>1591741</v>
      </c>
      <c r="AW426" s="475">
        <f t="shared" si="997"/>
        <v>0</v>
      </c>
      <c r="AX426" s="475">
        <f t="shared" si="998"/>
        <v>538008</v>
      </c>
      <c r="AY426" s="475">
        <f t="shared" si="998"/>
        <v>31836</v>
      </c>
      <c r="AZ426" s="475">
        <f t="shared" si="999"/>
        <v>0</v>
      </c>
      <c r="BA426" s="476">
        <f t="shared" si="1000"/>
        <v>4.59</v>
      </c>
      <c r="BB426" s="476">
        <f t="shared" si="1001"/>
        <v>4.59</v>
      </c>
      <c r="BC426" s="478">
        <f t="shared" si="1001"/>
        <v>0</v>
      </c>
    </row>
    <row r="427" spans="1:55" ht="14.1" customHeight="1" x14ac:dyDescent="0.2">
      <c r="A427" s="68">
        <v>84</v>
      </c>
      <c r="B427" s="65">
        <v>2445</v>
      </c>
      <c r="C427" s="66">
        <v>600080030</v>
      </c>
      <c r="D427" s="65">
        <v>70695997</v>
      </c>
      <c r="E427" s="67" t="s">
        <v>730</v>
      </c>
      <c r="F427" s="68">
        <v>3141</v>
      </c>
      <c r="G427" s="67" t="s">
        <v>315</v>
      </c>
      <c r="H427" s="69" t="s">
        <v>278</v>
      </c>
      <c r="I427" s="477">
        <v>1089641</v>
      </c>
      <c r="J427" s="472">
        <v>798714</v>
      </c>
      <c r="K427" s="472">
        <v>0</v>
      </c>
      <c r="L427" s="472">
        <v>269965</v>
      </c>
      <c r="M427" s="472">
        <v>15974</v>
      </c>
      <c r="N427" s="472">
        <v>4988</v>
      </c>
      <c r="O427" s="473">
        <v>2.52</v>
      </c>
      <c r="P427" s="474">
        <v>0</v>
      </c>
      <c r="Q427" s="483">
        <v>2.52</v>
      </c>
      <c r="R427" s="485">
        <f t="shared" si="987"/>
        <v>0</v>
      </c>
      <c r="S427" s="475">
        <v>0</v>
      </c>
      <c r="T427" s="755">
        <v>3791</v>
      </c>
      <c r="U427" s="475">
        <v>0</v>
      </c>
      <c r="V427" s="475">
        <v>0</v>
      </c>
      <c r="W427" s="475">
        <v>0</v>
      </c>
      <c r="X427" s="475">
        <f t="shared" si="988"/>
        <v>3791</v>
      </c>
      <c r="Y427" s="475">
        <v>0</v>
      </c>
      <c r="Z427" s="475">
        <v>0</v>
      </c>
      <c r="AA427" s="475">
        <v>0</v>
      </c>
      <c r="AB427" s="475">
        <f t="shared" si="989"/>
        <v>0</v>
      </c>
      <c r="AC427" s="475">
        <f t="shared" si="990"/>
        <v>3791</v>
      </c>
      <c r="AD427" s="70">
        <f t="shared" si="991"/>
        <v>1281</v>
      </c>
      <c r="AE427" s="70">
        <f t="shared" si="992"/>
        <v>76</v>
      </c>
      <c r="AF427" s="475">
        <v>0</v>
      </c>
      <c r="AG427" s="475">
        <v>0</v>
      </c>
      <c r="AH427" s="475">
        <f t="shared" si="993"/>
        <v>0</v>
      </c>
      <c r="AI427" s="475">
        <f t="shared" si="994"/>
        <v>5148</v>
      </c>
      <c r="AJ427" s="476">
        <v>0</v>
      </c>
      <c r="AK427" s="476">
        <v>0</v>
      </c>
      <c r="AL427" s="476">
        <v>0</v>
      </c>
      <c r="AM427" s="476">
        <v>0</v>
      </c>
      <c r="AN427" s="756">
        <v>1.0000000000000009E-2</v>
      </c>
      <c r="AO427" s="476">
        <v>0</v>
      </c>
      <c r="AP427" s="476">
        <v>0</v>
      </c>
      <c r="AQ427" s="476">
        <v>0</v>
      </c>
      <c r="AR427" s="476">
        <f t="shared" si="929"/>
        <v>0</v>
      </c>
      <c r="AS427" s="476">
        <f t="shared" si="930"/>
        <v>1.0000000000000009E-2</v>
      </c>
      <c r="AT427" s="478">
        <f t="shared" si="931"/>
        <v>1.0000000000000009E-2</v>
      </c>
      <c r="AU427" s="484">
        <f t="shared" si="995"/>
        <v>1094789</v>
      </c>
      <c r="AV427" s="475">
        <f t="shared" si="996"/>
        <v>802505</v>
      </c>
      <c r="AW427" s="475">
        <f t="shared" si="997"/>
        <v>0</v>
      </c>
      <c r="AX427" s="475">
        <f t="shared" si="998"/>
        <v>271246</v>
      </c>
      <c r="AY427" s="475">
        <f t="shared" si="998"/>
        <v>16050</v>
      </c>
      <c r="AZ427" s="475">
        <f t="shared" si="999"/>
        <v>4988</v>
      </c>
      <c r="BA427" s="476">
        <f t="shared" si="1000"/>
        <v>2.5300000000000002</v>
      </c>
      <c r="BB427" s="476">
        <f t="shared" si="1001"/>
        <v>0</v>
      </c>
      <c r="BC427" s="478">
        <f t="shared" si="1001"/>
        <v>2.5300000000000002</v>
      </c>
    </row>
    <row r="428" spans="1:55" ht="14.1" customHeight="1" x14ac:dyDescent="0.2">
      <c r="A428" s="68">
        <v>84</v>
      </c>
      <c r="B428" s="65">
        <v>2445</v>
      </c>
      <c r="C428" s="66">
        <v>600080030</v>
      </c>
      <c r="D428" s="65">
        <v>70695997</v>
      </c>
      <c r="E428" s="67" t="s">
        <v>730</v>
      </c>
      <c r="F428" s="68">
        <v>3143</v>
      </c>
      <c r="G428" s="80" t="s">
        <v>626</v>
      </c>
      <c r="H428" s="69" t="s">
        <v>277</v>
      </c>
      <c r="I428" s="477">
        <v>724581</v>
      </c>
      <c r="J428" s="472">
        <v>533565</v>
      </c>
      <c r="K428" s="472">
        <v>0</v>
      </c>
      <c r="L428" s="472">
        <v>180345</v>
      </c>
      <c r="M428" s="472">
        <v>10671</v>
      </c>
      <c r="N428" s="472">
        <v>0</v>
      </c>
      <c r="O428" s="473">
        <v>1.1432</v>
      </c>
      <c r="P428" s="473">
        <v>1.1432</v>
      </c>
      <c r="Q428" s="483">
        <v>0</v>
      </c>
      <c r="R428" s="485">
        <f t="shared" si="987"/>
        <v>0</v>
      </c>
      <c r="S428" s="475">
        <v>0</v>
      </c>
      <c r="T428" s="475">
        <v>127572</v>
      </c>
      <c r="U428" s="475">
        <v>0</v>
      </c>
      <c r="V428" s="475">
        <v>0</v>
      </c>
      <c r="W428" s="475">
        <v>0</v>
      </c>
      <c r="X428" s="475">
        <f t="shared" si="988"/>
        <v>127572</v>
      </c>
      <c r="Y428" s="475">
        <v>0</v>
      </c>
      <c r="Z428" s="475">
        <v>0</v>
      </c>
      <c r="AA428" s="475">
        <v>0</v>
      </c>
      <c r="AB428" s="475">
        <f t="shared" si="989"/>
        <v>0</v>
      </c>
      <c r="AC428" s="475">
        <f t="shared" si="990"/>
        <v>127572</v>
      </c>
      <c r="AD428" s="70">
        <f t="shared" si="991"/>
        <v>43119</v>
      </c>
      <c r="AE428" s="70">
        <f t="shared" si="992"/>
        <v>2551</v>
      </c>
      <c r="AF428" s="475">
        <v>0</v>
      </c>
      <c r="AG428" s="475">
        <v>0</v>
      </c>
      <c r="AH428" s="475">
        <f t="shared" si="993"/>
        <v>0</v>
      </c>
      <c r="AI428" s="475">
        <f t="shared" si="994"/>
        <v>173242</v>
      </c>
      <c r="AJ428" s="476">
        <v>0</v>
      </c>
      <c r="AK428" s="476">
        <v>0</v>
      </c>
      <c r="AL428" s="476">
        <v>0</v>
      </c>
      <c r="AM428" s="476">
        <v>0.27</v>
      </c>
      <c r="AN428" s="476">
        <v>0</v>
      </c>
      <c r="AO428" s="476">
        <v>0</v>
      </c>
      <c r="AP428" s="476">
        <v>0</v>
      </c>
      <c r="AQ428" s="476">
        <v>0</v>
      </c>
      <c r="AR428" s="476">
        <f t="shared" si="929"/>
        <v>0.27</v>
      </c>
      <c r="AS428" s="476">
        <f t="shared" si="930"/>
        <v>0</v>
      </c>
      <c r="AT428" s="478">
        <f t="shared" si="931"/>
        <v>0.27</v>
      </c>
      <c r="AU428" s="484">
        <f t="shared" si="995"/>
        <v>897823</v>
      </c>
      <c r="AV428" s="475">
        <f t="shared" si="996"/>
        <v>661137</v>
      </c>
      <c r="AW428" s="475">
        <f t="shared" si="997"/>
        <v>0</v>
      </c>
      <c r="AX428" s="475">
        <f t="shared" si="998"/>
        <v>223464</v>
      </c>
      <c r="AY428" s="475">
        <f t="shared" si="998"/>
        <v>13222</v>
      </c>
      <c r="AZ428" s="475">
        <f t="shared" si="999"/>
        <v>0</v>
      </c>
      <c r="BA428" s="476">
        <f t="shared" si="1000"/>
        <v>1.4132</v>
      </c>
      <c r="BB428" s="476">
        <f t="shared" si="1001"/>
        <v>1.4132</v>
      </c>
      <c r="BC428" s="478">
        <f t="shared" si="1001"/>
        <v>0</v>
      </c>
    </row>
    <row r="429" spans="1:55" ht="14.1" customHeight="1" x14ac:dyDescent="0.2">
      <c r="A429" s="68">
        <v>84</v>
      </c>
      <c r="B429" s="65">
        <v>2445</v>
      </c>
      <c r="C429" s="66">
        <v>600080030</v>
      </c>
      <c r="D429" s="65">
        <v>70695997</v>
      </c>
      <c r="E429" s="67" t="s">
        <v>730</v>
      </c>
      <c r="F429" s="68">
        <v>3143</v>
      </c>
      <c r="G429" s="80" t="s">
        <v>627</v>
      </c>
      <c r="H429" s="69" t="s">
        <v>278</v>
      </c>
      <c r="I429" s="477">
        <v>18899</v>
      </c>
      <c r="J429" s="472">
        <v>13365</v>
      </c>
      <c r="K429" s="472">
        <v>0</v>
      </c>
      <c r="L429" s="472">
        <v>4517</v>
      </c>
      <c r="M429" s="472">
        <v>267</v>
      </c>
      <c r="N429" s="472">
        <v>750</v>
      </c>
      <c r="O429" s="473">
        <v>0.05</v>
      </c>
      <c r="P429" s="474">
        <v>0</v>
      </c>
      <c r="Q429" s="483">
        <v>0.05</v>
      </c>
      <c r="R429" s="485">
        <f t="shared" si="987"/>
        <v>0</v>
      </c>
      <c r="S429" s="475">
        <v>0</v>
      </c>
      <c r="T429" s="475">
        <v>0</v>
      </c>
      <c r="U429" s="475">
        <v>0</v>
      </c>
      <c r="V429" s="475">
        <v>0</v>
      </c>
      <c r="W429" s="475">
        <v>0</v>
      </c>
      <c r="X429" s="475">
        <f t="shared" si="988"/>
        <v>0</v>
      </c>
      <c r="Y429" s="475">
        <v>0</v>
      </c>
      <c r="Z429" s="475">
        <v>0</v>
      </c>
      <c r="AA429" s="475">
        <v>0</v>
      </c>
      <c r="AB429" s="475">
        <f t="shared" si="989"/>
        <v>0</v>
      </c>
      <c r="AC429" s="475">
        <f t="shared" si="990"/>
        <v>0</v>
      </c>
      <c r="AD429" s="70">
        <f t="shared" si="991"/>
        <v>0</v>
      </c>
      <c r="AE429" s="70">
        <f t="shared" si="992"/>
        <v>0</v>
      </c>
      <c r="AF429" s="475">
        <v>0</v>
      </c>
      <c r="AG429" s="475">
        <v>0</v>
      </c>
      <c r="AH429" s="475">
        <f t="shared" si="993"/>
        <v>0</v>
      </c>
      <c r="AI429" s="475">
        <f t="shared" si="994"/>
        <v>0</v>
      </c>
      <c r="AJ429" s="476">
        <v>0</v>
      </c>
      <c r="AK429" s="476">
        <v>0</v>
      </c>
      <c r="AL429" s="476">
        <v>0</v>
      </c>
      <c r="AM429" s="476">
        <v>0</v>
      </c>
      <c r="AN429" s="476">
        <v>0</v>
      </c>
      <c r="AO429" s="476">
        <v>0</v>
      </c>
      <c r="AP429" s="476">
        <v>0</v>
      </c>
      <c r="AQ429" s="476">
        <v>0</v>
      </c>
      <c r="AR429" s="476">
        <f t="shared" si="929"/>
        <v>0</v>
      </c>
      <c r="AS429" s="476">
        <f t="shared" si="930"/>
        <v>0</v>
      </c>
      <c r="AT429" s="478">
        <f t="shared" si="931"/>
        <v>0</v>
      </c>
      <c r="AU429" s="484">
        <f t="shared" si="995"/>
        <v>18899</v>
      </c>
      <c r="AV429" s="475">
        <f t="shared" si="996"/>
        <v>13365</v>
      </c>
      <c r="AW429" s="475">
        <f t="shared" si="997"/>
        <v>0</v>
      </c>
      <c r="AX429" s="475">
        <f t="shared" si="998"/>
        <v>4517</v>
      </c>
      <c r="AY429" s="475">
        <f t="shared" si="998"/>
        <v>267</v>
      </c>
      <c r="AZ429" s="475">
        <f t="shared" si="999"/>
        <v>750</v>
      </c>
      <c r="BA429" s="476">
        <f t="shared" si="1000"/>
        <v>0.05</v>
      </c>
      <c r="BB429" s="476">
        <f t="shared" si="1001"/>
        <v>0</v>
      </c>
      <c r="BC429" s="478">
        <f t="shared" si="1001"/>
        <v>0.05</v>
      </c>
    </row>
    <row r="430" spans="1:55" ht="14.1" customHeight="1" x14ac:dyDescent="0.2">
      <c r="A430" s="74">
        <v>84</v>
      </c>
      <c r="B430" s="71">
        <v>2445</v>
      </c>
      <c r="C430" s="72">
        <v>600080030</v>
      </c>
      <c r="D430" s="71">
        <v>70695997</v>
      </c>
      <c r="E430" s="73" t="s">
        <v>731</v>
      </c>
      <c r="F430" s="74"/>
      <c r="G430" s="73"/>
      <c r="H430" s="75"/>
      <c r="I430" s="76">
        <v>11426001</v>
      </c>
      <c r="J430" s="77">
        <v>8275629</v>
      </c>
      <c r="K430" s="77">
        <v>12040</v>
      </c>
      <c r="L430" s="77">
        <v>2801231</v>
      </c>
      <c r="M430" s="77">
        <v>165513</v>
      </c>
      <c r="N430" s="77">
        <v>171588</v>
      </c>
      <c r="O430" s="78">
        <v>20.051699999999997</v>
      </c>
      <c r="P430" s="78">
        <v>14.5212</v>
      </c>
      <c r="Q430" s="718">
        <v>5.5304999999999991</v>
      </c>
      <c r="R430" s="76">
        <f t="shared" ref="R430:BC430" si="1002">SUM(R424:R429)</f>
        <v>0</v>
      </c>
      <c r="S430" s="77">
        <f t="shared" si="1002"/>
        <v>5784</v>
      </c>
      <c r="T430" s="77">
        <f t="shared" si="1002"/>
        <v>131363</v>
      </c>
      <c r="U430" s="77">
        <f t="shared" si="1002"/>
        <v>0</v>
      </c>
      <c r="V430" s="77">
        <f t="shared" si="1002"/>
        <v>0</v>
      </c>
      <c r="W430" s="77">
        <f t="shared" si="1002"/>
        <v>0</v>
      </c>
      <c r="X430" s="77">
        <f t="shared" si="1002"/>
        <v>137147</v>
      </c>
      <c r="Y430" s="77">
        <f t="shared" si="1002"/>
        <v>0</v>
      </c>
      <c r="Z430" s="77">
        <f t="shared" si="1002"/>
        <v>0</v>
      </c>
      <c r="AA430" s="77">
        <f t="shared" si="1002"/>
        <v>0</v>
      </c>
      <c r="AB430" s="77">
        <f t="shared" si="1002"/>
        <v>0</v>
      </c>
      <c r="AC430" s="77">
        <f t="shared" si="1002"/>
        <v>137147</v>
      </c>
      <c r="AD430" s="77">
        <f t="shared" si="1002"/>
        <v>46355</v>
      </c>
      <c r="AE430" s="77">
        <f t="shared" si="1002"/>
        <v>2743</v>
      </c>
      <c r="AF430" s="77">
        <f t="shared" si="1002"/>
        <v>0</v>
      </c>
      <c r="AG430" s="77">
        <f t="shared" si="1002"/>
        <v>0</v>
      </c>
      <c r="AH430" s="77">
        <f t="shared" si="1002"/>
        <v>0</v>
      </c>
      <c r="AI430" s="77">
        <f t="shared" si="1002"/>
        <v>186245</v>
      </c>
      <c r="AJ430" s="78">
        <f t="shared" si="1002"/>
        <v>0</v>
      </c>
      <c r="AK430" s="78">
        <f t="shared" si="1002"/>
        <v>0</v>
      </c>
      <c r="AL430" s="78">
        <f t="shared" si="1002"/>
        <v>0.01</v>
      </c>
      <c r="AM430" s="78">
        <f t="shared" si="1002"/>
        <v>0.27</v>
      </c>
      <c r="AN430" s="78">
        <f t="shared" si="1002"/>
        <v>1.0000000000000009E-2</v>
      </c>
      <c r="AO430" s="78">
        <f t="shared" si="1002"/>
        <v>0</v>
      </c>
      <c r="AP430" s="78">
        <f t="shared" si="1002"/>
        <v>0</v>
      </c>
      <c r="AQ430" s="78">
        <f t="shared" si="1002"/>
        <v>0</v>
      </c>
      <c r="AR430" s="78">
        <f t="shared" si="1002"/>
        <v>0.28000000000000003</v>
      </c>
      <c r="AS430" s="78">
        <f t="shared" si="1002"/>
        <v>1.0000000000000009E-2</v>
      </c>
      <c r="AT430" s="79">
        <f t="shared" si="1002"/>
        <v>0.29000000000000004</v>
      </c>
      <c r="AU430" s="433">
        <f t="shared" si="1002"/>
        <v>11612246</v>
      </c>
      <c r="AV430" s="77">
        <f t="shared" si="1002"/>
        <v>8412776</v>
      </c>
      <c r="AW430" s="77">
        <f t="shared" si="1002"/>
        <v>12040</v>
      </c>
      <c r="AX430" s="77">
        <f t="shared" si="1002"/>
        <v>2847586</v>
      </c>
      <c r="AY430" s="77">
        <f t="shared" si="1002"/>
        <v>168256</v>
      </c>
      <c r="AZ430" s="77">
        <f t="shared" si="1002"/>
        <v>171588</v>
      </c>
      <c r="BA430" s="78">
        <f t="shared" si="1002"/>
        <v>20.341699999999999</v>
      </c>
      <c r="BB430" s="78">
        <f t="shared" si="1002"/>
        <v>14.8012</v>
      </c>
      <c r="BC430" s="79">
        <f t="shared" si="1002"/>
        <v>5.5404999999999998</v>
      </c>
    </row>
    <row r="431" spans="1:55" ht="14.1" customHeight="1" x14ac:dyDescent="0.2">
      <c r="A431" s="68">
        <v>85</v>
      </c>
      <c r="B431" s="65">
        <v>2495</v>
      </c>
      <c r="C431" s="66">
        <v>600080196</v>
      </c>
      <c r="D431" s="65">
        <v>70983810</v>
      </c>
      <c r="E431" s="67" t="s">
        <v>732</v>
      </c>
      <c r="F431" s="68">
        <v>3111</v>
      </c>
      <c r="G431" s="67" t="s">
        <v>311</v>
      </c>
      <c r="H431" s="69" t="s">
        <v>277</v>
      </c>
      <c r="I431" s="477">
        <v>4426411</v>
      </c>
      <c r="J431" s="472">
        <v>3213999</v>
      </c>
      <c r="K431" s="472">
        <v>25000</v>
      </c>
      <c r="L431" s="472">
        <v>1094782</v>
      </c>
      <c r="M431" s="472">
        <v>64280</v>
      </c>
      <c r="N431" s="472">
        <v>28350</v>
      </c>
      <c r="O431" s="473">
        <v>7.3654000000000002</v>
      </c>
      <c r="P431" s="473">
        <v>5.8326000000000002</v>
      </c>
      <c r="Q431" s="483">
        <v>1.5327999999999999</v>
      </c>
      <c r="R431" s="485">
        <f t="shared" ref="R431:R436" si="1003">Y431*-1</f>
        <v>0</v>
      </c>
      <c r="S431" s="475">
        <v>0</v>
      </c>
      <c r="T431" s="475">
        <v>0</v>
      </c>
      <c r="U431" s="475">
        <v>0</v>
      </c>
      <c r="V431" s="475">
        <v>0</v>
      </c>
      <c r="W431" s="475">
        <v>0</v>
      </c>
      <c r="X431" s="475">
        <f t="shared" ref="X431:X436" si="1004">SUM(R431:W431)</f>
        <v>0</v>
      </c>
      <c r="Y431" s="475">
        <v>0</v>
      </c>
      <c r="Z431" s="475">
        <v>0</v>
      </c>
      <c r="AA431" s="475">
        <v>0</v>
      </c>
      <c r="AB431" s="475">
        <f t="shared" ref="AB431:AB436" si="1005">SUM(Y431:AA431)</f>
        <v>0</v>
      </c>
      <c r="AC431" s="475">
        <f t="shared" ref="AC431:AC436" si="1006">X431+AB431</f>
        <v>0</v>
      </c>
      <c r="AD431" s="70">
        <f t="shared" ref="AD431:AD436" si="1007">ROUND((X431+Y431+Z431)*33.8%,0)</f>
        <v>0</v>
      </c>
      <c r="AE431" s="70">
        <f t="shared" ref="AE431:AE436" si="1008">ROUND(X431*2%,0)</f>
        <v>0</v>
      </c>
      <c r="AF431" s="475">
        <v>0</v>
      </c>
      <c r="AG431" s="475">
        <v>0</v>
      </c>
      <c r="AH431" s="475">
        <f t="shared" ref="AH431:AH436" si="1009">SUM(AF431:AG431)</f>
        <v>0</v>
      </c>
      <c r="AI431" s="475">
        <f t="shared" ref="AI431:AI436" si="1010">AC431+AD431+AE431+AH431</f>
        <v>0</v>
      </c>
      <c r="AJ431" s="476">
        <v>0</v>
      </c>
      <c r="AK431" s="476">
        <v>0</v>
      </c>
      <c r="AL431" s="476">
        <v>0</v>
      </c>
      <c r="AM431" s="476">
        <v>0</v>
      </c>
      <c r="AN431" s="476">
        <v>0</v>
      </c>
      <c r="AO431" s="476">
        <v>0</v>
      </c>
      <c r="AP431" s="476">
        <v>0</v>
      </c>
      <c r="AQ431" s="476">
        <v>0</v>
      </c>
      <c r="AR431" s="476">
        <f t="shared" si="929"/>
        <v>0</v>
      </c>
      <c r="AS431" s="476">
        <f t="shared" si="930"/>
        <v>0</v>
      </c>
      <c r="AT431" s="478">
        <f t="shared" si="931"/>
        <v>0</v>
      </c>
      <c r="AU431" s="484">
        <f t="shared" ref="AU431:AU436" si="1011">I431+AI431</f>
        <v>4426411</v>
      </c>
      <c r="AV431" s="475">
        <f t="shared" ref="AV431:AV436" si="1012">J431+X431</f>
        <v>3213999</v>
      </c>
      <c r="AW431" s="475">
        <f t="shared" ref="AW431:AW436" si="1013">K431+AB431</f>
        <v>25000</v>
      </c>
      <c r="AX431" s="475">
        <f t="shared" ref="AX431:AY436" si="1014">L431+AD431</f>
        <v>1094782</v>
      </c>
      <c r="AY431" s="475">
        <f t="shared" si="1014"/>
        <v>64280</v>
      </c>
      <c r="AZ431" s="475">
        <f t="shared" ref="AZ431:AZ436" si="1015">N431+AH431</f>
        <v>28350</v>
      </c>
      <c r="BA431" s="476">
        <f t="shared" ref="BA431:BA436" si="1016">O431+AT431</f>
        <v>7.3654000000000002</v>
      </c>
      <c r="BB431" s="476">
        <f t="shared" ref="BB431:BC436" si="1017">P431+AR431</f>
        <v>5.8326000000000002</v>
      </c>
      <c r="BC431" s="478">
        <f t="shared" si="1017"/>
        <v>1.5327999999999999</v>
      </c>
    </row>
    <row r="432" spans="1:55" ht="14.1" customHeight="1" x14ac:dyDescent="0.2">
      <c r="A432" s="68">
        <v>85</v>
      </c>
      <c r="B432" s="65">
        <v>2495</v>
      </c>
      <c r="C432" s="66">
        <v>600080196</v>
      </c>
      <c r="D432" s="65">
        <v>70983810</v>
      </c>
      <c r="E432" s="67" t="s">
        <v>732</v>
      </c>
      <c r="F432" s="68">
        <v>3113</v>
      </c>
      <c r="G432" s="67" t="s">
        <v>314</v>
      </c>
      <c r="H432" s="69" t="s">
        <v>277</v>
      </c>
      <c r="I432" s="477">
        <v>15641561</v>
      </c>
      <c r="J432" s="472">
        <v>11275347</v>
      </c>
      <c r="K432" s="472">
        <v>0</v>
      </c>
      <c r="L432" s="472">
        <v>3811067</v>
      </c>
      <c r="M432" s="472">
        <v>225507</v>
      </c>
      <c r="N432" s="472">
        <v>329640</v>
      </c>
      <c r="O432" s="473">
        <v>19.444900000000001</v>
      </c>
      <c r="P432" s="473">
        <v>13.8172</v>
      </c>
      <c r="Q432" s="483">
        <v>5.627699999999999</v>
      </c>
      <c r="R432" s="485">
        <f t="shared" si="1003"/>
        <v>0</v>
      </c>
      <c r="S432" s="475">
        <v>0</v>
      </c>
      <c r="T432" s="475">
        <v>0</v>
      </c>
      <c r="U432" s="475">
        <v>0</v>
      </c>
      <c r="V432" s="475">
        <v>0</v>
      </c>
      <c r="W432" s="475">
        <v>0</v>
      </c>
      <c r="X432" s="475">
        <f t="shared" si="1004"/>
        <v>0</v>
      </c>
      <c r="Y432" s="475">
        <v>0</v>
      </c>
      <c r="Z432" s="475">
        <v>0</v>
      </c>
      <c r="AA432" s="475">
        <v>0</v>
      </c>
      <c r="AB432" s="475">
        <f t="shared" si="1005"/>
        <v>0</v>
      </c>
      <c r="AC432" s="475">
        <f t="shared" si="1006"/>
        <v>0</v>
      </c>
      <c r="AD432" s="70">
        <f t="shared" si="1007"/>
        <v>0</v>
      </c>
      <c r="AE432" s="70">
        <f t="shared" si="1008"/>
        <v>0</v>
      </c>
      <c r="AF432" s="475">
        <v>0</v>
      </c>
      <c r="AG432" s="475">
        <v>0</v>
      </c>
      <c r="AH432" s="475">
        <f t="shared" si="1009"/>
        <v>0</v>
      </c>
      <c r="AI432" s="475">
        <f t="shared" si="1010"/>
        <v>0</v>
      </c>
      <c r="AJ432" s="476">
        <v>0</v>
      </c>
      <c r="AK432" s="476">
        <v>0</v>
      </c>
      <c r="AL432" s="476">
        <v>0</v>
      </c>
      <c r="AM432" s="476">
        <v>0</v>
      </c>
      <c r="AN432" s="476">
        <v>0</v>
      </c>
      <c r="AO432" s="476">
        <v>0</v>
      </c>
      <c r="AP432" s="476">
        <v>0</v>
      </c>
      <c r="AQ432" s="476">
        <v>0</v>
      </c>
      <c r="AR432" s="476">
        <f t="shared" si="929"/>
        <v>0</v>
      </c>
      <c r="AS432" s="476">
        <f t="shared" si="930"/>
        <v>0</v>
      </c>
      <c r="AT432" s="478">
        <f t="shared" si="931"/>
        <v>0</v>
      </c>
      <c r="AU432" s="484">
        <f t="shared" si="1011"/>
        <v>15641561</v>
      </c>
      <c r="AV432" s="475">
        <f t="shared" si="1012"/>
        <v>11275347</v>
      </c>
      <c r="AW432" s="475">
        <f t="shared" si="1013"/>
        <v>0</v>
      </c>
      <c r="AX432" s="475">
        <f t="shared" si="1014"/>
        <v>3811067</v>
      </c>
      <c r="AY432" s="475">
        <f t="shared" si="1014"/>
        <v>225507</v>
      </c>
      <c r="AZ432" s="475">
        <f t="shared" si="1015"/>
        <v>329640</v>
      </c>
      <c r="BA432" s="476">
        <f t="shared" si="1016"/>
        <v>19.444900000000001</v>
      </c>
      <c r="BB432" s="476">
        <f t="shared" si="1017"/>
        <v>13.8172</v>
      </c>
      <c r="BC432" s="478">
        <f t="shared" si="1017"/>
        <v>5.627699999999999</v>
      </c>
    </row>
    <row r="433" spans="1:55" ht="14.1" customHeight="1" x14ac:dyDescent="0.2">
      <c r="A433" s="68">
        <v>85</v>
      </c>
      <c r="B433" s="65">
        <v>2495</v>
      </c>
      <c r="C433" s="66">
        <v>600080196</v>
      </c>
      <c r="D433" s="65">
        <v>70983810</v>
      </c>
      <c r="E433" s="67" t="s">
        <v>732</v>
      </c>
      <c r="F433" s="68">
        <v>3113</v>
      </c>
      <c r="G433" s="80" t="s">
        <v>312</v>
      </c>
      <c r="H433" s="69" t="s">
        <v>278</v>
      </c>
      <c r="I433" s="477">
        <v>3135436</v>
      </c>
      <c r="J433" s="472">
        <v>2308863</v>
      </c>
      <c r="K433" s="472">
        <v>0</v>
      </c>
      <c r="L433" s="472">
        <v>780396</v>
      </c>
      <c r="M433" s="472">
        <v>46177</v>
      </c>
      <c r="N433" s="472">
        <v>0</v>
      </c>
      <c r="O433" s="473">
        <v>6.44</v>
      </c>
      <c r="P433" s="474">
        <v>6.44</v>
      </c>
      <c r="Q433" s="483">
        <v>0</v>
      </c>
      <c r="R433" s="485">
        <f t="shared" si="1003"/>
        <v>0</v>
      </c>
      <c r="S433" s="475">
        <v>0</v>
      </c>
      <c r="T433" s="475">
        <v>0</v>
      </c>
      <c r="U433" s="475">
        <v>0</v>
      </c>
      <c r="V433" s="475">
        <v>0</v>
      </c>
      <c r="W433" s="475">
        <v>0</v>
      </c>
      <c r="X433" s="475">
        <f t="shared" si="1004"/>
        <v>0</v>
      </c>
      <c r="Y433" s="475">
        <v>0</v>
      </c>
      <c r="Z433" s="475">
        <v>0</v>
      </c>
      <c r="AA433" s="475">
        <v>0</v>
      </c>
      <c r="AB433" s="475">
        <f t="shared" si="1005"/>
        <v>0</v>
      </c>
      <c r="AC433" s="475">
        <f t="shared" si="1006"/>
        <v>0</v>
      </c>
      <c r="AD433" s="70">
        <f t="shared" si="1007"/>
        <v>0</v>
      </c>
      <c r="AE433" s="70">
        <f t="shared" si="1008"/>
        <v>0</v>
      </c>
      <c r="AF433" s="475">
        <v>0</v>
      </c>
      <c r="AG433" s="475">
        <v>0</v>
      </c>
      <c r="AH433" s="475">
        <f t="shared" si="1009"/>
        <v>0</v>
      </c>
      <c r="AI433" s="475">
        <f t="shared" si="1010"/>
        <v>0</v>
      </c>
      <c r="AJ433" s="476">
        <v>0</v>
      </c>
      <c r="AK433" s="476">
        <v>0</v>
      </c>
      <c r="AL433" s="476">
        <v>0</v>
      </c>
      <c r="AM433" s="476">
        <v>0</v>
      </c>
      <c r="AN433" s="476">
        <v>0</v>
      </c>
      <c r="AO433" s="476">
        <v>0</v>
      </c>
      <c r="AP433" s="476">
        <v>0</v>
      </c>
      <c r="AQ433" s="476">
        <v>0</v>
      </c>
      <c r="AR433" s="476">
        <f t="shared" si="929"/>
        <v>0</v>
      </c>
      <c r="AS433" s="476">
        <f t="shared" si="930"/>
        <v>0</v>
      </c>
      <c r="AT433" s="478">
        <f t="shared" si="931"/>
        <v>0</v>
      </c>
      <c r="AU433" s="484">
        <f t="shared" si="1011"/>
        <v>3135436</v>
      </c>
      <c r="AV433" s="475">
        <f t="shared" si="1012"/>
        <v>2308863</v>
      </c>
      <c r="AW433" s="475">
        <f t="shared" si="1013"/>
        <v>0</v>
      </c>
      <c r="AX433" s="475">
        <f t="shared" si="1014"/>
        <v>780396</v>
      </c>
      <c r="AY433" s="475">
        <f t="shared" si="1014"/>
        <v>46177</v>
      </c>
      <c r="AZ433" s="475">
        <f t="shared" si="1015"/>
        <v>0</v>
      </c>
      <c r="BA433" s="476">
        <f t="shared" si="1016"/>
        <v>6.44</v>
      </c>
      <c r="BB433" s="476">
        <f t="shared" si="1017"/>
        <v>6.44</v>
      </c>
      <c r="BC433" s="478">
        <f t="shared" si="1017"/>
        <v>0</v>
      </c>
    </row>
    <row r="434" spans="1:55" ht="14.1" customHeight="1" x14ac:dyDescent="0.2">
      <c r="A434" s="68">
        <v>85</v>
      </c>
      <c r="B434" s="65">
        <v>2495</v>
      </c>
      <c r="C434" s="66">
        <v>600080196</v>
      </c>
      <c r="D434" s="65">
        <v>70983810</v>
      </c>
      <c r="E434" s="67" t="s">
        <v>732</v>
      </c>
      <c r="F434" s="68">
        <v>3141</v>
      </c>
      <c r="G434" s="67" t="s">
        <v>315</v>
      </c>
      <c r="H434" s="69" t="s">
        <v>278</v>
      </c>
      <c r="I434" s="477">
        <v>2493809</v>
      </c>
      <c r="J434" s="472">
        <v>1824814</v>
      </c>
      <c r="K434" s="472">
        <v>0</v>
      </c>
      <c r="L434" s="472">
        <v>616787</v>
      </c>
      <c r="M434" s="472">
        <v>36496</v>
      </c>
      <c r="N434" s="472">
        <v>15712</v>
      </c>
      <c r="O434" s="473">
        <v>5.75</v>
      </c>
      <c r="P434" s="474">
        <v>0</v>
      </c>
      <c r="Q434" s="483">
        <v>5.75</v>
      </c>
      <c r="R434" s="485">
        <f t="shared" si="1003"/>
        <v>0</v>
      </c>
      <c r="S434" s="475">
        <v>0</v>
      </c>
      <c r="T434" s="755">
        <v>-2545</v>
      </c>
      <c r="U434" s="475">
        <v>0</v>
      </c>
      <c r="V434" s="475">
        <v>0</v>
      </c>
      <c r="W434" s="475">
        <v>0</v>
      </c>
      <c r="X434" s="475">
        <f t="shared" si="1004"/>
        <v>-2545</v>
      </c>
      <c r="Y434" s="475">
        <v>0</v>
      </c>
      <c r="Z434" s="475">
        <v>0</v>
      </c>
      <c r="AA434" s="475">
        <v>0</v>
      </c>
      <c r="AB434" s="475">
        <f t="shared" si="1005"/>
        <v>0</v>
      </c>
      <c r="AC434" s="475">
        <f t="shared" si="1006"/>
        <v>-2545</v>
      </c>
      <c r="AD434" s="70">
        <f t="shared" si="1007"/>
        <v>-860</v>
      </c>
      <c r="AE434" s="70">
        <f t="shared" si="1008"/>
        <v>-51</v>
      </c>
      <c r="AF434" s="475">
        <v>0</v>
      </c>
      <c r="AG434" s="475">
        <v>0</v>
      </c>
      <c r="AH434" s="475">
        <f t="shared" si="1009"/>
        <v>0</v>
      </c>
      <c r="AI434" s="475">
        <f t="shared" si="1010"/>
        <v>-3456</v>
      </c>
      <c r="AJ434" s="476">
        <v>0</v>
      </c>
      <c r="AK434" s="476">
        <v>0</v>
      </c>
      <c r="AL434" s="476">
        <v>0</v>
      </c>
      <c r="AM434" s="476">
        <v>0</v>
      </c>
      <c r="AN434" s="756">
        <v>0</v>
      </c>
      <c r="AO434" s="476">
        <v>0</v>
      </c>
      <c r="AP434" s="476">
        <v>0</v>
      </c>
      <c r="AQ434" s="476">
        <v>0</v>
      </c>
      <c r="AR434" s="476">
        <f t="shared" si="929"/>
        <v>0</v>
      </c>
      <c r="AS434" s="476">
        <f t="shared" si="930"/>
        <v>0</v>
      </c>
      <c r="AT434" s="478">
        <f t="shared" si="931"/>
        <v>0</v>
      </c>
      <c r="AU434" s="484">
        <f t="shared" si="1011"/>
        <v>2490353</v>
      </c>
      <c r="AV434" s="475">
        <f t="shared" si="1012"/>
        <v>1822269</v>
      </c>
      <c r="AW434" s="475">
        <f t="shared" si="1013"/>
        <v>0</v>
      </c>
      <c r="AX434" s="475">
        <f t="shared" si="1014"/>
        <v>615927</v>
      </c>
      <c r="AY434" s="475">
        <f t="shared" si="1014"/>
        <v>36445</v>
      </c>
      <c r="AZ434" s="475">
        <f t="shared" si="1015"/>
        <v>15712</v>
      </c>
      <c r="BA434" s="476">
        <f t="shared" si="1016"/>
        <v>5.75</v>
      </c>
      <c r="BB434" s="476">
        <f t="shared" si="1017"/>
        <v>0</v>
      </c>
      <c r="BC434" s="478">
        <f t="shared" si="1017"/>
        <v>5.75</v>
      </c>
    </row>
    <row r="435" spans="1:55" ht="14.1" customHeight="1" x14ac:dyDescent="0.2">
      <c r="A435" s="68">
        <v>85</v>
      </c>
      <c r="B435" s="65">
        <v>2495</v>
      </c>
      <c r="C435" s="66">
        <v>600080196</v>
      </c>
      <c r="D435" s="65">
        <v>70983810</v>
      </c>
      <c r="E435" s="67" t="s">
        <v>732</v>
      </c>
      <c r="F435" s="68">
        <v>3143</v>
      </c>
      <c r="G435" s="80" t="s">
        <v>626</v>
      </c>
      <c r="H435" s="69" t="s">
        <v>277</v>
      </c>
      <c r="I435" s="477">
        <v>2123463</v>
      </c>
      <c r="J435" s="472">
        <v>1548890</v>
      </c>
      <c r="K435" s="472">
        <v>15000</v>
      </c>
      <c r="L435" s="472">
        <v>528595</v>
      </c>
      <c r="M435" s="472">
        <v>30978</v>
      </c>
      <c r="N435" s="472">
        <v>0</v>
      </c>
      <c r="O435" s="473">
        <v>2.9630000000000001</v>
      </c>
      <c r="P435" s="473">
        <v>2.9630000000000001</v>
      </c>
      <c r="Q435" s="483">
        <v>0</v>
      </c>
      <c r="R435" s="485">
        <f t="shared" si="1003"/>
        <v>0</v>
      </c>
      <c r="S435" s="475">
        <v>0</v>
      </c>
      <c r="T435" s="475">
        <v>0</v>
      </c>
      <c r="U435" s="475">
        <v>0</v>
      </c>
      <c r="V435" s="475">
        <v>0</v>
      </c>
      <c r="W435" s="475">
        <v>0</v>
      </c>
      <c r="X435" s="475">
        <f t="shared" si="1004"/>
        <v>0</v>
      </c>
      <c r="Y435" s="475">
        <v>0</v>
      </c>
      <c r="Z435" s="475">
        <v>0</v>
      </c>
      <c r="AA435" s="475">
        <v>0</v>
      </c>
      <c r="AB435" s="475">
        <f t="shared" si="1005"/>
        <v>0</v>
      </c>
      <c r="AC435" s="475">
        <f t="shared" si="1006"/>
        <v>0</v>
      </c>
      <c r="AD435" s="70">
        <f t="shared" si="1007"/>
        <v>0</v>
      </c>
      <c r="AE435" s="70">
        <f t="shared" si="1008"/>
        <v>0</v>
      </c>
      <c r="AF435" s="475">
        <v>0</v>
      </c>
      <c r="AG435" s="475">
        <v>0</v>
      </c>
      <c r="AH435" s="475">
        <f t="shared" si="1009"/>
        <v>0</v>
      </c>
      <c r="AI435" s="475">
        <f t="shared" si="1010"/>
        <v>0</v>
      </c>
      <c r="AJ435" s="476">
        <v>0</v>
      </c>
      <c r="AK435" s="476">
        <v>0</v>
      </c>
      <c r="AL435" s="476">
        <v>0</v>
      </c>
      <c r="AM435" s="476">
        <v>0</v>
      </c>
      <c r="AN435" s="476">
        <v>0</v>
      </c>
      <c r="AO435" s="476">
        <v>0</v>
      </c>
      <c r="AP435" s="476">
        <v>0</v>
      </c>
      <c r="AQ435" s="476">
        <v>0</v>
      </c>
      <c r="AR435" s="476">
        <f t="shared" si="929"/>
        <v>0</v>
      </c>
      <c r="AS435" s="476">
        <f t="shared" si="930"/>
        <v>0</v>
      </c>
      <c r="AT435" s="478">
        <f t="shared" si="931"/>
        <v>0</v>
      </c>
      <c r="AU435" s="484">
        <f t="shared" si="1011"/>
        <v>2123463</v>
      </c>
      <c r="AV435" s="475">
        <f t="shared" si="1012"/>
        <v>1548890</v>
      </c>
      <c r="AW435" s="475">
        <f t="shared" si="1013"/>
        <v>15000</v>
      </c>
      <c r="AX435" s="475">
        <f t="shared" si="1014"/>
        <v>528595</v>
      </c>
      <c r="AY435" s="475">
        <f t="shared" si="1014"/>
        <v>30978</v>
      </c>
      <c r="AZ435" s="475">
        <f t="shared" si="1015"/>
        <v>0</v>
      </c>
      <c r="BA435" s="476">
        <f t="shared" si="1016"/>
        <v>2.9630000000000001</v>
      </c>
      <c r="BB435" s="476">
        <f t="shared" si="1017"/>
        <v>2.9630000000000001</v>
      </c>
      <c r="BC435" s="478">
        <f t="shared" si="1017"/>
        <v>0</v>
      </c>
    </row>
    <row r="436" spans="1:55" ht="14.1" customHeight="1" x14ac:dyDescent="0.2">
      <c r="A436" s="68">
        <v>85</v>
      </c>
      <c r="B436" s="65">
        <v>2495</v>
      </c>
      <c r="C436" s="66">
        <v>600080196</v>
      </c>
      <c r="D436" s="65">
        <v>70983810</v>
      </c>
      <c r="E436" s="67" t="s">
        <v>732</v>
      </c>
      <c r="F436" s="68">
        <v>3143</v>
      </c>
      <c r="G436" s="80" t="s">
        <v>627</v>
      </c>
      <c r="H436" s="69" t="s">
        <v>278</v>
      </c>
      <c r="I436" s="477">
        <v>74088</v>
      </c>
      <c r="J436" s="472">
        <v>52392</v>
      </c>
      <c r="K436" s="472">
        <v>0</v>
      </c>
      <c r="L436" s="472">
        <v>17708</v>
      </c>
      <c r="M436" s="472">
        <v>1048</v>
      </c>
      <c r="N436" s="472">
        <v>2940</v>
      </c>
      <c r="O436" s="473">
        <v>0.2</v>
      </c>
      <c r="P436" s="474">
        <v>0</v>
      </c>
      <c r="Q436" s="483">
        <v>0.2</v>
      </c>
      <c r="R436" s="485">
        <f t="shared" si="1003"/>
        <v>0</v>
      </c>
      <c r="S436" s="475">
        <v>0</v>
      </c>
      <c r="T436" s="475">
        <v>0</v>
      </c>
      <c r="U436" s="475">
        <v>0</v>
      </c>
      <c r="V436" s="475">
        <v>0</v>
      </c>
      <c r="W436" s="475">
        <v>0</v>
      </c>
      <c r="X436" s="475">
        <f t="shared" si="1004"/>
        <v>0</v>
      </c>
      <c r="Y436" s="475">
        <v>0</v>
      </c>
      <c r="Z436" s="475">
        <v>0</v>
      </c>
      <c r="AA436" s="475">
        <v>0</v>
      </c>
      <c r="AB436" s="475">
        <f t="shared" si="1005"/>
        <v>0</v>
      </c>
      <c r="AC436" s="475">
        <f t="shared" si="1006"/>
        <v>0</v>
      </c>
      <c r="AD436" s="70">
        <f t="shared" si="1007"/>
        <v>0</v>
      </c>
      <c r="AE436" s="70">
        <f t="shared" si="1008"/>
        <v>0</v>
      </c>
      <c r="AF436" s="475">
        <v>0</v>
      </c>
      <c r="AG436" s="475">
        <v>0</v>
      </c>
      <c r="AH436" s="475">
        <f t="shared" si="1009"/>
        <v>0</v>
      </c>
      <c r="AI436" s="475">
        <f t="shared" si="1010"/>
        <v>0</v>
      </c>
      <c r="AJ436" s="476">
        <v>0</v>
      </c>
      <c r="AK436" s="476">
        <v>0</v>
      </c>
      <c r="AL436" s="476">
        <v>0</v>
      </c>
      <c r="AM436" s="476">
        <v>0</v>
      </c>
      <c r="AN436" s="476">
        <v>0</v>
      </c>
      <c r="AO436" s="476">
        <v>0</v>
      </c>
      <c r="AP436" s="476">
        <v>0</v>
      </c>
      <c r="AQ436" s="476">
        <v>0</v>
      </c>
      <c r="AR436" s="476">
        <f t="shared" si="929"/>
        <v>0</v>
      </c>
      <c r="AS436" s="476">
        <f t="shared" si="930"/>
        <v>0</v>
      </c>
      <c r="AT436" s="478">
        <f t="shared" si="931"/>
        <v>0</v>
      </c>
      <c r="AU436" s="484">
        <f t="shared" si="1011"/>
        <v>74088</v>
      </c>
      <c r="AV436" s="475">
        <f t="shared" si="1012"/>
        <v>52392</v>
      </c>
      <c r="AW436" s="475">
        <f t="shared" si="1013"/>
        <v>0</v>
      </c>
      <c r="AX436" s="475">
        <f t="shared" si="1014"/>
        <v>17708</v>
      </c>
      <c r="AY436" s="475">
        <f t="shared" si="1014"/>
        <v>1048</v>
      </c>
      <c r="AZ436" s="475">
        <f t="shared" si="1015"/>
        <v>2940</v>
      </c>
      <c r="BA436" s="476">
        <f t="shared" si="1016"/>
        <v>0.2</v>
      </c>
      <c r="BB436" s="476">
        <f t="shared" si="1017"/>
        <v>0</v>
      </c>
      <c r="BC436" s="478">
        <f t="shared" si="1017"/>
        <v>0.2</v>
      </c>
    </row>
    <row r="437" spans="1:55" ht="14.1" customHeight="1" x14ac:dyDescent="0.2">
      <c r="A437" s="74">
        <v>85</v>
      </c>
      <c r="B437" s="71">
        <v>2495</v>
      </c>
      <c r="C437" s="72">
        <v>600080196</v>
      </c>
      <c r="D437" s="71">
        <v>70983810</v>
      </c>
      <c r="E437" s="73" t="s">
        <v>733</v>
      </c>
      <c r="F437" s="74"/>
      <c r="G437" s="73"/>
      <c r="H437" s="75"/>
      <c r="I437" s="76">
        <v>27894768</v>
      </c>
      <c r="J437" s="77">
        <v>20224305</v>
      </c>
      <c r="K437" s="77">
        <v>40000</v>
      </c>
      <c r="L437" s="77">
        <v>6849335</v>
      </c>
      <c r="M437" s="77">
        <v>404486</v>
      </c>
      <c r="N437" s="77">
        <v>376642</v>
      </c>
      <c r="O437" s="78">
        <v>42.163300000000007</v>
      </c>
      <c r="P437" s="78">
        <v>29.052800000000001</v>
      </c>
      <c r="Q437" s="718">
        <v>13.110499999999998</v>
      </c>
      <c r="R437" s="76">
        <f t="shared" ref="R437:BC437" si="1018">SUM(R431:R436)</f>
        <v>0</v>
      </c>
      <c r="S437" s="77">
        <f t="shared" si="1018"/>
        <v>0</v>
      </c>
      <c r="T437" s="77">
        <f t="shared" si="1018"/>
        <v>-2545</v>
      </c>
      <c r="U437" s="77">
        <f t="shared" si="1018"/>
        <v>0</v>
      </c>
      <c r="V437" s="77">
        <f t="shared" si="1018"/>
        <v>0</v>
      </c>
      <c r="W437" s="77">
        <f t="shared" si="1018"/>
        <v>0</v>
      </c>
      <c r="X437" s="77">
        <f t="shared" si="1018"/>
        <v>-2545</v>
      </c>
      <c r="Y437" s="77">
        <f t="shared" si="1018"/>
        <v>0</v>
      </c>
      <c r="Z437" s="77">
        <f t="shared" si="1018"/>
        <v>0</v>
      </c>
      <c r="AA437" s="77">
        <f t="shared" si="1018"/>
        <v>0</v>
      </c>
      <c r="AB437" s="77">
        <f t="shared" si="1018"/>
        <v>0</v>
      </c>
      <c r="AC437" s="77">
        <f t="shared" si="1018"/>
        <v>-2545</v>
      </c>
      <c r="AD437" s="77">
        <f t="shared" si="1018"/>
        <v>-860</v>
      </c>
      <c r="AE437" s="77">
        <f t="shared" si="1018"/>
        <v>-51</v>
      </c>
      <c r="AF437" s="77">
        <f t="shared" si="1018"/>
        <v>0</v>
      </c>
      <c r="AG437" s="77">
        <f t="shared" si="1018"/>
        <v>0</v>
      </c>
      <c r="AH437" s="77">
        <f t="shared" si="1018"/>
        <v>0</v>
      </c>
      <c r="AI437" s="77">
        <f t="shared" si="1018"/>
        <v>-3456</v>
      </c>
      <c r="AJ437" s="78">
        <f t="shared" si="1018"/>
        <v>0</v>
      </c>
      <c r="AK437" s="78">
        <f t="shared" si="1018"/>
        <v>0</v>
      </c>
      <c r="AL437" s="78">
        <f t="shared" si="1018"/>
        <v>0</v>
      </c>
      <c r="AM437" s="78">
        <f t="shared" si="1018"/>
        <v>0</v>
      </c>
      <c r="AN437" s="78">
        <f t="shared" si="1018"/>
        <v>0</v>
      </c>
      <c r="AO437" s="78">
        <f t="shared" si="1018"/>
        <v>0</v>
      </c>
      <c r="AP437" s="78">
        <f t="shared" si="1018"/>
        <v>0</v>
      </c>
      <c r="AQ437" s="78">
        <f t="shared" si="1018"/>
        <v>0</v>
      </c>
      <c r="AR437" s="78">
        <f t="shared" si="1018"/>
        <v>0</v>
      </c>
      <c r="AS437" s="78">
        <f t="shared" si="1018"/>
        <v>0</v>
      </c>
      <c r="AT437" s="79">
        <f t="shared" si="1018"/>
        <v>0</v>
      </c>
      <c r="AU437" s="433">
        <f t="shared" si="1018"/>
        <v>27891312</v>
      </c>
      <c r="AV437" s="77">
        <f t="shared" si="1018"/>
        <v>20221760</v>
      </c>
      <c r="AW437" s="77">
        <f t="shared" si="1018"/>
        <v>40000</v>
      </c>
      <c r="AX437" s="77">
        <f t="shared" si="1018"/>
        <v>6848475</v>
      </c>
      <c r="AY437" s="77">
        <f t="shared" si="1018"/>
        <v>404435</v>
      </c>
      <c r="AZ437" s="77">
        <f t="shared" si="1018"/>
        <v>376642</v>
      </c>
      <c r="BA437" s="78">
        <f t="shared" si="1018"/>
        <v>42.163300000000007</v>
      </c>
      <c r="BB437" s="78">
        <f t="shared" si="1018"/>
        <v>29.052800000000001</v>
      </c>
      <c r="BC437" s="79">
        <f t="shared" si="1018"/>
        <v>13.110499999999998</v>
      </c>
    </row>
    <row r="438" spans="1:55" ht="14.1" customHeight="1" x14ac:dyDescent="0.2">
      <c r="A438" s="68">
        <v>86</v>
      </c>
      <c r="B438" s="65">
        <v>2305</v>
      </c>
      <c r="C438" s="66">
        <v>650026080</v>
      </c>
      <c r="D438" s="65">
        <v>72741686</v>
      </c>
      <c r="E438" s="67" t="s">
        <v>734</v>
      </c>
      <c r="F438" s="68">
        <v>3111</v>
      </c>
      <c r="G438" s="67" t="s">
        <v>311</v>
      </c>
      <c r="H438" s="69" t="s">
        <v>277</v>
      </c>
      <c r="I438" s="477">
        <v>2900299</v>
      </c>
      <c r="J438" s="472">
        <v>2112937</v>
      </c>
      <c r="K438" s="472">
        <v>10000</v>
      </c>
      <c r="L438" s="472">
        <v>717553</v>
      </c>
      <c r="M438" s="472">
        <v>42259</v>
      </c>
      <c r="N438" s="472">
        <v>17550</v>
      </c>
      <c r="O438" s="473">
        <v>4.7918000000000003</v>
      </c>
      <c r="P438" s="473">
        <v>3.87</v>
      </c>
      <c r="Q438" s="483">
        <v>0.92179999999999995</v>
      </c>
      <c r="R438" s="485">
        <f t="shared" ref="R438:R443" si="1019">Y438*-1</f>
        <v>0</v>
      </c>
      <c r="S438" s="475">
        <v>0</v>
      </c>
      <c r="T438" s="475">
        <v>0</v>
      </c>
      <c r="U438" s="475">
        <v>0</v>
      </c>
      <c r="V438" s="475">
        <v>0</v>
      </c>
      <c r="W438" s="475">
        <v>0</v>
      </c>
      <c r="X438" s="475">
        <f t="shared" ref="X438:X443" si="1020">SUM(R438:W438)</f>
        <v>0</v>
      </c>
      <c r="Y438" s="475">
        <v>0</v>
      </c>
      <c r="Z438" s="475">
        <v>0</v>
      </c>
      <c r="AA438" s="475">
        <v>0</v>
      </c>
      <c r="AB438" s="475">
        <f t="shared" ref="AB438:AB443" si="1021">SUM(Y438:AA438)</f>
        <v>0</v>
      </c>
      <c r="AC438" s="475">
        <f t="shared" ref="AC438:AC443" si="1022">X438+AB438</f>
        <v>0</v>
      </c>
      <c r="AD438" s="70">
        <f t="shared" ref="AD438:AD443" si="1023">ROUND((X438+Y438+Z438)*33.8%,0)</f>
        <v>0</v>
      </c>
      <c r="AE438" s="70">
        <f t="shared" ref="AE438:AE443" si="1024">ROUND(X438*2%,0)</f>
        <v>0</v>
      </c>
      <c r="AF438" s="475">
        <v>0</v>
      </c>
      <c r="AG438" s="475">
        <v>0</v>
      </c>
      <c r="AH438" s="475">
        <f t="shared" ref="AH438:AH443" si="1025">SUM(AF438:AG438)</f>
        <v>0</v>
      </c>
      <c r="AI438" s="475">
        <f t="shared" ref="AI438:AI443" si="1026">AC438+AD438+AE438+AH438</f>
        <v>0</v>
      </c>
      <c r="AJ438" s="476">
        <v>0</v>
      </c>
      <c r="AK438" s="476">
        <v>0</v>
      </c>
      <c r="AL438" s="476">
        <v>0</v>
      </c>
      <c r="AM438" s="476">
        <v>0</v>
      </c>
      <c r="AN438" s="476">
        <v>0</v>
      </c>
      <c r="AO438" s="476">
        <v>0</v>
      </c>
      <c r="AP438" s="476">
        <v>0</v>
      </c>
      <c r="AQ438" s="476">
        <v>0</v>
      </c>
      <c r="AR438" s="476">
        <f t="shared" si="929"/>
        <v>0</v>
      </c>
      <c r="AS438" s="476">
        <f t="shared" si="930"/>
        <v>0</v>
      </c>
      <c r="AT438" s="478">
        <f t="shared" si="931"/>
        <v>0</v>
      </c>
      <c r="AU438" s="484">
        <f t="shared" ref="AU438:AU443" si="1027">I438+AI438</f>
        <v>2900299</v>
      </c>
      <c r="AV438" s="475">
        <f t="shared" ref="AV438:AV443" si="1028">J438+X438</f>
        <v>2112937</v>
      </c>
      <c r="AW438" s="475">
        <f t="shared" ref="AW438:AW443" si="1029">K438+AB438</f>
        <v>10000</v>
      </c>
      <c r="AX438" s="475">
        <f t="shared" ref="AX438:AY443" si="1030">L438+AD438</f>
        <v>717553</v>
      </c>
      <c r="AY438" s="475">
        <f t="shared" si="1030"/>
        <v>42259</v>
      </c>
      <c r="AZ438" s="475">
        <f t="shared" ref="AZ438:AZ443" si="1031">N438+AH438</f>
        <v>17550</v>
      </c>
      <c r="BA438" s="476">
        <f t="shared" ref="BA438:BA443" si="1032">O438+AT438</f>
        <v>4.7918000000000003</v>
      </c>
      <c r="BB438" s="476">
        <f t="shared" ref="BB438:BC443" si="1033">P438+AR438</f>
        <v>3.87</v>
      </c>
      <c r="BC438" s="478">
        <f t="shared" si="1033"/>
        <v>0.92179999999999995</v>
      </c>
    </row>
    <row r="439" spans="1:55" ht="14.1" customHeight="1" x14ac:dyDescent="0.2">
      <c r="A439" s="68">
        <v>86</v>
      </c>
      <c r="B439" s="65">
        <v>2305</v>
      </c>
      <c r="C439" s="66">
        <v>650026080</v>
      </c>
      <c r="D439" s="65">
        <v>72741686</v>
      </c>
      <c r="E439" s="67" t="s">
        <v>734</v>
      </c>
      <c r="F439" s="68">
        <v>3117</v>
      </c>
      <c r="G439" s="67" t="s">
        <v>314</v>
      </c>
      <c r="H439" s="69" t="s">
        <v>277</v>
      </c>
      <c r="I439" s="477">
        <v>4773403</v>
      </c>
      <c r="J439" s="472">
        <v>3423766</v>
      </c>
      <c r="K439" s="472">
        <v>30000</v>
      </c>
      <c r="L439" s="472">
        <v>1167372</v>
      </c>
      <c r="M439" s="472">
        <v>68475</v>
      </c>
      <c r="N439" s="472">
        <v>83790</v>
      </c>
      <c r="O439" s="473">
        <v>6.9350999999999994</v>
      </c>
      <c r="P439" s="473">
        <v>4.6623000000000001</v>
      </c>
      <c r="Q439" s="483">
        <v>2.2727999999999997</v>
      </c>
      <c r="R439" s="485">
        <f t="shared" si="1019"/>
        <v>0</v>
      </c>
      <c r="S439" s="475">
        <v>0</v>
      </c>
      <c r="T439" s="475">
        <v>0</v>
      </c>
      <c r="U439" s="475">
        <v>0</v>
      </c>
      <c r="V439" s="475">
        <v>0</v>
      </c>
      <c r="W439" s="475">
        <v>0</v>
      </c>
      <c r="X439" s="475">
        <f t="shared" si="1020"/>
        <v>0</v>
      </c>
      <c r="Y439" s="475">
        <v>0</v>
      </c>
      <c r="Z439" s="475">
        <v>0</v>
      </c>
      <c r="AA439" s="475">
        <v>0</v>
      </c>
      <c r="AB439" s="475">
        <f t="shared" si="1021"/>
        <v>0</v>
      </c>
      <c r="AC439" s="475">
        <f t="shared" si="1022"/>
        <v>0</v>
      </c>
      <c r="AD439" s="70">
        <f t="shared" si="1023"/>
        <v>0</v>
      </c>
      <c r="AE439" s="70">
        <f t="shared" si="1024"/>
        <v>0</v>
      </c>
      <c r="AF439" s="475">
        <v>0</v>
      </c>
      <c r="AG439" s="475">
        <v>0</v>
      </c>
      <c r="AH439" s="475">
        <f t="shared" si="1025"/>
        <v>0</v>
      </c>
      <c r="AI439" s="475">
        <f t="shared" si="1026"/>
        <v>0</v>
      </c>
      <c r="AJ439" s="476">
        <v>0</v>
      </c>
      <c r="AK439" s="476">
        <v>0</v>
      </c>
      <c r="AL439" s="476">
        <v>0</v>
      </c>
      <c r="AM439" s="476">
        <v>0</v>
      </c>
      <c r="AN439" s="476">
        <v>0</v>
      </c>
      <c r="AO439" s="476">
        <v>0</v>
      </c>
      <c r="AP439" s="476">
        <v>0</v>
      </c>
      <c r="AQ439" s="476">
        <v>0</v>
      </c>
      <c r="AR439" s="476">
        <f t="shared" si="929"/>
        <v>0</v>
      </c>
      <c r="AS439" s="476">
        <f t="shared" si="930"/>
        <v>0</v>
      </c>
      <c r="AT439" s="478">
        <f t="shared" si="931"/>
        <v>0</v>
      </c>
      <c r="AU439" s="484">
        <f t="shared" si="1027"/>
        <v>4773403</v>
      </c>
      <c r="AV439" s="475">
        <f t="shared" si="1028"/>
        <v>3423766</v>
      </c>
      <c r="AW439" s="475">
        <f t="shared" si="1029"/>
        <v>30000</v>
      </c>
      <c r="AX439" s="475">
        <f t="shared" si="1030"/>
        <v>1167372</v>
      </c>
      <c r="AY439" s="475">
        <f t="shared" si="1030"/>
        <v>68475</v>
      </c>
      <c r="AZ439" s="475">
        <f t="shared" si="1031"/>
        <v>83790</v>
      </c>
      <c r="BA439" s="476">
        <f t="shared" si="1032"/>
        <v>6.9350999999999994</v>
      </c>
      <c r="BB439" s="476">
        <f t="shared" si="1033"/>
        <v>4.6623000000000001</v>
      </c>
      <c r="BC439" s="478">
        <f t="shared" si="1033"/>
        <v>2.2727999999999997</v>
      </c>
    </row>
    <row r="440" spans="1:55" ht="14.1" customHeight="1" x14ac:dyDescent="0.2">
      <c r="A440" s="68">
        <v>86</v>
      </c>
      <c r="B440" s="65">
        <v>2305</v>
      </c>
      <c r="C440" s="66">
        <v>650026080</v>
      </c>
      <c r="D440" s="65">
        <v>72741686</v>
      </c>
      <c r="E440" s="67" t="s">
        <v>734</v>
      </c>
      <c r="F440" s="68">
        <v>3117</v>
      </c>
      <c r="G440" s="80" t="s">
        <v>312</v>
      </c>
      <c r="H440" s="69" t="s">
        <v>278</v>
      </c>
      <c r="I440" s="477">
        <v>993227</v>
      </c>
      <c r="J440" s="472">
        <v>731389</v>
      </c>
      <c r="K440" s="472">
        <v>0</v>
      </c>
      <c r="L440" s="472">
        <v>247210</v>
      </c>
      <c r="M440" s="472">
        <v>14628</v>
      </c>
      <c r="N440" s="472">
        <v>0</v>
      </c>
      <c r="O440" s="473">
        <v>2.11</v>
      </c>
      <c r="P440" s="474">
        <v>2.11</v>
      </c>
      <c r="Q440" s="483">
        <v>0</v>
      </c>
      <c r="R440" s="485">
        <f t="shared" si="1019"/>
        <v>0</v>
      </c>
      <c r="S440" s="475">
        <v>0</v>
      </c>
      <c r="T440" s="475">
        <v>0</v>
      </c>
      <c r="U440" s="475">
        <v>0</v>
      </c>
      <c r="V440" s="475">
        <v>0</v>
      </c>
      <c r="W440" s="475">
        <v>0</v>
      </c>
      <c r="X440" s="475">
        <f t="shared" si="1020"/>
        <v>0</v>
      </c>
      <c r="Y440" s="475">
        <v>0</v>
      </c>
      <c r="Z440" s="475">
        <v>0</v>
      </c>
      <c r="AA440" s="475">
        <v>0</v>
      </c>
      <c r="AB440" s="475">
        <f t="shared" si="1021"/>
        <v>0</v>
      </c>
      <c r="AC440" s="475">
        <f t="shared" si="1022"/>
        <v>0</v>
      </c>
      <c r="AD440" s="70">
        <f t="shared" si="1023"/>
        <v>0</v>
      </c>
      <c r="AE440" s="70">
        <f t="shared" si="1024"/>
        <v>0</v>
      </c>
      <c r="AF440" s="475">
        <v>0</v>
      </c>
      <c r="AG440" s="475">
        <v>0</v>
      </c>
      <c r="AH440" s="475">
        <f t="shared" si="1025"/>
        <v>0</v>
      </c>
      <c r="AI440" s="475">
        <f t="shared" si="1026"/>
        <v>0</v>
      </c>
      <c r="AJ440" s="476">
        <v>0</v>
      </c>
      <c r="AK440" s="476">
        <v>0</v>
      </c>
      <c r="AL440" s="476">
        <v>0</v>
      </c>
      <c r="AM440" s="476">
        <v>0</v>
      </c>
      <c r="AN440" s="476">
        <v>0</v>
      </c>
      <c r="AO440" s="476">
        <v>0</v>
      </c>
      <c r="AP440" s="476">
        <v>0</v>
      </c>
      <c r="AQ440" s="476">
        <v>0</v>
      </c>
      <c r="AR440" s="476">
        <f t="shared" si="929"/>
        <v>0</v>
      </c>
      <c r="AS440" s="476">
        <f t="shared" si="930"/>
        <v>0</v>
      </c>
      <c r="AT440" s="478">
        <f t="shared" si="931"/>
        <v>0</v>
      </c>
      <c r="AU440" s="484">
        <f t="shared" si="1027"/>
        <v>993227</v>
      </c>
      <c r="AV440" s="475">
        <f t="shared" si="1028"/>
        <v>731389</v>
      </c>
      <c r="AW440" s="475">
        <f t="shared" si="1029"/>
        <v>0</v>
      </c>
      <c r="AX440" s="475">
        <f t="shared" si="1030"/>
        <v>247210</v>
      </c>
      <c r="AY440" s="475">
        <f t="shared" si="1030"/>
        <v>14628</v>
      </c>
      <c r="AZ440" s="475">
        <f t="shared" si="1031"/>
        <v>0</v>
      </c>
      <c r="BA440" s="476">
        <f t="shared" si="1032"/>
        <v>2.11</v>
      </c>
      <c r="BB440" s="476">
        <f t="shared" si="1033"/>
        <v>2.11</v>
      </c>
      <c r="BC440" s="478">
        <f t="shared" si="1033"/>
        <v>0</v>
      </c>
    </row>
    <row r="441" spans="1:55" ht="14.1" customHeight="1" x14ac:dyDescent="0.2">
      <c r="A441" s="68">
        <v>86</v>
      </c>
      <c r="B441" s="65">
        <v>2305</v>
      </c>
      <c r="C441" s="66">
        <v>650026080</v>
      </c>
      <c r="D441" s="65">
        <v>72741686</v>
      </c>
      <c r="E441" s="67" t="s">
        <v>734</v>
      </c>
      <c r="F441" s="68">
        <v>3141</v>
      </c>
      <c r="G441" s="67" t="s">
        <v>315</v>
      </c>
      <c r="H441" s="69" t="s">
        <v>278</v>
      </c>
      <c r="I441" s="477">
        <v>1100659</v>
      </c>
      <c r="J441" s="472">
        <v>796359</v>
      </c>
      <c r="K441" s="472">
        <v>10000</v>
      </c>
      <c r="L441" s="472">
        <v>272549</v>
      </c>
      <c r="M441" s="472">
        <v>15927</v>
      </c>
      <c r="N441" s="472">
        <v>5824</v>
      </c>
      <c r="O441" s="473">
        <v>2.5</v>
      </c>
      <c r="P441" s="474">
        <v>0</v>
      </c>
      <c r="Q441" s="483">
        <v>2.5</v>
      </c>
      <c r="R441" s="485">
        <f t="shared" si="1019"/>
        <v>0</v>
      </c>
      <c r="S441" s="475">
        <v>0</v>
      </c>
      <c r="T441" s="755">
        <v>12446</v>
      </c>
      <c r="U441" s="475">
        <v>0</v>
      </c>
      <c r="V441" s="475">
        <v>0</v>
      </c>
      <c r="W441" s="475">
        <v>0</v>
      </c>
      <c r="X441" s="475">
        <f t="shared" si="1020"/>
        <v>12446</v>
      </c>
      <c r="Y441" s="475">
        <v>0</v>
      </c>
      <c r="Z441" s="475">
        <v>0</v>
      </c>
      <c r="AA441" s="475">
        <v>0</v>
      </c>
      <c r="AB441" s="475">
        <f t="shared" si="1021"/>
        <v>0</v>
      </c>
      <c r="AC441" s="475">
        <f t="shared" si="1022"/>
        <v>12446</v>
      </c>
      <c r="AD441" s="70">
        <f t="shared" si="1023"/>
        <v>4207</v>
      </c>
      <c r="AE441" s="70">
        <f t="shared" si="1024"/>
        <v>249</v>
      </c>
      <c r="AF441" s="475">
        <v>0</v>
      </c>
      <c r="AG441" s="475">
        <v>0</v>
      </c>
      <c r="AH441" s="475">
        <f t="shared" si="1025"/>
        <v>0</v>
      </c>
      <c r="AI441" s="475">
        <f t="shared" si="1026"/>
        <v>16902</v>
      </c>
      <c r="AJ441" s="476">
        <v>0</v>
      </c>
      <c r="AK441" s="476">
        <v>0</v>
      </c>
      <c r="AL441" s="476">
        <v>0</v>
      </c>
      <c r="AM441" s="476">
        <v>0</v>
      </c>
      <c r="AN441" s="756">
        <v>3.9999999999999925E-2</v>
      </c>
      <c r="AO441" s="476">
        <v>0</v>
      </c>
      <c r="AP441" s="476">
        <v>0</v>
      </c>
      <c r="AQ441" s="476">
        <v>0</v>
      </c>
      <c r="AR441" s="476">
        <f t="shared" si="929"/>
        <v>0</v>
      </c>
      <c r="AS441" s="476">
        <f t="shared" si="930"/>
        <v>3.9999999999999925E-2</v>
      </c>
      <c r="AT441" s="478">
        <f t="shared" si="931"/>
        <v>3.9999999999999925E-2</v>
      </c>
      <c r="AU441" s="484">
        <f t="shared" si="1027"/>
        <v>1117561</v>
      </c>
      <c r="AV441" s="475">
        <f t="shared" si="1028"/>
        <v>808805</v>
      </c>
      <c r="AW441" s="475">
        <f t="shared" si="1029"/>
        <v>10000</v>
      </c>
      <c r="AX441" s="475">
        <f t="shared" si="1030"/>
        <v>276756</v>
      </c>
      <c r="AY441" s="475">
        <f t="shared" si="1030"/>
        <v>16176</v>
      </c>
      <c r="AZ441" s="475">
        <f t="shared" si="1031"/>
        <v>5824</v>
      </c>
      <c r="BA441" s="476">
        <f t="shared" si="1032"/>
        <v>2.54</v>
      </c>
      <c r="BB441" s="476">
        <f t="shared" si="1033"/>
        <v>0</v>
      </c>
      <c r="BC441" s="478">
        <f t="shared" si="1033"/>
        <v>2.54</v>
      </c>
    </row>
    <row r="442" spans="1:55" ht="14.1" customHeight="1" x14ac:dyDescent="0.2">
      <c r="A442" s="68">
        <v>86</v>
      </c>
      <c r="B442" s="65">
        <v>2305</v>
      </c>
      <c r="C442" s="66">
        <v>650026080</v>
      </c>
      <c r="D442" s="65">
        <v>72741686</v>
      </c>
      <c r="E442" s="67" t="s">
        <v>734</v>
      </c>
      <c r="F442" s="68">
        <v>3143</v>
      </c>
      <c r="G442" s="80" t="s">
        <v>626</v>
      </c>
      <c r="H442" s="69" t="s">
        <v>277</v>
      </c>
      <c r="I442" s="477">
        <v>702991</v>
      </c>
      <c r="J442" s="472">
        <v>517666</v>
      </c>
      <c r="K442" s="472">
        <v>0</v>
      </c>
      <c r="L442" s="472">
        <v>174972</v>
      </c>
      <c r="M442" s="472">
        <v>10353</v>
      </c>
      <c r="N442" s="472">
        <v>0</v>
      </c>
      <c r="O442" s="473">
        <v>1</v>
      </c>
      <c r="P442" s="473">
        <v>1</v>
      </c>
      <c r="Q442" s="483">
        <v>0</v>
      </c>
      <c r="R442" s="485">
        <f t="shared" si="1019"/>
        <v>0</v>
      </c>
      <c r="S442" s="475">
        <v>0</v>
      </c>
      <c r="T442" s="475">
        <v>0</v>
      </c>
      <c r="U442" s="475">
        <v>0</v>
      </c>
      <c r="V442" s="475">
        <v>0</v>
      </c>
      <c r="W442" s="475">
        <v>0</v>
      </c>
      <c r="X442" s="475">
        <f t="shared" si="1020"/>
        <v>0</v>
      </c>
      <c r="Y442" s="475">
        <v>0</v>
      </c>
      <c r="Z442" s="475">
        <v>0</v>
      </c>
      <c r="AA442" s="475">
        <v>0</v>
      </c>
      <c r="AB442" s="475">
        <f t="shared" si="1021"/>
        <v>0</v>
      </c>
      <c r="AC442" s="475">
        <f t="shared" si="1022"/>
        <v>0</v>
      </c>
      <c r="AD442" s="70">
        <f t="shared" si="1023"/>
        <v>0</v>
      </c>
      <c r="AE442" s="70">
        <f t="shared" si="1024"/>
        <v>0</v>
      </c>
      <c r="AF442" s="475">
        <v>0</v>
      </c>
      <c r="AG442" s="475">
        <v>0</v>
      </c>
      <c r="AH442" s="475">
        <f t="shared" si="1025"/>
        <v>0</v>
      </c>
      <c r="AI442" s="475">
        <f t="shared" si="1026"/>
        <v>0</v>
      </c>
      <c r="AJ442" s="476">
        <v>0</v>
      </c>
      <c r="AK442" s="476">
        <v>0</v>
      </c>
      <c r="AL442" s="476">
        <v>0</v>
      </c>
      <c r="AM442" s="476">
        <v>0</v>
      </c>
      <c r="AN442" s="476">
        <v>0</v>
      </c>
      <c r="AO442" s="476">
        <v>0</v>
      </c>
      <c r="AP442" s="476">
        <v>0</v>
      </c>
      <c r="AQ442" s="476">
        <v>0</v>
      </c>
      <c r="AR442" s="476">
        <f t="shared" si="929"/>
        <v>0</v>
      </c>
      <c r="AS442" s="476">
        <f t="shared" si="930"/>
        <v>0</v>
      </c>
      <c r="AT442" s="478">
        <f t="shared" si="931"/>
        <v>0</v>
      </c>
      <c r="AU442" s="484">
        <f t="shared" si="1027"/>
        <v>702991</v>
      </c>
      <c r="AV442" s="475">
        <f t="shared" si="1028"/>
        <v>517666</v>
      </c>
      <c r="AW442" s="475">
        <f t="shared" si="1029"/>
        <v>0</v>
      </c>
      <c r="AX442" s="475">
        <f t="shared" si="1030"/>
        <v>174972</v>
      </c>
      <c r="AY442" s="475">
        <f t="shared" si="1030"/>
        <v>10353</v>
      </c>
      <c r="AZ442" s="475">
        <f t="shared" si="1031"/>
        <v>0</v>
      </c>
      <c r="BA442" s="476">
        <f t="shared" si="1032"/>
        <v>1</v>
      </c>
      <c r="BB442" s="476">
        <f t="shared" si="1033"/>
        <v>1</v>
      </c>
      <c r="BC442" s="478">
        <f t="shared" si="1033"/>
        <v>0</v>
      </c>
    </row>
    <row r="443" spans="1:55" ht="14.1" customHeight="1" x14ac:dyDescent="0.2">
      <c r="A443" s="68">
        <v>86</v>
      </c>
      <c r="B443" s="65">
        <v>2305</v>
      </c>
      <c r="C443" s="66">
        <v>650026080</v>
      </c>
      <c r="D443" s="65">
        <v>72741686</v>
      </c>
      <c r="E443" s="67" t="s">
        <v>734</v>
      </c>
      <c r="F443" s="68">
        <v>3143</v>
      </c>
      <c r="G443" s="80" t="s">
        <v>627</v>
      </c>
      <c r="H443" s="69" t="s">
        <v>278</v>
      </c>
      <c r="I443" s="477">
        <v>18899</v>
      </c>
      <c r="J443" s="472">
        <v>13365</v>
      </c>
      <c r="K443" s="472">
        <v>0</v>
      </c>
      <c r="L443" s="472">
        <v>4517</v>
      </c>
      <c r="M443" s="472">
        <v>267</v>
      </c>
      <c r="N443" s="472">
        <v>750</v>
      </c>
      <c r="O443" s="473">
        <v>0.05</v>
      </c>
      <c r="P443" s="474">
        <v>0</v>
      </c>
      <c r="Q443" s="483">
        <v>0.05</v>
      </c>
      <c r="R443" s="485">
        <f t="shared" si="1019"/>
        <v>0</v>
      </c>
      <c r="S443" s="475">
        <v>0</v>
      </c>
      <c r="T443" s="475">
        <v>0</v>
      </c>
      <c r="U443" s="475">
        <v>0</v>
      </c>
      <c r="V443" s="475">
        <v>0</v>
      </c>
      <c r="W443" s="475">
        <v>0</v>
      </c>
      <c r="X443" s="475">
        <f t="shared" si="1020"/>
        <v>0</v>
      </c>
      <c r="Y443" s="475">
        <v>0</v>
      </c>
      <c r="Z443" s="475">
        <v>0</v>
      </c>
      <c r="AA443" s="475">
        <v>0</v>
      </c>
      <c r="AB443" s="475">
        <f t="shared" si="1021"/>
        <v>0</v>
      </c>
      <c r="AC443" s="475">
        <f t="shared" si="1022"/>
        <v>0</v>
      </c>
      <c r="AD443" s="70">
        <f t="shared" si="1023"/>
        <v>0</v>
      </c>
      <c r="AE443" s="70">
        <f t="shared" si="1024"/>
        <v>0</v>
      </c>
      <c r="AF443" s="475">
        <v>0</v>
      </c>
      <c r="AG443" s="475">
        <v>0</v>
      </c>
      <c r="AH443" s="475">
        <f t="shared" si="1025"/>
        <v>0</v>
      </c>
      <c r="AI443" s="475">
        <f t="shared" si="1026"/>
        <v>0</v>
      </c>
      <c r="AJ443" s="476">
        <v>0</v>
      </c>
      <c r="AK443" s="476">
        <v>0</v>
      </c>
      <c r="AL443" s="476">
        <v>0</v>
      </c>
      <c r="AM443" s="476">
        <v>0</v>
      </c>
      <c r="AN443" s="476">
        <v>0</v>
      </c>
      <c r="AO443" s="476">
        <v>0</v>
      </c>
      <c r="AP443" s="476">
        <v>0</v>
      </c>
      <c r="AQ443" s="476">
        <v>0</v>
      </c>
      <c r="AR443" s="476">
        <f t="shared" si="929"/>
        <v>0</v>
      </c>
      <c r="AS443" s="476">
        <f t="shared" si="930"/>
        <v>0</v>
      </c>
      <c r="AT443" s="478">
        <f t="shared" si="931"/>
        <v>0</v>
      </c>
      <c r="AU443" s="484">
        <f t="shared" si="1027"/>
        <v>18899</v>
      </c>
      <c r="AV443" s="475">
        <f t="shared" si="1028"/>
        <v>13365</v>
      </c>
      <c r="AW443" s="475">
        <f t="shared" si="1029"/>
        <v>0</v>
      </c>
      <c r="AX443" s="475">
        <f t="shared" si="1030"/>
        <v>4517</v>
      </c>
      <c r="AY443" s="475">
        <f t="shared" si="1030"/>
        <v>267</v>
      </c>
      <c r="AZ443" s="475">
        <f t="shared" si="1031"/>
        <v>750</v>
      </c>
      <c r="BA443" s="476">
        <f t="shared" si="1032"/>
        <v>0.05</v>
      </c>
      <c r="BB443" s="476">
        <f t="shared" si="1033"/>
        <v>0</v>
      </c>
      <c r="BC443" s="478">
        <f t="shared" si="1033"/>
        <v>0.05</v>
      </c>
    </row>
    <row r="444" spans="1:55" ht="14.1" customHeight="1" x14ac:dyDescent="0.2">
      <c r="A444" s="74">
        <v>86</v>
      </c>
      <c r="B444" s="71">
        <v>2305</v>
      </c>
      <c r="C444" s="72">
        <v>650026080</v>
      </c>
      <c r="D444" s="71">
        <v>72741686</v>
      </c>
      <c r="E444" s="73" t="s">
        <v>735</v>
      </c>
      <c r="F444" s="74"/>
      <c r="G444" s="73"/>
      <c r="H444" s="75"/>
      <c r="I444" s="76">
        <v>10489478</v>
      </c>
      <c r="J444" s="77">
        <v>7595482</v>
      </c>
      <c r="K444" s="77">
        <v>50000</v>
      </c>
      <c r="L444" s="77">
        <v>2584173</v>
      </c>
      <c r="M444" s="77">
        <v>151909</v>
      </c>
      <c r="N444" s="77">
        <v>107914</v>
      </c>
      <c r="O444" s="78">
        <v>17.386900000000001</v>
      </c>
      <c r="P444" s="78">
        <v>11.642299999999999</v>
      </c>
      <c r="Q444" s="718">
        <v>5.7445999999999993</v>
      </c>
      <c r="R444" s="76">
        <f t="shared" ref="R444:BC444" si="1034">SUM(R438:R443)</f>
        <v>0</v>
      </c>
      <c r="S444" s="77">
        <f t="shared" si="1034"/>
        <v>0</v>
      </c>
      <c r="T444" s="77">
        <f t="shared" si="1034"/>
        <v>12446</v>
      </c>
      <c r="U444" s="77">
        <f t="shared" si="1034"/>
        <v>0</v>
      </c>
      <c r="V444" s="77">
        <f t="shared" si="1034"/>
        <v>0</v>
      </c>
      <c r="W444" s="77">
        <f t="shared" si="1034"/>
        <v>0</v>
      </c>
      <c r="X444" s="77">
        <f t="shared" si="1034"/>
        <v>12446</v>
      </c>
      <c r="Y444" s="77">
        <f t="shared" si="1034"/>
        <v>0</v>
      </c>
      <c r="Z444" s="77">
        <f t="shared" si="1034"/>
        <v>0</v>
      </c>
      <c r="AA444" s="77">
        <f t="shared" si="1034"/>
        <v>0</v>
      </c>
      <c r="AB444" s="77">
        <f t="shared" si="1034"/>
        <v>0</v>
      </c>
      <c r="AC444" s="77">
        <f t="shared" si="1034"/>
        <v>12446</v>
      </c>
      <c r="AD444" s="77">
        <f t="shared" si="1034"/>
        <v>4207</v>
      </c>
      <c r="AE444" s="77">
        <f t="shared" si="1034"/>
        <v>249</v>
      </c>
      <c r="AF444" s="77">
        <f t="shared" si="1034"/>
        <v>0</v>
      </c>
      <c r="AG444" s="77">
        <f t="shared" si="1034"/>
        <v>0</v>
      </c>
      <c r="AH444" s="77">
        <f t="shared" si="1034"/>
        <v>0</v>
      </c>
      <c r="AI444" s="77">
        <f t="shared" si="1034"/>
        <v>16902</v>
      </c>
      <c r="AJ444" s="78">
        <f t="shared" si="1034"/>
        <v>0</v>
      </c>
      <c r="AK444" s="78">
        <f t="shared" si="1034"/>
        <v>0</v>
      </c>
      <c r="AL444" s="78">
        <f t="shared" si="1034"/>
        <v>0</v>
      </c>
      <c r="AM444" s="78">
        <f t="shared" si="1034"/>
        <v>0</v>
      </c>
      <c r="AN444" s="78">
        <f t="shared" si="1034"/>
        <v>3.9999999999999925E-2</v>
      </c>
      <c r="AO444" s="78">
        <f t="shared" si="1034"/>
        <v>0</v>
      </c>
      <c r="AP444" s="78">
        <f t="shared" si="1034"/>
        <v>0</v>
      </c>
      <c r="AQ444" s="78">
        <f t="shared" si="1034"/>
        <v>0</v>
      </c>
      <c r="AR444" s="78">
        <f t="shared" si="1034"/>
        <v>0</v>
      </c>
      <c r="AS444" s="78">
        <f t="shared" si="1034"/>
        <v>3.9999999999999925E-2</v>
      </c>
      <c r="AT444" s="79">
        <f t="shared" si="1034"/>
        <v>3.9999999999999925E-2</v>
      </c>
      <c r="AU444" s="433">
        <f t="shared" si="1034"/>
        <v>10506380</v>
      </c>
      <c r="AV444" s="77">
        <f t="shared" si="1034"/>
        <v>7607928</v>
      </c>
      <c r="AW444" s="77">
        <f t="shared" si="1034"/>
        <v>50000</v>
      </c>
      <c r="AX444" s="77">
        <f t="shared" si="1034"/>
        <v>2588380</v>
      </c>
      <c r="AY444" s="77">
        <f t="shared" si="1034"/>
        <v>152158</v>
      </c>
      <c r="AZ444" s="77">
        <f t="shared" si="1034"/>
        <v>107914</v>
      </c>
      <c r="BA444" s="78">
        <f t="shared" si="1034"/>
        <v>17.4269</v>
      </c>
      <c r="BB444" s="78">
        <f t="shared" si="1034"/>
        <v>11.642299999999999</v>
      </c>
      <c r="BC444" s="79">
        <f t="shared" si="1034"/>
        <v>5.7845999999999993</v>
      </c>
    </row>
    <row r="445" spans="1:55" ht="14.1" customHeight="1" x14ac:dyDescent="0.2">
      <c r="A445" s="68">
        <v>87</v>
      </c>
      <c r="B445" s="65">
        <v>2498</v>
      </c>
      <c r="C445" s="66">
        <v>650021576</v>
      </c>
      <c r="D445" s="65">
        <v>70695539</v>
      </c>
      <c r="E445" s="67" t="s">
        <v>736</v>
      </c>
      <c r="F445" s="68">
        <v>3111</v>
      </c>
      <c r="G445" s="67" t="s">
        <v>311</v>
      </c>
      <c r="H445" s="69" t="s">
        <v>277</v>
      </c>
      <c r="I445" s="477">
        <v>4879232</v>
      </c>
      <c r="J445" s="472">
        <v>3560900</v>
      </c>
      <c r="K445" s="472">
        <v>10000</v>
      </c>
      <c r="L445" s="472">
        <v>1206964</v>
      </c>
      <c r="M445" s="472">
        <v>71218</v>
      </c>
      <c r="N445" s="472">
        <v>30150</v>
      </c>
      <c r="O445" s="473">
        <v>7.5327999999999999</v>
      </c>
      <c r="P445" s="473">
        <v>6</v>
      </c>
      <c r="Q445" s="483">
        <v>1.5327999999999999</v>
      </c>
      <c r="R445" s="485">
        <f t="shared" ref="R445:R450" si="1035">Y445*-1</f>
        <v>0</v>
      </c>
      <c r="S445" s="475">
        <v>0</v>
      </c>
      <c r="T445" s="475">
        <v>0</v>
      </c>
      <c r="U445" s="475">
        <v>0</v>
      </c>
      <c r="V445" s="475">
        <v>0</v>
      </c>
      <c r="W445" s="475">
        <v>0</v>
      </c>
      <c r="X445" s="475">
        <f t="shared" ref="X445:X450" si="1036">SUM(R445:W445)</f>
        <v>0</v>
      </c>
      <c r="Y445" s="475">
        <v>0</v>
      </c>
      <c r="Z445" s="475">
        <v>0</v>
      </c>
      <c r="AA445" s="475">
        <v>0</v>
      </c>
      <c r="AB445" s="475">
        <f t="shared" ref="AB445:AB450" si="1037">SUM(Y445:AA445)</f>
        <v>0</v>
      </c>
      <c r="AC445" s="475">
        <f t="shared" ref="AC445:AC450" si="1038">X445+AB445</f>
        <v>0</v>
      </c>
      <c r="AD445" s="70">
        <f t="shared" ref="AD445:AD450" si="1039">ROUND((X445+Y445+Z445)*33.8%,0)</f>
        <v>0</v>
      </c>
      <c r="AE445" s="70">
        <f t="shared" ref="AE445:AE450" si="1040">ROUND(X445*2%,0)</f>
        <v>0</v>
      </c>
      <c r="AF445" s="475">
        <v>0</v>
      </c>
      <c r="AG445" s="475">
        <v>0</v>
      </c>
      <c r="AH445" s="475">
        <f t="shared" ref="AH445:AH450" si="1041">SUM(AF445:AG445)</f>
        <v>0</v>
      </c>
      <c r="AI445" s="475">
        <f t="shared" ref="AI445:AI450" si="1042">AC445+AD445+AE445+AH445</f>
        <v>0</v>
      </c>
      <c r="AJ445" s="476">
        <v>0</v>
      </c>
      <c r="AK445" s="476">
        <v>0</v>
      </c>
      <c r="AL445" s="476">
        <v>0</v>
      </c>
      <c r="AM445" s="476">
        <v>0</v>
      </c>
      <c r="AN445" s="476">
        <v>0</v>
      </c>
      <c r="AO445" s="476">
        <v>0</v>
      </c>
      <c r="AP445" s="476">
        <v>0</v>
      </c>
      <c r="AQ445" s="476">
        <v>0</v>
      </c>
      <c r="AR445" s="476">
        <f t="shared" si="929"/>
        <v>0</v>
      </c>
      <c r="AS445" s="476">
        <f t="shared" si="930"/>
        <v>0</v>
      </c>
      <c r="AT445" s="478">
        <f t="shared" si="931"/>
        <v>0</v>
      </c>
      <c r="AU445" s="484">
        <f t="shared" ref="AU445:AU450" si="1043">I445+AI445</f>
        <v>4879232</v>
      </c>
      <c r="AV445" s="475">
        <f t="shared" ref="AV445:AV450" si="1044">J445+X445</f>
        <v>3560900</v>
      </c>
      <c r="AW445" s="475">
        <f t="shared" ref="AW445:AW450" si="1045">K445+AB445</f>
        <v>10000</v>
      </c>
      <c r="AX445" s="475">
        <f t="shared" ref="AX445:AY450" si="1046">L445+AD445</f>
        <v>1206964</v>
      </c>
      <c r="AY445" s="475">
        <f t="shared" si="1046"/>
        <v>71218</v>
      </c>
      <c r="AZ445" s="475">
        <f t="shared" ref="AZ445:AZ450" si="1047">N445+AH445</f>
        <v>30150</v>
      </c>
      <c r="BA445" s="476">
        <f t="shared" ref="BA445:BA450" si="1048">O445+AT445</f>
        <v>7.5327999999999999</v>
      </c>
      <c r="BB445" s="476">
        <f t="shared" ref="BB445:BC450" si="1049">P445+AR445</f>
        <v>6</v>
      </c>
      <c r="BC445" s="478">
        <f t="shared" si="1049"/>
        <v>1.5327999999999999</v>
      </c>
    </row>
    <row r="446" spans="1:55" ht="14.1" customHeight="1" x14ac:dyDescent="0.2">
      <c r="A446" s="68">
        <v>87</v>
      </c>
      <c r="B446" s="65">
        <v>2498</v>
      </c>
      <c r="C446" s="66">
        <v>650021576</v>
      </c>
      <c r="D446" s="65">
        <v>70695539</v>
      </c>
      <c r="E446" s="67" t="s">
        <v>736</v>
      </c>
      <c r="F446" s="68">
        <v>3113</v>
      </c>
      <c r="G446" s="67" t="s">
        <v>314</v>
      </c>
      <c r="H446" s="69" t="s">
        <v>277</v>
      </c>
      <c r="I446" s="477">
        <v>18565510</v>
      </c>
      <c r="J446" s="472">
        <v>13283456</v>
      </c>
      <c r="K446" s="472">
        <v>114197</v>
      </c>
      <c r="L446" s="472">
        <v>4516848</v>
      </c>
      <c r="M446" s="472">
        <v>265669</v>
      </c>
      <c r="N446" s="472">
        <v>385340</v>
      </c>
      <c r="O446" s="473">
        <v>23.295800000000003</v>
      </c>
      <c r="P446" s="473">
        <v>16.561</v>
      </c>
      <c r="Q446" s="483">
        <v>6.7347999999999999</v>
      </c>
      <c r="R446" s="485">
        <f t="shared" si="1035"/>
        <v>0</v>
      </c>
      <c r="S446" s="475">
        <v>0</v>
      </c>
      <c r="T446" s="475">
        <v>355842</v>
      </c>
      <c r="U446" s="475">
        <v>0</v>
      </c>
      <c r="V446" s="475">
        <v>0</v>
      </c>
      <c r="W446" s="475">
        <v>0</v>
      </c>
      <c r="X446" s="475">
        <f t="shared" si="1036"/>
        <v>355842</v>
      </c>
      <c r="Y446" s="475">
        <v>0</v>
      </c>
      <c r="Z446" s="475">
        <v>0</v>
      </c>
      <c r="AA446" s="475">
        <v>0</v>
      </c>
      <c r="AB446" s="475">
        <f t="shared" si="1037"/>
        <v>0</v>
      </c>
      <c r="AC446" s="475">
        <f t="shared" si="1038"/>
        <v>355842</v>
      </c>
      <c r="AD446" s="70">
        <f t="shared" si="1039"/>
        <v>120275</v>
      </c>
      <c r="AE446" s="70">
        <f t="shared" si="1040"/>
        <v>7117</v>
      </c>
      <c r="AF446" s="475">
        <v>0</v>
      </c>
      <c r="AG446" s="475">
        <v>0</v>
      </c>
      <c r="AH446" s="475">
        <f t="shared" si="1041"/>
        <v>0</v>
      </c>
      <c r="AI446" s="475">
        <f t="shared" si="1042"/>
        <v>483234</v>
      </c>
      <c r="AJ446" s="476">
        <v>0</v>
      </c>
      <c r="AK446" s="476">
        <v>0</v>
      </c>
      <c r="AL446" s="476">
        <v>0</v>
      </c>
      <c r="AM446" s="476">
        <v>0.53</v>
      </c>
      <c r="AN446" s="476">
        <v>0</v>
      </c>
      <c r="AO446" s="476">
        <v>0</v>
      </c>
      <c r="AP446" s="476">
        <v>0</v>
      </c>
      <c r="AQ446" s="476">
        <v>0</v>
      </c>
      <c r="AR446" s="476">
        <f t="shared" si="929"/>
        <v>0.53</v>
      </c>
      <c r="AS446" s="476">
        <f t="shared" si="930"/>
        <v>0</v>
      </c>
      <c r="AT446" s="478">
        <f t="shared" si="931"/>
        <v>0.53</v>
      </c>
      <c r="AU446" s="484">
        <f t="shared" si="1043"/>
        <v>19048744</v>
      </c>
      <c r="AV446" s="475">
        <f t="shared" si="1044"/>
        <v>13639298</v>
      </c>
      <c r="AW446" s="475">
        <f t="shared" si="1045"/>
        <v>114197</v>
      </c>
      <c r="AX446" s="475">
        <f t="shared" si="1046"/>
        <v>4637123</v>
      </c>
      <c r="AY446" s="475">
        <f t="shared" si="1046"/>
        <v>272786</v>
      </c>
      <c r="AZ446" s="475">
        <f t="shared" si="1047"/>
        <v>385340</v>
      </c>
      <c r="BA446" s="476">
        <f t="shared" si="1048"/>
        <v>23.825800000000005</v>
      </c>
      <c r="BB446" s="476">
        <f t="shared" si="1049"/>
        <v>17.091000000000001</v>
      </c>
      <c r="BC446" s="478">
        <f t="shared" si="1049"/>
        <v>6.7347999999999999</v>
      </c>
    </row>
    <row r="447" spans="1:55" ht="14.1" customHeight="1" x14ac:dyDescent="0.2">
      <c r="A447" s="68">
        <v>87</v>
      </c>
      <c r="B447" s="65">
        <v>2498</v>
      </c>
      <c r="C447" s="66">
        <v>650021576</v>
      </c>
      <c r="D447" s="65">
        <v>70695539</v>
      </c>
      <c r="E447" s="67" t="s">
        <v>736</v>
      </c>
      <c r="F447" s="68">
        <v>3113</v>
      </c>
      <c r="G447" s="80" t="s">
        <v>312</v>
      </c>
      <c r="H447" s="69" t="s">
        <v>278</v>
      </c>
      <c r="I447" s="477">
        <v>2679314</v>
      </c>
      <c r="J447" s="472">
        <v>1968936</v>
      </c>
      <c r="K447" s="472">
        <v>0</v>
      </c>
      <c r="L447" s="472">
        <v>665500</v>
      </c>
      <c r="M447" s="472">
        <v>39378</v>
      </c>
      <c r="N447" s="472">
        <v>5500</v>
      </c>
      <c r="O447" s="473">
        <v>5.4399999999999995</v>
      </c>
      <c r="P447" s="474">
        <v>5.4399999999999995</v>
      </c>
      <c r="Q447" s="483">
        <v>0</v>
      </c>
      <c r="R447" s="485">
        <f t="shared" si="1035"/>
        <v>0</v>
      </c>
      <c r="S447" s="475">
        <v>207876</v>
      </c>
      <c r="T447" s="475">
        <v>0</v>
      </c>
      <c r="U447" s="475">
        <v>0</v>
      </c>
      <c r="V447" s="475">
        <v>0</v>
      </c>
      <c r="W447" s="475">
        <v>0</v>
      </c>
      <c r="X447" s="475">
        <f t="shared" si="1036"/>
        <v>207876</v>
      </c>
      <c r="Y447" s="475">
        <v>0</v>
      </c>
      <c r="Z447" s="475">
        <v>0</v>
      </c>
      <c r="AA447" s="475">
        <v>0</v>
      </c>
      <c r="AB447" s="475">
        <f t="shared" si="1037"/>
        <v>0</v>
      </c>
      <c r="AC447" s="475">
        <f t="shared" si="1038"/>
        <v>207876</v>
      </c>
      <c r="AD447" s="70">
        <f t="shared" si="1039"/>
        <v>70262</v>
      </c>
      <c r="AE447" s="70">
        <f t="shared" si="1040"/>
        <v>4158</v>
      </c>
      <c r="AF447" s="475">
        <v>3000</v>
      </c>
      <c r="AG447" s="475">
        <v>0</v>
      </c>
      <c r="AH447" s="475">
        <f t="shared" si="1041"/>
        <v>3000</v>
      </c>
      <c r="AI447" s="475">
        <f t="shared" si="1042"/>
        <v>285296</v>
      </c>
      <c r="AJ447" s="476">
        <v>0</v>
      </c>
      <c r="AK447" s="476">
        <v>0</v>
      </c>
      <c r="AL447" s="476">
        <v>0.59</v>
      </c>
      <c r="AM447" s="476">
        <v>0</v>
      </c>
      <c r="AN447" s="476">
        <v>0</v>
      </c>
      <c r="AO447" s="476">
        <v>0</v>
      </c>
      <c r="AP447" s="476">
        <v>0</v>
      </c>
      <c r="AQ447" s="476">
        <v>0</v>
      </c>
      <c r="AR447" s="476">
        <f t="shared" si="929"/>
        <v>0.59</v>
      </c>
      <c r="AS447" s="476">
        <f t="shared" si="930"/>
        <v>0</v>
      </c>
      <c r="AT447" s="478">
        <f t="shared" si="931"/>
        <v>0.59</v>
      </c>
      <c r="AU447" s="484">
        <f t="shared" si="1043"/>
        <v>2964610</v>
      </c>
      <c r="AV447" s="475">
        <f t="shared" si="1044"/>
        <v>2176812</v>
      </c>
      <c r="AW447" s="475">
        <f t="shared" si="1045"/>
        <v>0</v>
      </c>
      <c r="AX447" s="475">
        <f t="shared" si="1046"/>
        <v>735762</v>
      </c>
      <c r="AY447" s="475">
        <f t="shared" si="1046"/>
        <v>43536</v>
      </c>
      <c r="AZ447" s="475">
        <f t="shared" si="1047"/>
        <v>8500</v>
      </c>
      <c r="BA447" s="476">
        <f t="shared" si="1048"/>
        <v>6.0299999999999994</v>
      </c>
      <c r="BB447" s="476">
        <f t="shared" si="1049"/>
        <v>6.0299999999999994</v>
      </c>
      <c r="BC447" s="478">
        <f t="shared" si="1049"/>
        <v>0</v>
      </c>
    </row>
    <row r="448" spans="1:55" ht="14.1" customHeight="1" x14ac:dyDescent="0.2">
      <c r="A448" s="68">
        <v>87</v>
      </c>
      <c r="B448" s="65">
        <v>2498</v>
      </c>
      <c r="C448" s="66">
        <v>650021576</v>
      </c>
      <c r="D448" s="65">
        <v>70695539</v>
      </c>
      <c r="E448" s="67" t="s">
        <v>736</v>
      </c>
      <c r="F448" s="68">
        <v>3141</v>
      </c>
      <c r="G448" s="67" t="s">
        <v>315</v>
      </c>
      <c r="H448" s="69" t="s">
        <v>278</v>
      </c>
      <c r="I448" s="477">
        <v>2743331</v>
      </c>
      <c r="J448" s="472">
        <v>2006877</v>
      </c>
      <c r="K448" s="472">
        <v>0</v>
      </c>
      <c r="L448" s="472">
        <v>678324</v>
      </c>
      <c r="M448" s="472">
        <v>40138</v>
      </c>
      <c r="N448" s="472">
        <v>17992</v>
      </c>
      <c r="O448" s="473">
        <v>6.32</v>
      </c>
      <c r="P448" s="474">
        <v>0</v>
      </c>
      <c r="Q448" s="483">
        <v>6.32</v>
      </c>
      <c r="R448" s="485">
        <f t="shared" si="1035"/>
        <v>0</v>
      </c>
      <c r="S448" s="475">
        <v>0</v>
      </c>
      <c r="T448" s="755">
        <v>29409</v>
      </c>
      <c r="U448" s="475">
        <v>0</v>
      </c>
      <c r="V448" s="475">
        <v>0</v>
      </c>
      <c r="W448" s="475">
        <v>0</v>
      </c>
      <c r="X448" s="475">
        <f t="shared" si="1036"/>
        <v>29409</v>
      </c>
      <c r="Y448" s="475">
        <v>0</v>
      </c>
      <c r="Z448" s="475">
        <v>0</v>
      </c>
      <c r="AA448" s="475">
        <v>0</v>
      </c>
      <c r="AB448" s="475">
        <f t="shared" si="1037"/>
        <v>0</v>
      </c>
      <c r="AC448" s="475">
        <f t="shared" si="1038"/>
        <v>29409</v>
      </c>
      <c r="AD448" s="70">
        <f t="shared" si="1039"/>
        <v>9940</v>
      </c>
      <c r="AE448" s="70">
        <f t="shared" si="1040"/>
        <v>588</v>
      </c>
      <c r="AF448" s="475">
        <v>0</v>
      </c>
      <c r="AG448" s="475">
        <v>0</v>
      </c>
      <c r="AH448" s="475">
        <f t="shared" si="1041"/>
        <v>0</v>
      </c>
      <c r="AI448" s="475">
        <f t="shared" si="1042"/>
        <v>39937</v>
      </c>
      <c r="AJ448" s="476">
        <v>0</v>
      </c>
      <c r="AK448" s="476">
        <v>0</v>
      </c>
      <c r="AL448" s="476">
        <v>0</v>
      </c>
      <c r="AM448" s="476">
        <v>0</v>
      </c>
      <c r="AN448" s="756">
        <v>8.9999999999999858E-2</v>
      </c>
      <c r="AO448" s="476">
        <v>0</v>
      </c>
      <c r="AP448" s="476">
        <v>0</v>
      </c>
      <c r="AQ448" s="476">
        <v>0</v>
      </c>
      <c r="AR448" s="476">
        <f t="shared" si="929"/>
        <v>0</v>
      </c>
      <c r="AS448" s="476">
        <f t="shared" si="930"/>
        <v>8.9999999999999858E-2</v>
      </c>
      <c r="AT448" s="478">
        <f t="shared" si="931"/>
        <v>8.9999999999999858E-2</v>
      </c>
      <c r="AU448" s="484">
        <f t="shared" si="1043"/>
        <v>2783268</v>
      </c>
      <c r="AV448" s="475">
        <f t="shared" si="1044"/>
        <v>2036286</v>
      </c>
      <c r="AW448" s="475">
        <f t="shared" si="1045"/>
        <v>0</v>
      </c>
      <c r="AX448" s="475">
        <f t="shared" si="1046"/>
        <v>688264</v>
      </c>
      <c r="AY448" s="475">
        <f t="shared" si="1046"/>
        <v>40726</v>
      </c>
      <c r="AZ448" s="475">
        <f t="shared" si="1047"/>
        <v>17992</v>
      </c>
      <c r="BA448" s="476">
        <f t="shared" si="1048"/>
        <v>6.41</v>
      </c>
      <c r="BB448" s="476">
        <f t="shared" si="1049"/>
        <v>0</v>
      </c>
      <c r="BC448" s="478">
        <f t="shared" si="1049"/>
        <v>6.41</v>
      </c>
    </row>
    <row r="449" spans="1:55" ht="14.1" customHeight="1" x14ac:dyDescent="0.2">
      <c r="A449" s="68">
        <v>87</v>
      </c>
      <c r="B449" s="65">
        <v>2498</v>
      </c>
      <c r="C449" s="66">
        <v>650021576</v>
      </c>
      <c r="D449" s="65">
        <v>70695539</v>
      </c>
      <c r="E449" s="67" t="s">
        <v>736</v>
      </c>
      <c r="F449" s="68">
        <v>3143</v>
      </c>
      <c r="G449" s="80" t="s">
        <v>626</v>
      </c>
      <c r="H449" s="69" t="s">
        <v>277</v>
      </c>
      <c r="I449" s="477">
        <v>1582609</v>
      </c>
      <c r="J449" s="472">
        <v>1165397</v>
      </c>
      <c r="K449" s="472">
        <v>0</v>
      </c>
      <c r="L449" s="472">
        <v>393904</v>
      </c>
      <c r="M449" s="472">
        <v>23308</v>
      </c>
      <c r="N449" s="472">
        <v>0</v>
      </c>
      <c r="O449" s="473">
        <v>2.5</v>
      </c>
      <c r="P449" s="473">
        <v>2.5</v>
      </c>
      <c r="Q449" s="483">
        <v>0</v>
      </c>
      <c r="R449" s="485">
        <f t="shared" si="1035"/>
        <v>0</v>
      </c>
      <c r="S449" s="475">
        <v>0</v>
      </c>
      <c r="T449" s="475">
        <v>66817</v>
      </c>
      <c r="U449" s="475">
        <v>0</v>
      </c>
      <c r="V449" s="475">
        <v>0</v>
      </c>
      <c r="W449" s="475">
        <v>0</v>
      </c>
      <c r="X449" s="475">
        <f t="shared" si="1036"/>
        <v>66817</v>
      </c>
      <c r="Y449" s="475">
        <v>0</v>
      </c>
      <c r="Z449" s="475">
        <v>0</v>
      </c>
      <c r="AA449" s="475">
        <v>0</v>
      </c>
      <c r="AB449" s="475">
        <f t="shared" si="1037"/>
        <v>0</v>
      </c>
      <c r="AC449" s="475">
        <f t="shared" si="1038"/>
        <v>66817</v>
      </c>
      <c r="AD449" s="70">
        <f t="shared" si="1039"/>
        <v>22584</v>
      </c>
      <c r="AE449" s="70">
        <f t="shared" si="1040"/>
        <v>1336</v>
      </c>
      <c r="AF449" s="475">
        <v>0</v>
      </c>
      <c r="AG449" s="475">
        <v>0</v>
      </c>
      <c r="AH449" s="475">
        <f t="shared" si="1041"/>
        <v>0</v>
      </c>
      <c r="AI449" s="475">
        <f t="shared" si="1042"/>
        <v>90737</v>
      </c>
      <c r="AJ449" s="476">
        <v>0</v>
      </c>
      <c r="AK449" s="476">
        <v>0</v>
      </c>
      <c r="AL449" s="476">
        <v>0</v>
      </c>
      <c r="AM449" s="476">
        <v>0.14000000000000001</v>
      </c>
      <c r="AN449" s="476">
        <v>0</v>
      </c>
      <c r="AO449" s="476">
        <v>0</v>
      </c>
      <c r="AP449" s="476">
        <v>0</v>
      </c>
      <c r="AQ449" s="476">
        <v>0</v>
      </c>
      <c r="AR449" s="476">
        <f t="shared" si="929"/>
        <v>0.14000000000000001</v>
      </c>
      <c r="AS449" s="476">
        <f t="shared" si="930"/>
        <v>0</v>
      </c>
      <c r="AT449" s="478">
        <f t="shared" si="931"/>
        <v>0.14000000000000001</v>
      </c>
      <c r="AU449" s="484">
        <f t="shared" si="1043"/>
        <v>1673346</v>
      </c>
      <c r="AV449" s="475">
        <f t="shared" si="1044"/>
        <v>1232214</v>
      </c>
      <c r="AW449" s="475">
        <f t="shared" si="1045"/>
        <v>0</v>
      </c>
      <c r="AX449" s="475">
        <f t="shared" si="1046"/>
        <v>416488</v>
      </c>
      <c r="AY449" s="475">
        <f t="shared" si="1046"/>
        <v>24644</v>
      </c>
      <c r="AZ449" s="475">
        <f t="shared" si="1047"/>
        <v>0</v>
      </c>
      <c r="BA449" s="476">
        <f t="shared" si="1048"/>
        <v>2.64</v>
      </c>
      <c r="BB449" s="476">
        <f t="shared" si="1049"/>
        <v>2.64</v>
      </c>
      <c r="BC449" s="478">
        <f t="shared" si="1049"/>
        <v>0</v>
      </c>
    </row>
    <row r="450" spans="1:55" ht="14.1" customHeight="1" x14ac:dyDescent="0.2">
      <c r="A450" s="68">
        <v>87</v>
      </c>
      <c r="B450" s="65">
        <v>2498</v>
      </c>
      <c r="C450" s="66">
        <v>650021576</v>
      </c>
      <c r="D450" s="65">
        <v>70695539</v>
      </c>
      <c r="E450" s="67" t="s">
        <v>736</v>
      </c>
      <c r="F450" s="68">
        <v>3143</v>
      </c>
      <c r="G450" s="80" t="s">
        <v>627</v>
      </c>
      <c r="H450" s="69" t="s">
        <v>278</v>
      </c>
      <c r="I450" s="477">
        <v>51407</v>
      </c>
      <c r="J450" s="472">
        <v>36353</v>
      </c>
      <c r="K450" s="472">
        <v>0</v>
      </c>
      <c r="L450" s="472">
        <v>12287</v>
      </c>
      <c r="M450" s="472">
        <v>727</v>
      </c>
      <c r="N450" s="472">
        <v>2040</v>
      </c>
      <c r="O450" s="473">
        <v>0.14000000000000001</v>
      </c>
      <c r="P450" s="474">
        <v>0</v>
      </c>
      <c r="Q450" s="483">
        <v>0.14000000000000001</v>
      </c>
      <c r="R450" s="485">
        <f t="shared" si="1035"/>
        <v>0</v>
      </c>
      <c r="S450" s="475">
        <v>0</v>
      </c>
      <c r="T450" s="475">
        <v>0</v>
      </c>
      <c r="U450" s="475">
        <v>0</v>
      </c>
      <c r="V450" s="475">
        <v>0</v>
      </c>
      <c r="W450" s="475">
        <v>0</v>
      </c>
      <c r="X450" s="475">
        <f t="shared" si="1036"/>
        <v>0</v>
      </c>
      <c r="Y450" s="475">
        <v>0</v>
      </c>
      <c r="Z450" s="475">
        <v>0</v>
      </c>
      <c r="AA450" s="475">
        <v>0</v>
      </c>
      <c r="AB450" s="475">
        <f t="shared" si="1037"/>
        <v>0</v>
      </c>
      <c r="AC450" s="475">
        <f t="shared" si="1038"/>
        <v>0</v>
      </c>
      <c r="AD450" s="70">
        <f t="shared" si="1039"/>
        <v>0</v>
      </c>
      <c r="AE450" s="70">
        <f t="shared" si="1040"/>
        <v>0</v>
      </c>
      <c r="AF450" s="475">
        <v>0</v>
      </c>
      <c r="AG450" s="475">
        <v>0</v>
      </c>
      <c r="AH450" s="475">
        <f t="shared" si="1041"/>
        <v>0</v>
      </c>
      <c r="AI450" s="475">
        <f t="shared" si="1042"/>
        <v>0</v>
      </c>
      <c r="AJ450" s="476">
        <v>0</v>
      </c>
      <c r="AK450" s="476">
        <v>0</v>
      </c>
      <c r="AL450" s="476">
        <v>0</v>
      </c>
      <c r="AM450" s="476">
        <v>0</v>
      </c>
      <c r="AN450" s="476">
        <v>0</v>
      </c>
      <c r="AO450" s="476">
        <v>0</v>
      </c>
      <c r="AP450" s="476">
        <v>0</v>
      </c>
      <c r="AQ450" s="476">
        <v>0</v>
      </c>
      <c r="AR450" s="476">
        <f t="shared" si="929"/>
        <v>0</v>
      </c>
      <c r="AS450" s="476">
        <f t="shared" si="930"/>
        <v>0</v>
      </c>
      <c r="AT450" s="478">
        <f t="shared" si="931"/>
        <v>0</v>
      </c>
      <c r="AU450" s="484">
        <f t="shared" si="1043"/>
        <v>51407</v>
      </c>
      <c r="AV450" s="475">
        <f t="shared" si="1044"/>
        <v>36353</v>
      </c>
      <c r="AW450" s="475">
        <f t="shared" si="1045"/>
        <v>0</v>
      </c>
      <c r="AX450" s="475">
        <f t="shared" si="1046"/>
        <v>12287</v>
      </c>
      <c r="AY450" s="475">
        <f t="shared" si="1046"/>
        <v>727</v>
      </c>
      <c r="AZ450" s="475">
        <f t="shared" si="1047"/>
        <v>2040</v>
      </c>
      <c r="BA450" s="476">
        <f t="shared" si="1048"/>
        <v>0.14000000000000001</v>
      </c>
      <c r="BB450" s="476">
        <f t="shared" si="1049"/>
        <v>0</v>
      </c>
      <c r="BC450" s="478">
        <f t="shared" si="1049"/>
        <v>0.14000000000000001</v>
      </c>
    </row>
    <row r="451" spans="1:55" ht="14.1" customHeight="1" x14ac:dyDescent="0.2">
      <c r="A451" s="74">
        <v>87</v>
      </c>
      <c r="B451" s="71">
        <v>2498</v>
      </c>
      <c r="C451" s="72">
        <v>650021576</v>
      </c>
      <c r="D451" s="71">
        <v>70695539</v>
      </c>
      <c r="E451" s="73" t="s">
        <v>737</v>
      </c>
      <c r="F451" s="74"/>
      <c r="G451" s="73"/>
      <c r="H451" s="75"/>
      <c r="I451" s="76">
        <v>30501403</v>
      </c>
      <c r="J451" s="77">
        <v>22021919</v>
      </c>
      <c r="K451" s="77">
        <v>124197</v>
      </c>
      <c r="L451" s="77">
        <v>7473827</v>
      </c>
      <c r="M451" s="77">
        <v>440438</v>
      </c>
      <c r="N451" s="77">
        <v>441022</v>
      </c>
      <c r="O451" s="78">
        <v>45.2286</v>
      </c>
      <c r="P451" s="78">
        <v>30.500999999999998</v>
      </c>
      <c r="Q451" s="718">
        <v>14.727600000000001</v>
      </c>
      <c r="R451" s="76">
        <f t="shared" ref="R451:BC451" si="1050">SUM(R445:R450)</f>
        <v>0</v>
      </c>
      <c r="S451" s="77">
        <f t="shared" si="1050"/>
        <v>207876</v>
      </c>
      <c r="T451" s="77">
        <f t="shared" si="1050"/>
        <v>452068</v>
      </c>
      <c r="U451" s="77">
        <f t="shared" si="1050"/>
        <v>0</v>
      </c>
      <c r="V451" s="77">
        <f t="shared" si="1050"/>
        <v>0</v>
      </c>
      <c r="W451" s="77">
        <f t="shared" si="1050"/>
        <v>0</v>
      </c>
      <c r="X451" s="77">
        <f t="shared" si="1050"/>
        <v>659944</v>
      </c>
      <c r="Y451" s="77">
        <f t="shared" si="1050"/>
        <v>0</v>
      </c>
      <c r="Z451" s="77">
        <f t="shared" si="1050"/>
        <v>0</v>
      </c>
      <c r="AA451" s="77">
        <f t="shared" si="1050"/>
        <v>0</v>
      </c>
      <c r="AB451" s="77">
        <f t="shared" si="1050"/>
        <v>0</v>
      </c>
      <c r="AC451" s="77">
        <f t="shared" si="1050"/>
        <v>659944</v>
      </c>
      <c r="AD451" s="77">
        <f t="shared" si="1050"/>
        <v>223061</v>
      </c>
      <c r="AE451" s="77">
        <f t="shared" si="1050"/>
        <v>13199</v>
      </c>
      <c r="AF451" s="77">
        <f t="shared" si="1050"/>
        <v>3000</v>
      </c>
      <c r="AG451" s="77">
        <f t="shared" si="1050"/>
        <v>0</v>
      </c>
      <c r="AH451" s="77">
        <f t="shared" si="1050"/>
        <v>3000</v>
      </c>
      <c r="AI451" s="77">
        <f t="shared" si="1050"/>
        <v>899204</v>
      </c>
      <c r="AJ451" s="78">
        <f t="shared" si="1050"/>
        <v>0</v>
      </c>
      <c r="AK451" s="78">
        <f t="shared" si="1050"/>
        <v>0</v>
      </c>
      <c r="AL451" s="78">
        <f t="shared" si="1050"/>
        <v>0.59</v>
      </c>
      <c r="AM451" s="78">
        <f t="shared" si="1050"/>
        <v>0.67</v>
      </c>
      <c r="AN451" s="78">
        <f t="shared" si="1050"/>
        <v>8.9999999999999858E-2</v>
      </c>
      <c r="AO451" s="78">
        <f t="shared" si="1050"/>
        <v>0</v>
      </c>
      <c r="AP451" s="78">
        <f t="shared" si="1050"/>
        <v>0</v>
      </c>
      <c r="AQ451" s="78">
        <f t="shared" si="1050"/>
        <v>0</v>
      </c>
      <c r="AR451" s="78">
        <f t="shared" si="1050"/>
        <v>1.2600000000000002</v>
      </c>
      <c r="AS451" s="78">
        <f t="shared" si="1050"/>
        <v>8.9999999999999858E-2</v>
      </c>
      <c r="AT451" s="79">
        <f t="shared" si="1050"/>
        <v>1.35</v>
      </c>
      <c r="AU451" s="433">
        <f t="shared" si="1050"/>
        <v>31400607</v>
      </c>
      <c r="AV451" s="77">
        <f t="shared" si="1050"/>
        <v>22681863</v>
      </c>
      <c r="AW451" s="77">
        <f t="shared" si="1050"/>
        <v>124197</v>
      </c>
      <c r="AX451" s="77">
        <f t="shared" si="1050"/>
        <v>7696888</v>
      </c>
      <c r="AY451" s="77">
        <f t="shared" si="1050"/>
        <v>453637</v>
      </c>
      <c r="AZ451" s="77">
        <f t="shared" si="1050"/>
        <v>444022</v>
      </c>
      <c r="BA451" s="78">
        <f t="shared" si="1050"/>
        <v>46.578600000000009</v>
      </c>
      <c r="BB451" s="78">
        <f t="shared" si="1050"/>
        <v>31.761000000000003</v>
      </c>
      <c r="BC451" s="79">
        <f t="shared" si="1050"/>
        <v>14.817600000000001</v>
      </c>
    </row>
    <row r="452" spans="1:55" ht="14.1" customHeight="1" x14ac:dyDescent="0.2">
      <c r="A452" s="68">
        <v>88</v>
      </c>
      <c r="B452" s="65">
        <v>2499</v>
      </c>
      <c r="C452" s="66">
        <v>650025288</v>
      </c>
      <c r="D452" s="65">
        <v>70983283</v>
      </c>
      <c r="E452" s="67" t="s">
        <v>738</v>
      </c>
      <c r="F452" s="68">
        <v>3111</v>
      </c>
      <c r="G452" s="67" t="s">
        <v>311</v>
      </c>
      <c r="H452" s="69" t="s">
        <v>277</v>
      </c>
      <c r="I452" s="477">
        <v>3012083</v>
      </c>
      <c r="J452" s="472">
        <v>2206762</v>
      </c>
      <c r="K452" s="472">
        <v>0</v>
      </c>
      <c r="L452" s="472">
        <v>745886</v>
      </c>
      <c r="M452" s="472">
        <v>44135</v>
      </c>
      <c r="N452" s="472">
        <v>15300</v>
      </c>
      <c r="O452" s="473">
        <v>4.9058999999999999</v>
      </c>
      <c r="P452" s="473">
        <v>3.9841000000000002</v>
      </c>
      <c r="Q452" s="483">
        <v>0.92179999999999995</v>
      </c>
      <c r="R452" s="485">
        <f t="shared" ref="R452:R457" si="1051">Y452*-1</f>
        <v>0</v>
      </c>
      <c r="S452" s="475">
        <v>0</v>
      </c>
      <c r="T452" s="475">
        <v>0</v>
      </c>
      <c r="U452" s="475">
        <v>0</v>
      </c>
      <c r="V452" s="475">
        <v>0</v>
      </c>
      <c r="W452" s="475">
        <v>0</v>
      </c>
      <c r="X452" s="475">
        <f t="shared" ref="X452:X457" si="1052">SUM(R452:W452)</f>
        <v>0</v>
      </c>
      <c r="Y452" s="475">
        <v>0</v>
      </c>
      <c r="Z452" s="475">
        <v>0</v>
      </c>
      <c r="AA452" s="475">
        <v>0</v>
      </c>
      <c r="AB452" s="475">
        <f t="shared" ref="AB452:AB457" si="1053">SUM(Y452:AA452)</f>
        <v>0</v>
      </c>
      <c r="AC452" s="475">
        <f t="shared" ref="AC452:AC457" si="1054">X452+AB452</f>
        <v>0</v>
      </c>
      <c r="AD452" s="70">
        <f t="shared" ref="AD452:AD457" si="1055">ROUND((X452+Y452+Z452)*33.8%,0)</f>
        <v>0</v>
      </c>
      <c r="AE452" s="70">
        <f t="shared" ref="AE452:AE457" si="1056">ROUND(X452*2%,0)</f>
        <v>0</v>
      </c>
      <c r="AF452" s="475">
        <v>0</v>
      </c>
      <c r="AG452" s="475">
        <v>0</v>
      </c>
      <c r="AH452" s="475">
        <f t="shared" ref="AH452:AH457" si="1057">SUM(AF452:AG452)</f>
        <v>0</v>
      </c>
      <c r="AI452" s="475">
        <f t="shared" ref="AI452:AI457" si="1058">AC452+AD452+AE452+AH452</f>
        <v>0</v>
      </c>
      <c r="AJ452" s="476">
        <v>0</v>
      </c>
      <c r="AK452" s="476">
        <v>0</v>
      </c>
      <c r="AL452" s="476">
        <v>0</v>
      </c>
      <c r="AM452" s="476">
        <v>0</v>
      </c>
      <c r="AN452" s="476">
        <v>0</v>
      </c>
      <c r="AO452" s="476">
        <v>0</v>
      </c>
      <c r="AP452" s="476">
        <v>0</v>
      </c>
      <c r="AQ452" s="476">
        <v>0</v>
      </c>
      <c r="AR452" s="476">
        <f t="shared" si="929"/>
        <v>0</v>
      </c>
      <c r="AS452" s="476">
        <f t="shared" si="930"/>
        <v>0</v>
      </c>
      <c r="AT452" s="478">
        <f t="shared" si="931"/>
        <v>0</v>
      </c>
      <c r="AU452" s="484">
        <f t="shared" ref="AU452:AU457" si="1059">I452+AI452</f>
        <v>3012083</v>
      </c>
      <c r="AV452" s="475">
        <f t="shared" ref="AV452:AV457" si="1060">J452+X452</f>
        <v>2206762</v>
      </c>
      <c r="AW452" s="475">
        <f t="shared" ref="AW452:AW457" si="1061">K452+AB452</f>
        <v>0</v>
      </c>
      <c r="AX452" s="475">
        <f t="shared" ref="AX452:AY457" si="1062">L452+AD452</f>
        <v>745886</v>
      </c>
      <c r="AY452" s="475">
        <f t="shared" si="1062"/>
        <v>44135</v>
      </c>
      <c r="AZ452" s="475">
        <f t="shared" ref="AZ452:AZ457" si="1063">N452+AH452</f>
        <v>15300</v>
      </c>
      <c r="BA452" s="476">
        <f t="shared" ref="BA452:BA457" si="1064">O452+AT452</f>
        <v>4.9058999999999999</v>
      </c>
      <c r="BB452" s="476">
        <f t="shared" ref="BB452:BC457" si="1065">P452+AR452</f>
        <v>3.9841000000000002</v>
      </c>
      <c r="BC452" s="478">
        <f t="shared" si="1065"/>
        <v>0.92179999999999995</v>
      </c>
    </row>
    <row r="453" spans="1:55" ht="14.1" customHeight="1" x14ac:dyDescent="0.2">
      <c r="A453" s="68">
        <v>88</v>
      </c>
      <c r="B453" s="65">
        <v>2499</v>
      </c>
      <c r="C453" s="66">
        <v>650025288</v>
      </c>
      <c r="D453" s="65">
        <v>70983283</v>
      </c>
      <c r="E453" s="67" t="s">
        <v>738</v>
      </c>
      <c r="F453" s="68">
        <v>3117</v>
      </c>
      <c r="G453" s="67" t="s">
        <v>314</v>
      </c>
      <c r="H453" s="69" t="s">
        <v>277</v>
      </c>
      <c r="I453" s="477">
        <v>4469771</v>
      </c>
      <c r="J453" s="472">
        <v>3230995</v>
      </c>
      <c r="K453" s="472">
        <v>0</v>
      </c>
      <c r="L453" s="472">
        <v>1092076</v>
      </c>
      <c r="M453" s="472">
        <v>64620</v>
      </c>
      <c r="N453" s="472">
        <v>82080</v>
      </c>
      <c r="O453" s="473">
        <v>6.6282999999999994</v>
      </c>
      <c r="P453" s="473">
        <v>4.1368</v>
      </c>
      <c r="Q453" s="483">
        <v>2.4914999999999998</v>
      </c>
      <c r="R453" s="485">
        <f t="shared" si="1051"/>
        <v>0</v>
      </c>
      <c r="S453" s="475">
        <v>0</v>
      </c>
      <c r="T453" s="475">
        <v>0</v>
      </c>
      <c r="U453" s="475">
        <v>0</v>
      </c>
      <c r="V453" s="475">
        <v>0</v>
      </c>
      <c r="W453" s="475">
        <v>0</v>
      </c>
      <c r="X453" s="475">
        <f t="shared" si="1052"/>
        <v>0</v>
      </c>
      <c r="Y453" s="475">
        <v>0</v>
      </c>
      <c r="Z453" s="475">
        <v>0</v>
      </c>
      <c r="AA453" s="475">
        <v>0</v>
      </c>
      <c r="AB453" s="475">
        <f t="shared" si="1053"/>
        <v>0</v>
      </c>
      <c r="AC453" s="475">
        <f t="shared" si="1054"/>
        <v>0</v>
      </c>
      <c r="AD453" s="70">
        <f t="shared" si="1055"/>
        <v>0</v>
      </c>
      <c r="AE453" s="70">
        <f t="shared" si="1056"/>
        <v>0</v>
      </c>
      <c r="AF453" s="475">
        <v>0</v>
      </c>
      <c r="AG453" s="475">
        <v>0</v>
      </c>
      <c r="AH453" s="475">
        <f t="shared" si="1057"/>
        <v>0</v>
      </c>
      <c r="AI453" s="475">
        <f t="shared" si="1058"/>
        <v>0</v>
      </c>
      <c r="AJ453" s="476">
        <v>0</v>
      </c>
      <c r="AK453" s="476">
        <v>0</v>
      </c>
      <c r="AL453" s="476">
        <v>0</v>
      </c>
      <c r="AM453" s="476">
        <v>0</v>
      </c>
      <c r="AN453" s="476">
        <v>0</v>
      </c>
      <c r="AO453" s="476">
        <v>0</v>
      </c>
      <c r="AP453" s="476">
        <v>0</v>
      </c>
      <c r="AQ453" s="476">
        <v>0</v>
      </c>
      <c r="AR453" s="476">
        <f t="shared" si="929"/>
        <v>0</v>
      </c>
      <c r="AS453" s="476">
        <f t="shared" si="930"/>
        <v>0</v>
      </c>
      <c r="AT453" s="478">
        <f t="shared" si="931"/>
        <v>0</v>
      </c>
      <c r="AU453" s="484">
        <f t="shared" si="1059"/>
        <v>4469771</v>
      </c>
      <c r="AV453" s="475">
        <f t="shared" si="1060"/>
        <v>3230995</v>
      </c>
      <c r="AW453" s="475">
        <f t="shared" si="1061"/>
        <v>0</v>
      </c>
      <c r="AX453" s="475">
        <f t="shared" si="1062"/>
        <v>1092076</v>
      </c>
      <c r="AY453" s="475">
        <f t="shared" si="1062"/>
        <v>64620</v>
      </c>
      <c r="AZ453" s="475">
        <f t="shared" si="1063"/>
        <v>82080</v>
      </c>
      <c r="BA453" s="476">
        <f t="shared" si="1064"/>
        <v>6.6282999999999994</v>
      </c>
      <c r="BB453" s="476">
        <f t="shared" si="1065"/>
        <v>4.1368</v>
      </c>
      <c r="BC453" s="478">
        <f t="shared" si="1065"/>
        <v>2.4914999999999998</v>
      </c>
    </row>
    <row r="454" spans="1:55" ht="14.1" customHeight="1" x14ac:dyDescent="0.2">
      <c r="A454" s="68">
        <v>88</v>
      </c>
      <c r="B454" s="65">
        <v>2499</v>
      </c>
      <c r="C454" s="66">
        <v>650025288</v>
      </c>
      <c r="D454" s="65">
        <v>70983283</v>
      </c>
      <c r="E454" s="67" t="s">
        <v>738</v>
      </c>
      <c r="F454" s="68">
        <v>3117</v>
      </c>
      <c r="G454" s="67" t="s">
        <v>312</v>
      </c>
      <c r="H454" s="69" t="s">
        <v>278</v>
      </c>
      <c r="I454" s="477">
        <v>418201</v>
      </c>
      <c r="J454" s="472">
        <v>307954</v>
      </c>
      <c r="K454" s="472">
        <v>0</v>
      </c>
      <c r="L454" s="472">
        <v>104088</v>
      </c>
      <c r="M454" s="472">
        <v>6159</v>
      </c>
      <c r="N454" s="472">
        <v>0</v>
      </c>
      <c r="O454" s="473">
        <v>0.89</v>
      </c>
      <c r="P454" s="474">
        <v>0.89</v>
      </c>
      <c r="Q454" s="483">
        <v>0</v>
      </c>
      <c r="R454" s="485">
        <f t="shared" si="1051"/>
        <v>0</v>
      </c>
      <c r="S454" s="475">
        <v>0</v>
      </c>
      <c r="T454" s="475">
        <v>0</v>
      </c>
      <c r="U454" s="475">
        <v>0</v>
      </c>
      <c r="V454" s="475">
        <v>0</v>
      </c>
      <c r="W454" s="475">
        <v>0</v>
      </c>
      <c r="X454" s="475">
        <f t="shared" si="1052"/>
        <v>0</v>
      </c>
      <c r="Y454" s="475">
        <v>0</v>
      </c>
      <c r="Z454" s="475">
        <v>0</v>
      </c>
      <c r="AA454" s="475">
        <v>0</v>
      </c>
      <c r="AB454" s="475">
        <f t="shared" si="1053"/>
        <v>0</v>
      </c>
      <c r="AC454" s="475">
        <f t="shared" si="1054"/>
        <v>0</v>
      </c>
      <c r="AD454" s="70">
        <f t="shared" si="1055"/>
        <v>0</v>
      </c>
      <c r="AE454" s="70">
        <f t="shared" si="1056"/>
        <v>0</v>
      </c>
      <c r="AF454" s="475">
        <v>0</v>
      </c>
      <c r="AG454" s="475">
        <v>0</v>
      </c>
      <c r="AH454" s="475">
        <f t="shared" si="1057"/>
        <v>0</v>
      </c>
      <c r="AI454" s="475">
        <f t="shared" si="1058"/>
        <v>0</v>
      </c>
      <c r="AJ454" s="476">
        <v>0</v>
      </c>
      <c r="AK454" s="476">
        <v>0</v>
      </c>
      <c r="AL454" s="476">
        <v>0</v>
      </c>
      <c r="AM454" s="476">
        <v>0</v>
      </c>
      <c r="AN454" s="476">
        <v>0</v>
      </c>
      <c r="AO454" s="476">
        <v>0</v>
      </c>
      <c r="AP454" s="476">
        <v>0</v>
      </c>
      <c r="AQ454" s="476">
        <v>0</v>
      </c>
      <c r="AR454" s="476">
        <f t="shared" si="929"/>
        <v>0</v>
      </c>
      <c r="AS454" s="476">
        <f t="shared" si="930"/>
        <v>0</v>
      </c>
      <c r="AT454" s="478">
        <f t="shared" si="931"/>
        <v>0</v>
      </c>
      <c r="AU454" s="484">
        <f t="shared" si="1059"/>
        <v>418201</v>
      </c>
      <c r="AV454" s="475">
        <f t="shared" si="1060"/>
        <v>307954</v>
      </c>
      <c r="AW454" s="475">
        <f t="shared" si="1061"/>
        <v>0</v>
      </c>
      <c r="AX454" s="475">
        <f t="shared" si="1062"/>
        <v>104088</v>
      </c>
      <c r="AY454" s="475">
        <f t="shared" si="1062"/>
        <v>6159</v>
      </c>
      <c r="AZ454" s="475">
        <f t="shared" si="1063"/>
        <v>0</v>
      </c>
      <c r="BA454" s="476">
        <f t="shared" si="1064"/>
        <v>0.89</v>
      </c>
      <c r="BB454" s="476">
        <f t="shared" si="1065"/>
        <v>0.89</v>
      </c>
      <c r="BC454" s="478">
        <f t="shared" si="1065"/>
        <v>0</v>
      </c>
    </row>
    <row r="455" spans="1:55" ht="14.1" customHeight="1" x14ac:dyDescent="0.2">
      <c r="A455" s="68">
        <v>88</v>
      </c>
      <c r="B455" s="65">
        <v>2499</v>
      </c>
      <c r="C455" s="66">
        <v>650025288</v>
      </c>
      <c r="D455" s="65">
        <v>70983283</v>
      </c>
      <c r="E455" s="67" t="s">
        <v>738</v>
      </c>
      <c r="F455" s="68">
        <v>3141</v>
      </c>
      <c r="G455" s="67" t="s">
        <v>315</v>
      </c>
      <c r="H455" s="69" t="s">
        <v>278</v>
      </c>
      <c r="I455" s="477">
        <v>1027970</v>
      </c>
      <c r="J455" s="472">
        <v>753514</v>
      </c>
      <c r="K455" s="472">
        <v>0</v>
      </c>
      <c r="L455" s="472">
        <v>254688</v>
      </c>
      <c r="M455" s="472">
        <v>15070</v>
      </c>
      <c r="N455" s="472">
        <v>4698</v>
      </c>
      <c r="O455" s="473">
        <v>2.37</v>
      </c>
      <c r="P455" s="474">
        <v>0</v>
      </c>
      <c r="Q455" s="483">
        <v>2.37</v>
      </c>
      <c r="R455" s="485">
        <f t="shared" si="1051"/>
        <v>0</v>
      </c>
      <c r="S455" s="475">
        <v>0</v>
      </c>
      <c r="T455" s="755">
        <v>4725</v>
      </c>
      <c r="U455" s="475">
        <v>0</v>
      </c>
      <c r="V455" s="475">
        <v>0</v>
      </c>
      <c r="W455" s="475">
        <v>0</v>
      </c>
      <c r="X455" s="475">
        <f t="shared" si="1052"/>
        <v>4725</v>
      </c>
      <c r="Y455" s="475">
        <v>0</v>
      </c>
      <c r="Z455" s="475">
        <v>0</v>
      </c>
      <c r="AA455" s="475">
        <v>0</v>
      </c>
      <c r="AB455" s="475">
        <f t="shared" si="1053"/>
        <v>0</v>
      </c>
      <c r="AC455" s="475">
        <f t="shared" si="1054"/>
        <v>4725</v>
      </c>
      <c r="AD455" s="70">
        <f t="shared" si="1055"/>
        <v>1597</v>
      </c>
      <c r="AE455" s="70">
        <f t="shared" si="1056"/>
        <v>95</v>
      </c>
      <c r="AF455" s="475">
        <v>0</v>
      </c>
      <c r="AG455" s="475">
        <v>0</v>
      </c>
      <c r="AH455" s="475">
        <f t="shared" si="1057"/>
        <v>0</v>
      </c>
      <c r="AI455" s="475">
        <f t="shared" si="1058"/>
        <v>6417</v>
      </c>
      <c r="AJ455" s="476">
        <v>0</v>
      </c>
      <c r="AK455" s="476">
        <v>0</v>
      </c>
      <c r="AL455" s="476">
        <v>0</v>
      </c>
      <c r="AM455" s="476">
        <v>0</v>
      </c>
      <c r="AN455" s="756">
        <v>1.9999999999999962E-2</v>
      </c>
      <c r="AO455" s="476">
        <v>0</v>
      </c>
      <c r="AP455" s="476">
        <v>0</v>
      </c>
      <c r="AQ455" s="476">
        <v>0</v>
      </c>
      <c r="AR455" s="476">
        <f t="shared" si="929"/>
        <v>0</v>
      </c>
      <c r="AS455" s="476">
        <f t="shared" si="930"/>
        <v>1.9999999999999962E-2</v>
      </c>
      <c r="AT455" s="478">
        <f t="shared" si="931"/>
        <v>1.9999999999999962E-2</v>
      </c>
      <c r="AU455" s="484">
        <f t="shared" si="1059"/>
        <v>1034387</v>
      </c>
      <c r="AV455" s="475">
        <f t="shared" si="1060"/>
        <v>758239</v>
      </c>
      <c r="AW455" s="475">
        <f t="shared" si="1061"/>
        <v>0</v>
      </c>
      <c r="AX455" s="475">
        <f t="shared" si="1062"/>
        <v>256285</v>
      </c>
      <c r="AY455" s="475">
        <f t="shared" si="1062"/>
        <v>15165</v>
      </c>
      <c r="AZ455" s="475">
        <f t="shared" si="1063"/>
        <v>4698</v>
      </c>
      <c r="BA455" s="476">
        <f t="shared" si="1064"/>
        <v>2.39</v>
      </c>
      <c r="BB455" s="476">
        <f t="shared" si="1065"/>
        <v>0</v>
      </c>
      <c r="BC455" s="478">
        <f t="shared" si="1065"/>
        <v>2.39</v>
      </c>
    </row>
    <row r="456" spans="1:55" ht="14.1" customHeight="1" x14ac:dyDescent="0.2">
      <c r="A456" s="68">
        <v>88</v>
      </c>
      <c r="B456" s="65">
        <v>2499</v>
      </c>
      <c r="C456" s="66">
        <v>650025288</v>
      </c>
      <c r="D456" s="65">
        <v>70983283</v>
      </c>
      <c r="E456" s="67" t="s">
        <v>738</v>
      </c>
      <c r="F456" s="68">
        <v>3143</v>
      </c>
      <c r="G456" s="80" t="s">
        <v>626</v>
      </c>
      <c r="H456" s="69" t="s">
        <v>277</v>
      </c>
      <c r="I456" s="477">
        <v>1037600</v>
      </c>
      <c r="J456" s="472">
        <v>764065</v>
      </c>
      <c r="K456" s="472">
        <v>0</v>
      </c>
      <c r="L456" s="472">
        <v>258254</v>
      </c>
      <c r="M456" s="472">
        <v>15281</v>
      </c>
      <c r="N456" s="472">
        <v>0</v>
      </c>
      <c r="O456" s="473">
        <v>1.6073999999999999</v>
      </c>
      <c r="P456" s="473">
        <v>1.6073999999999999</v>
      </c>
      <c r="Q456" s="483">
        <v>0</v>
      </c>
      <c r="R456" s="485">
        <f t="shared" si="1051"/>
        <v>0</v>
      </c>
      <c r="S456" s="475">
        <v>0</v>
      </c>
      <c r="T456" s="475">
        <v>0</v>
      </c>
      <c r="U456" s="475">
        <v>0</v>
      </c>
      <c r="V456" s="475">
        <v>0</v>
      </c>
      <c r="W456" s="475">
        <v>0</v>
      </c>
      <c r="X456" s="475">
        <f t="shared" si="1052"/>
        <v>0</v>
      </c>
      <c r="Y456" s="475">
        <v>0</v>
      </c>
      <c r="Z456" s="475">
        <v>0</v>
      </c>
      <c r="AA456" s="475">
        <v>0</v>
      </c>
      <c r="AB456" s="475">
        <f t="shared" si="1053"/>
        <v>0</v>
      </c>
      <c r="AC456" s="475">
        <f t="shared" si="1054"/>
        <v>0</v>
      </c>
      <c r="AD456" s="70">
        <f t="shared" si="1055"/>
        <v>0</v>
      </c>
      <c r="AE456" s="70">
        <f t="shared" si="1056"/>
        <v>0</v>
      </c>
      <c r="AF456" s="475">
        <v>0</v>
      </c>
      <c r="AG456" s="475">
        <v>0</v>
      </c>
      <c r="AH456" s="475">
        <f t="shared" si="1057"/>
        <v>0</v>
      </c>
      <c r="AI456" s="475">
        <f t="shared" si="1058"/>
        <v>0</v>
      </c>
      <c r="AJ456" s="476">
        <v>0</v>
      </c>
      <c r="AK456" s="476">
        <v>0</v>
      </c>
      <c r="AL456" s="476">
        <v>0</v>
      </c>
      <c r="AM456" s="476">
        <v>0</v>
      </c>
      <c r="AN456" s="476">
        <v>0</v>
      </c>
      <c r="AO456" s="476">
        <v>0</v>
      </c>
      <c r="AP456" s="476">
        <v>0</v>
      </c>
      <c r="AQ456" s="476">
        <v>0</v>
      </c>
      <c r="AR456" s="476">
        <f t="shared" si="929"/>
        <v>0</v>
      </c>
      <c r="AS456" s="476">
        <f t="shared" si="930"/>
        <v>0</v>
      </c>
      <c r="AT456" s="478">
        <f t="shared" si="931"/>
        <v>0</v>
      </c>
      <c r="AU456" s="484">
        <f t="shared" si="1059"/>
        <v>1037600</v>
      </c>
      <c r="AV456" s="475">
        <f t="shared" si="1060"/>
        <v>764065</v>
      </c>
      <c r="AW456" s="475">
        <f t="shared" si="1061"/>
        <v>0</v>
      </c>
      <c r="AX456" s="475">
        <f t="shared" si="1062"/>
        <v>258254</v>
      </c>
      <c r="AY456" s="475">
        <f t="shared" si="1062"/>
        <v>15281</v>
      </c>
      <c r="AZ456" s="475">
        <f t="shared" si="1063"/>
        <v>0</v>
      </c>
      <c r="BA456" s="476">
        <f t="shared" si="1064"/>
        <v>1.6073999999999999</v>
      </c>
      <c r="BB456" s="476">
        <f t="shared" si="1065"/>
        <v>1.6073999999999999</v>
      </c>
      <c r="BC456" s="478">
        <f t="shared" si="1065"/>
        <v>0</v>
      </c>
    </row>
    <row r="457" spans="1:55" ht="14.1" customHeight="1" x14ac:dyDescent="0.2">
      <c r="A457" s="68">
        <v>88</v>
      </c>
      <c r="B457" s="65">
        <v>2499</v>
      </c>
      <c r="C457" s="66">
        <v>650025288</v>
      </c>
      <c r="D457" s="65">
        <v>70983283</v>
      </c>
      <c r="E457" s="67" t="s">
        <v>738</v>
      </c>
      <c r="F457" s="68">
        <v>3143</v>
      </c>
      <c r="G457" s="80" t="s">
        <v>627</v>
      </c>
      <c r="H457" s="69" t="s">
        <v>278</v>
      </c>
      <c r="I457" s="477">
        <v>30240</v>
      </c>
      <c r="J457" s="472">
        <v>21384</v>
      </c>
      <c r="K457" s="472">
        <v>0</v>
      </c>
      <c r="L457" s="472">
        <v>7228</v>
      </c>
      <c r="M457" s="472">
        <v>428</v>
      </c>
      <c r="N457" s="472">
        <v>1200</v>
      </c>
      <c r="O457" s="473">
        <v>0.08</v>
      </c>
      <c r="P457" s="474">
        <v>0</v>
      </c>
      <c r="Q457" s="483">
        <v>0.08</v>
      </c>
      <c r="R457" s="485">
        <f t="shared" si="1051"/>
        <v>0</v>
      </c>
      <c r="S457" s="475">
        <v>0</v>
      </c>
      <c r="T457" s="475">
        <v>0</v>
      </c>
      <c r="U457" s="475">
        <v>0</v>
      </c>
      <c r="V457" s="475">
        <v>0</v>
      </c>
      <c r="W457" s="475">
        <v>0</v>
      </c>
      <c r="X457" s="475">
        <f t="shared" si="1052"/>
        <v>0</v>
      </c>
      <c r="Y457" s="475">
        <v>0</v>
      </c>
      <c r="Z457" s="475">
        <v>0</v>
      </c>
      <c r="AA457" s="475">
        <v>0</v>
      </c>
      <c r="AB457" s="475">
        <f t="shared" si="1053"/>
        <v>0</v>
      </c>
      <c r="AC457" s="475">
        <f t="shared" si="1054"/>
        <v>0</v>
      </c>
      <c r="AD457" s="70">
        <f t="shared" si="1055"/>
        <v>0</v>
      </c>
      <c r="AE457" s="70">
        <f t="shared" si="1056"/>
        <v>0</v>
      </c>
      <c r="AF457" s="475">
        <v>0</v>
      </c>
      <c r="AG457" s="475">
        <v>0</v>
      </c>
      <c r="AH457" s="475">
        <f t="shared" si="1057"/>
        <v>0</v>
      </c>
      <c r="AI457" s="475">
        <f t="shared" si="1058"/>
        <v>0</v>
      </c>
      <c r="AJ457" s="476">
        <v>0</v>
      </c>
      <c r="AK457" s="476">
        <v>0</v>
      </c>
      <c r="AL457" s="476">
        <v>0</v>
      </c>
      <c r="AM457" s="476">
        <v>0</v>
      </c>
      <c r="AN457" s="476">
        <v>0</v>
      </c>
      <c r="AO457" s="476">
        <v>0</v>
      </c>
      <c r="AP457" s="476">
        <v>0</v>
      </c>
      <c r="AQ457" s="476">
        <v>0</v>
      </c>
      <c r="AR457" s="476">
        <f t="shared" si="929"/>
        <v>0</v>
      </c>
      <c r="AS457" s="476">
        <f t="shared" si="930"/>
        <v>0</v>
      </c>
      <c r="AT457" s="478">
        <f t="shared" si="931"/>
        <v>0</v>
      </c>
      <c r="AU457" s="484">
        <f t="shared" si="1059"/>
        <v>30240</v>
      </c>
      <c r="AV457" s="475">
        <f t="shared" si="1060"/>
        <v>21384</v>
      </c>
      <c r="AW457" s="475">
        <f t="shared" si="1061"/>
        <v>0</v>
      </c>
      <c r="AX457" s="475">
        <f t="shared" si="1062"/>
        <v>7228</v>
      </c>
      <c r="AY457" s="475">
        <f t="shared" si="1062"/>
        <v>428</v>
      </c>
      <c r="AZ457" s="475">
        <f t="shared" si="1063"/>
        <v>1200</v>
      </c>
      <c r="BA457" s="476">
        <f t="shared" si="1064"/>
        <v>0.08</v>
      </c>
      <c r="BB457" s="476">
        <f t="shared" si="1065"/>
        <v>0</v>
      </c>
      <c r="BC457" s="478">
        <f t="shared" si="1065"/>
        <v>0.08</v>
      </c>
    </row>
    <row r="458" spans="1:55" ht="14.1" customHeight="1" x14ac:dyDescent="0.2">
      <c r="A458" s="74">
        <v>88</v>
      </c>
      <c r="B458" s="71">
        <v>2499</v>
      </c>
      <c r="C458" s="72">
        <v>650025288</v>
      </c>
      <c r="D458" s="71">
        <v>70983283</v>
      </c>
      <c r="E458" s="73" t="s">
        <v>739</v>
      </c>
      <c r="F458" s="74"/>
      <c r="G458" s="73"/>
      <c r="H458" s="75"/>
      <c r="I458" s="76">
        <v>9995865</v>
      </c>
      <c r="J458" s="77">
        <v>7284674</v>
      </c>
      <c r="K458" s="77">
        <v>0</v>
      </c>
      <c r="L458" s="77">
        <v>2462220</v>
      </c>
      <c r="M458" s="77">
        <v>145693</v>
      </c>
      <c r="N458" s="77">
        <v>103278</v>
      </c>
      <c r="O458" s="78">
        <v>16.481599999999997</v>
      </c>
      <c r="P458" s="78">
        <v>10.618300000000001</v>
      </c>
      <c r="Q458" s="718">
        <v>5.8632999999999997</v>
      </c>
      <c r="R458" s="76">
        <f t="shared" ref="R458:BC458" si="1066">SUM(R452:R457)</f>
        <v>0</v>
      </c>
      <c r="S458" s="77">
        <f t="shared" si="1066"/>
        <v>0</v>
      </c>
      <c r="T458" s="77">
        <f t="shared" si="1066"/>
        <v>4725</v>
      </c>
      <c r="U458" s="77">
        <f t="shared" si="1066"/>
        <v>0</v>
      </c>
      <c r="V458" s="77">
        <f t="shared" si="1066"/>
        <v>0</v>
      </c>
      <c r="W458" s="77">
        <f t="shared" si="1066"/>
        <v>0</v>
      </c>
      <c r="X458" s="77">
        <f t="shared" si="1066"/>
        <v>4725</v>
      </c>
      <c r="Y458" s="77">
        <f t="shared" si="1066"/>
        <v>0</v>
      </c>
      <c r="Z458" s="77">
        <f t="shared" si="1066"/>
        <v>0</v>
      </c>
      <c r="AA458" s="77">
        <f t="shared" si="1066"/>
        <v>0</v>
      </c>
      <c r="AB458" s="77">
        <f t="shared" si="1066"/>
        <v>0</v>
      </c>
      <c r="AC458" s="77">
        <f t="shared" si="1066"/>
        <v>4725</v>
      </c>
      <c r="AD458" s="77">
        <f t="shared" si="1066"/>
        <v>1597</v>
      </c>
      <c r="AE458" s="77">
        <f t="shared" si="1066"/>
        <v>95</v>
      </c>
      <c r="AF458" s="77">
        <f t="shared" si="1066"/>
        <v>0</v>
      </c>
      <c r="AG458" s="77">
        <f t="shared" si="1066"/>
        <v>0</v>
      </c>
      <c r="AH458" s="77">
        <f t="shared" si="1066"/>
        <v>0</v>
      </c>
      <c r="AI458" s="77">
        <f t="shared" si="1066"/>
        <v>6417</v>
      </c>
      <c r="AJ458" s="78">
        <f t="shared" si="1066"/>
        <v>0</v>
      </c>
      <c r="AK458" s="78">
        <f t="shared" si="1066"/>
        <v>0</v>
      </c>
      <c r="AL458" s="78">
        <f t="shared" si="1066"/>
        <v>0</v>
      </c>
      <c r="AM458" s="78">
        <f t="shared" si="1066"/>
        <v>0</v>
      </c>
      <c r="AN458" s="78">
        <f t="shared" si="1066"/>
        <v>1.9999999999999962E-2</v>
      </c>
      <c r="AO458" s="78">
        <f t="shared" si="1066"/>
        <v>0</v>
      </c>
      <c r="AP458" s="78">
        <f t="shared" si="1066"/>
        <v>0</v>
      </c>
      <c r="AQ458" s="78">
        <f t="shared" si="1066"/>
        <v>0</v>
      </c>
      <c r="AR458" s="78">
        <f t="shared" si="1066"/>
        <v>0</v>
      </c>
      <c r="AS458" s="78">
        <f t="shared" si="1066"/>
        <v>1.9999999999999962E-2</v>
      </c>
      <c r="AT458" s="79">
        <f t="shared" si="1066"/>
        <v>1.9999999999999962E-2</v>
      </c>
      <c r="AU458" s="433">
        <f t="shared" si="1066"/>
        <v>10002282</v>
      </c>
      <c r="AV458" s="77">
        <f t="shared" si="1066"/>
        <v>7289399</v>
      </c>
      <c r="AW458" s="77">
        <f t="shared" si="1066"/>
        <v>0</v>
      </c>
      <c r="AX458" s="77">
        <f t="shared" si="1066"/>
        <v>2463817</v>
      </c>
      <c r="AY458" s="77">
        <f t="shared" si="1066"/>
        <v>145788</v>
      </c>
      <c r="AZ458" s="77">
        <f t="shared" si="1066"/>
        <v>103278</v>
      </c>
      <c r="BA458" s="78">
        <f t="shared" si="1066"/>
        <v>16.501599999999996</v>
      </c>
      <c r="BB458" s="78">
        <f t="shared" si="1066"/>
        <v>10.618300000000001</v>
      </c>
      <c r="BC458" s="79">
        <f t="shared" si="1066"/>
        <v>5.8833000000000002</v>
      </c>
    </row>
    <row r="459" spans="1:55" ht="14.1" customHeight="1" x14ac:dyDescent="0.2">
      <c r="A459" s="68">
        <v>89</v>
      </c>
      <c r="B459" s="65">
        <v>2331</v>
      </c>
      <c r="C459" s="66">
        <v>691014302</v>
      </c>
      <c r="D459" s="65" t="s">
        <v>798</v>
      </c>
      <c r="E459" s="67" t="s">
        <v>805</v>
      </c>
      <c r="F459" s="68">
        <v>3111</v>
      </c>
      <c r="G459" s="67" t="s">
        <v>311</v>
      </c>
      <c r="H459" s="69" t="s">
        <v>277</v>
      </c>
      <c r="I459" s="477">
        <v>3176353</v>
      </c>
      <c r="J459" s="643">
        <v>2329715</v>
      </c>
      <c r="K459" s="643">
        <v>0</v>
      </c>
      <c r="L459" s="472">
        <v>787444</v>
      </c>
      <c r="M459" s="472">
        <v>46594</v>
      </c>
      <c r="N459" s="472">
        <v>12600</v>
      </c>
      <c r="O459" s="473">
        <v>5.6097999999999999</v>
      </c>
      <c r="P459" s="473">
        <v>4.22</v>
      </c>
      <c r="Q459" s="483">
        <v>1.3897999999999999</v>
      </c>
      <c r="R459" s="485">
        <f t="shared" ref="R459:R460" si="1067">Y459*-1</f>
        <v>0</v>
      </c>
      <c r="S459" s="475">
        <v>0</v>
      </c>
      <c r="T459" s="475">
        <v>0</v>
      </c>
      <c r="U459" s="475">
        <v>0</v>
      </c>
      <c r="V459" s="475">
        <v>0</v>
      </c>
      <c r="W459" s="475">
        <v>0</v>
      </c>
      <c r="X459" s="475">
        <f t="shared" ref="X459:X460" si="1068">SUM(R459:W459)</f>
        <v>0</v>
      </c>
      <c r="Y459" s="475">
        <v>0</v>
      </c>
      <c r="Z459" s="475">
        <v>0</v>
      </c>
      <c r="AA459" s="475">
        <v>0</v>
      </c>
      <c r="AB459" s="475">
        <f t="shared" ref="AB459:AB460" si="1069">SUM(Y459:AA459)</f>
        <v>0</v>
      </c>
      <c r="AC459" s="475">
        <f t="shared" ref="AC459:AC460" si="1070">X459+AB459</f>
        <v>0</v>
      </c>
      <c r="AD459" s="70">
        <f t="shared" ref="AD459:AD460" si="1071">ROUND((X459+Y459+Z459)*33.8%,0)</f>
        <v>0</v>
      </c>
      <c r="AE459" s="70">
        <f t="shared" ref="AE459:AE460" si="1072">ROUND(X459*2%,0)</f>
        <v>0</v>
      </c>
      <c r="AF459" s="475">
        <v>0</v>
      </c>
      <c r="AG459" s="475">
        <v>0</v>
      </c>
      <c r="AH459" s="475">
        <f t="shared" ref="AH459:AH460" si="1073">SUM(AF459:AG459)</f>
        <v>0</v>
      </c>
      <c r="AI459" s="475">
        <f t="shared" ref="AI459:AI460" si="1074">AC459+AD459+AE459+AH459</f>
        <v>0</v>
      </c>
      <c r="AJ459" s="476">
        <v>0</v>
      </c>
      <c r="AK459" s="476">
        <v>0</v>
      </c>
      <c r="AL459" s="476">
        <v>0</v>
      </c>
      <c r="AM459" s="476">
        <v>0</v>
      </c>
      <c r="AN459" s="476">
        <v>0</v>
      </c>
      <c r="AO459" s="476">
        <v>0</v>
      </c>
      <c r="AP459" s="476">
        <v>0</v>
      </c>
      <c r="AQ459" s="476">
        <v>0</v>
      </c>
      <c r="AR459" s="476">
        <f t="shared" si="929"/>
        <v>0</v>
      </c>
      <c r="AS459" s="476">
        <f t="shared" si="930"/>
        <v>0</v>
      </c>
      <c r="AT459" s="478">
        <f t="shared" si="931"/>
        <v>0</v>
      </c>
      <c r="AU459" s="484">
        <f>I459+AI459</f>
        <v>3176353</v>
      </c>
      <c r="AV459" s="475">
        <f>J459+X459</f>
        <v>2329715</v>
      </c>
      <c r="AW459" s="475">
        <f>K459+AB459</f>
        <v>0</v>
      </c>
      <c r="AX459" s="475">
        <f>L459+AD459</f>
        <v>787444</v>
      </c>
      <c r="AY459" s="475">
        <f>M459+AE459</f>
        <v>46594</v>
      </c>
      <c r="AZ459" s="475">
        <f>N459+AH459</f>
        <v>12600</v>
      </c>
      <c r="BA459" s="476">
        <f>O459+AT459</f>
        <v>5.6097999999999999</v>
      </c>
      <c r="BB459" s="476">
        <f>P459+AR459</f>
        <v>4.22</v>
      </c>
      <c r="BC459" s="478">
        <f>Q459+AS459</f>
        <v>1.3897999999999999</v>
      </c>
    </row>
    <row r="460" spans="1:55" ht="14.1" customHeight="1" x14ac:dyDescent="0.2">
      <c r="A460" s="68">
        <v>89</v>
      </c>
      <c r="B460" s="65">
        <v>2331</v>
      </c>
      <c r="C460" s="66">
        <v>691014302</v>
      </c>
      <c r="D460" s="65" t="s">
        <v>798</v>
      </c>
      <c r="E460" s="67" t="s">
        <v>805</v>
      </c>
      <c r="F460" s="68">
        <v>3141</v>
      </c>
      <c r="G460" s="67" t="s">
        <v>315</v>
      </c>
      <c r="H460" s="69" t="s">
        <v>278</v>
      </c>
      <c r="I460" s="477">
        <v>454947</v>
      </c>
      <c r="J460" s="472">
        <v>333817</v>
      </c>
      <c r="K460" s="472">
        <v>0</v>
      </c>
      <c r="L460" s="472">
        <v>112830</v>
      </c>
      <c r="M460" s="472">
        <v>6676</v>
      </c>
      <c r="N460" s="472">
        <v>1624</v>
      </c>
      <c r="O460" s="473">
        <v>1.05</v>
      </c>
      <c r="P460" s="474">
        <v>0</v>
      </c>
      <c r="Q460" s="483">
        <v>1.05</v>
      </c>
      <c r="R460" s="485">
        <f t="shared" si="1067"/>
        <v>0</v>
      </c>
      <c r="S460" s="475">
        <v>0</v>
      </c>
      <c r="T460" s="475">
        <v>0</v>
      </c>
      <c r="U460" s="475">
        <v>0</v>
      </c>
      <c r="V460" s="475">
        <v>0</v>
      </c>
      <c r="W460" s="475">
        <v>0</v>
      </c>
      <c r="X460" s="475">
        <f t="shared" si="1068"/>
        <v>0</v>
      </c>
      <c r="Y460" s="475">
        <v>0</v>
      </c>
      <c r="Z460" s="475">
        <v>0</v>
      </c>
      <c r="AA460" s="475">
        <v>0</v>
      </c>
      <c r="AB460" s="475">
        <f t="shared" si="1069"/>
        <v>0</v>
      </c>
      <c r="AC460" s="475">
        <f t="shared" si="1070"/>
        <v>0</v>
      </c>
      <c r="AD460" s="70">
        <f t="shared" si="1071"/>
        <v>0</v>
      </c>
      <c r="AE460" s="70">
        <f t="shared" si="1072"/>
        <v>0</v>
      </c>
      <c r="AF460" s="475">
        <v>0</v>
      </c>
      <c r="AG460" s="475">
        <v>0</v>
      </c>
      <c r="AH460" s="475">
        <f t="shared" si="1073"/>
        <v>0</v>
      </c>
      <c r="AI460" s="475">
        <f t="shared" si="1074"/>
        <v>0</v>
      </c>
      <c r="AJ460" s="476">
        <v>0</v>
      </c>
      <c r="AK460" s="476">
        <v>0</v>
      </c>
      <c r="AL460" s="476">
        <v>0</v>
      </c>
      <c r="AM460" s="476">
        <v>0</v>
      </c>
      <c r="AN460" s="476">
        <v>0</v>
      </c>
      <c r="AO460" s="476">
        <v>0</v>
      </c>
      <c r="AP460" s="476">
        <v>0</v>
      </c>
      <c r="AQ460" s="476">
        <v>0</v>
      </c>
      <c r="AR460" s="476">
        <f t="shared" si="929"/>
        <v>0</v>
      </c>
      <c r="AS460" s="476">
        <f t="shared" si="930"/>
        <v>0</v>
      </c>
      <c r="AT460" s="478">
        <f t="shared" si="931"/>
        <v>0</v>
      </c>
      <c r="AU460" s="484">
        <f>I460+AI460</f>
        <v>454947</v>
      </c>
      <c r="AV460" s="475">
        <f>J460+X460</f>
        <v>333817</v>
      </c>
      <c r="AW460" s="475">
        <f>K460+AB460</f>
        <v>0</v>
      </c>
      <c r="AX460" s="475">
        <f>L460+AD460</f>
        <v>112830</v>
      </c>
      <c r="AY460" s="475">
        <f>M460+AE460</f>
        <v>6676</v>
      </c>
      <c r="AZ460" s="475">
        <f>N460+AH460</f>
        <v>1624</v>
      </c>
      <c r="BA460" s="476">
        <f>O460+AT460</f>
        <v>1.05</v>
      </c>
      <c r="BB460" s="476">
        <f>P460+AR460</f>
        <v>0</v>
      </c>
      <c r="BC460" s="478">
        <f>Q460+AS460</f>
        <v>1.05</v>
      </c>
    </row>
    <row r="461" spans="1:55" ht="14.1" customHeight="1" x14ac:dyDescent="0.2">
      <c r="A461" s="74">
        <v>89</v>
      </c>
      <c r="B461" s="71">
        <v>2331</v>
      </c>
      <c r="C461" s="72">
        <v>691014302</v>
      </c>
      <c r="D461" s="71" t="s">
        <v>798</v>
      </c>
      <c r="E461" s="73" t="s">
        <v>806</v>
      </c>
      <c r="F461" s="212"/>
      <c r="G461" s="73"/>
      <c r="H461" s="75"/>
      <c r="I461" s="76">
        <v>3631300</v>
      </c>
      <c r="J461" s="77">
        <v>2663532</v>
      </c>
      <c r="K461" s="77">
        <v>0</v>
      </c>
      <c r="L461" s="77">
        <v>900274</v>
      </c>
      <c r="M461" s="77">
        <v>53270</v>
      </c>
      <c r="N461" s="77">
        <v>14224</v>
      </c>
      <c r="O461" s="78">
        <v>6.6597999999999997</v>
      </c>
      <c r="P461" s="78">
        <v>4.22</v>
      </c>
      <c r="Q461" s="718">
        <v>2.4398</v>
      </c>
      <c r="R461" s="76">
        <f t="shared" ref="R461:BC461" si="1075">SUM(R459:R460)</f>
        <v>0</v>
      </c>
      <c r="S461" s="77">
        <f t="shared" si="1075"/>
        <v>0</v>
      </c>
      <c r="T461" s="77">
        <f t="shared" si="1075"/>
        <v>0</v>
      </c>
      <c r="U461" s="77">
        <f t="shared" si="1075"/>
        <v>0</v>
      </c>
      <c r="V461" s="77">
        <f t="shared" si="1075"/>
        <v>0</v>
      </c>
      <c r="W461" s="77">
        <f t="shared" si="1075"/>
        <v>0</v>
      </c>
      <c r="X461" s="77">
        <f t="shared" si="1075"/>
        <v>0</v>
      </c>
      <c r="Y461" s="77">
        <f t="shared" si="1075"/>
        <v>0</v>
      </c>
      <c r="Z461" s="77">
        <f t="shared" si="1075"/>
        <v>0</v>
      </c>
      <c r="AA461" s="77">
        <f t="shared" si="1075"/>
        <v>0</v>
      </c>
      <c r="AB461" s="77">
        <f t="shared" si="1075"/>
        <v>0</v>
      </c>
      <c r="AC461" s="77">
        <f t="shared" si="1075"/>
        <v>0</v>
      </c>
      <c r="AD461" s="77">
        <f t="shared" si="1075"/>
        <v>0</v>
      </c>
      <c r="AE461" s="77">
        <f t="shared" si="1075"/>
        <v>0</v>
      </c>
      <c r="AF461" s="77">
        <f t="shared" si="1075"/>
        <v>0</v>
      </c>
      <c r="AG461" s="77">
        <f t="shared" si="1075"/>
        <v>0</v>
      </c>
      <c r="AH461" s="77">
        <f t="shared" si="1075"/>
        <v>0</v>
      </c>
      <c r="AI461" s="77">
        <f t="shared" si="1075"/>
        <v>0</v>
      </c>
      <c r="AJ461" s="78">
        <f t="shared" si="1075"/>
        <v>0</v>
      </c>
      <c r="AK461" s="78">
        <f t="shared" si="1075"/>
        <v>0</v>
      </c>
      <c r="AL461" s="78">
        <f t="shared" si="1075"/>
        <v>0</v>
      </c>
      <c r="AM461" s="78">
        <f t="shared" si="1075"/>
        <v>0</v>
      </c>
      <c r="AN461" s="78">
        <f t="shared" si="1075"/>
        <v>0</v>
      </c>
      <c r="AO461" s="78">
        <f t="shared" si="1075"/>
        <v>0</v>
      </c>
      <c r="AP461" s="78">
        <f t="shared" si="1075"/>
        <v>0</v>
      </c>
      <c r="AQ461" s="78">
        <f t="shared" si="1075"/>
        <v>0</v>
      </c>
      <c r="AR461" s="78">
        <f t="shared" si="1075"/>
        <v>0</v>
      </c>
      <c r="AS461" s="78">
        <f t="shared" si="1075"/>
        <v>0</v>
      </c>
      <c r="AT461" s="79">
        <f t="shared" si="1075"/>
        <v>0</v>
      </c>
      <c r="AU461" s="433">
        <f t="shared" si="1075"/>
        <v>3631300</v>
      </c>
      <c r="AV461" s="77">
        <f t="shared" si="1075"/>
        <v>2663532</v>
      </c>
      <c r="AW461" s="77">
        <f t="shared" si="1075"/>
        <v>0</v>
      </c>
      <c r="AX461" s="77">
        <f t="shared" si="1075"/>
        <v>900274</v>
      </c>
      <c r="AY461" s="77">
        <f t="shared" si="1075"/>
        <v>53270</v>
      </c>
      <c r="AZ461" s="77">
        <f t="shared" si="1075"/>
        <v>14224</v>
      </c>
      <c r="BA461" s="78">
        <f t="shared" si="1075"/>
        <v>6.6597999999999997</v>
      </c>
      <c r="BB461" s="78">
        <f t="shared" si="1075"/>
        <v>4.22</v>
      </c>
      <c r="BC461" s="79">
        <f t="shared" si="1075"/>
        <v>2.4398</v>
      </c>
    </row>
    <row r="462" spans="1:55" ht="14.1" customHeight="1" x14ac:dyDescent="0.2">
      <c r="A462" s="68">
        <v>90</v>
      </c>
      <c r="B462" s="201">
        <v>2332</v>
      </c>
      <c r="C462" s="201">
        <v>691015295</v>
      </c>
      <c r="D462" s="202">
        <v>10988122</v>
      </c>
      <c r="E462" s="199" t="s">
        <v>819</v>
      </c>
      <c r="F462" s="213">
        <v>3111</v>
      </c>
      <c r="G462" s="214" t="s">
        <v>311</v>
      </c>
      <c r="H462" s="69" t="s">
        <v>277</v>
      </c>
      <c r="I462" s="477">
        <v>5091093</v>
      </c>
      <c r="J462" s="643">
        <v>3726701</v>
      </c>
      <c r="K462" s="643">
        <v>2080</v>
      </c>
      <c r="L462" s="472">
        <v>1260328</v>
      </c>
      <c r="M462" s="472">
        <v>74534</v>
      </c>
      <c r="N462" s="472">
        <v>27450</v>
      </c>
      <c r="O462" s="473">
        <v>8.4681999999999995</v>
      </c>
      <c r="P462" s="473">
        <v>6.484</v>
      </c>
      <c r="Q462" s="483">
        <v>1.9842</v>
      </c>
      <c r="R462" s="485">
        <f t="shared" ref="R462:R464" si="1076">Y462*-1</f>
        <v>0</v>
      </c>
      <c r="S462" s="475">
        <v>0</v>
      </c>
      <c r="T462" s="475">
        <v>0</v>
      </c>
      <c r="U462" s="475">
        <v>0</v>
      </c>
      <c r="V462" s="475">
        <v>-22091</v>
      </c>
      <c r="W462" s="475">
        <v>0</v>
      </c>
      <c r="X462" s="475">
        <f t="shared" ref="X462:X464" si="1077">SUM(R462:W462)</f>
        <v>-22091</v>
      </c>
      <c r="Y462" s="475">
        <v>0</v>
      </c>
      <c r="Z462" s="475">
        <v>0</v>
      </c>
      <c r="AA462" s="475">
        <v>0</v>
      </c>
      <c r="AB462" s="475">
        <f t="shared" ref="AB462:AB464" si="1078">SUM(Y462:AA462)</f>
        <v>0</v>
      </c>
      <c r="AC462" s="475">
        <f t="shared" ref="AC462:AC464" si="1079">X462+AB462</f>
        <v>-22091</v>
      </c>
      <c r="AD462" s="70">
        <f t="shared" ref="AD462:AD464" si="1080">ROUND((X462+Y462+Z462)*33.8%,0)</f>
        <v>-7467</v>
      </c>
      <c r="AE462" s="70">
        <f t="shared" ref="AE462:AE464" si="1081">ROUND(X462*2%,0)</f>
        <v>-442</v>
      </c>
      <c r="AF462" s="475">
        <v>0</v>
      </c>
      <c r="AG462" s="475">
        <v>30000</v>
      </c>
      <c r="AH462" s="475">
        <f t="shared" ref="AH462:AH464" si="1082">SUM(AF462:AG462)</f>
        <v>30000</v>
      </c>
      <c r="AI462" s="475">
        <f t="shared" ref="AI462:AI464" si="1083">AC462+AD462+AE462+AH462</f>
        <v>0</v>
      </c>
      <c r="AJ462" s="476">
        <v>0</v>
      </c>
      <c r="AK462" s="476">
        <v>0</v>
      </c>
      <c r="AL462" s="476">
        <v>0</v>
      </c>
      <c r="AM462" s="476">
        <v>0</v>
      </c>
      <c r="AN462" s="476">
        <v>0</v>
      </c>
      <c r="AO462" s="476">
        <v>0</v>
      </c>
      <c r="AP462" s="476">
        <v>0</v>
      </c>
      <c r="AQ462" s="476">
        <v>0</v>
      </c>
      <c r="AR462" s="476">
        <f t="shared" ref="AR462:AR464" si="1084">AJ462+AL462+AM462+AO462+AP462</f>
        <v>0</v>
      </c>
      <c r="AS462" s="476">
        <f t="shared" ref="AS462:AS464" si="1085">AK462+AN462+AQ462</f>
        <v>0</v>
      </c>
      <c r="AT462" s="478">
        <f t="shared" ref="AT462:AT464" si="1086">SUM(AR462:AS462)</f>
        <v>0</v>
      </c>
      <c r="AU462" s="484">
        <f>I462+AI462</f>
        <v>5091093</v>
      </c>
      <c r="AV462" s="475">
        <f>J462+X462</f>
        <v>3704610</v>
      </c>
      <c r="AW462" s="475">
        <f>K462+AB462</f>
        <v>2080</v>
      </c>
      <c r="AX462" s="475">
        <f t="shared" ref="AX462:AY464" si="1087">L462+AD462</f>
        <v>1252861</v>
      </c>
      <c r="AY462" s="475">
        <f t="shared" si="1087"/>
        <v>74092</v>
      </c>
      <c r="AZ462" s="475">
        <f>N462+AH462</f>
        <v>57450</v>
      </c>
      <c r="BA462" s="476">
        <f>O462+AT462</f>
        <v>8.4681999999999995</v>
      </c>
      <c r="BB462" s="476">
        <f t="shared" ref="BB462:BC464" si="1088">P462+AR462</f>
        <v>6.484</v>
      </c>
      <c r="BC462" s="478">
        <f t="shared" si="1088"/>
        <v>1.9842</v>
      </c>
    </row>
    <row r="463" spans="1:55" ht="14.1" customHeight="1" x14ac:dyDescent="0.2">
      <c r="A463" s="68">
        <v>90</v>
      </c>
      <c r="B463" s="201">
        <v>2332</v>
      </c>
      <c r="C463" s="201">
        <v>691015295</v>
      </c>
      <c r="D463" s="202">
        <v>10988122</v>
      </c>
      <c r="E463" s="199" t="s">
        <v>819</v>
      </c>
      <c r="F463" s="213">
        <v>3111</v>
      </c>
      <c r="G463" s="214" t="s">
        <v>312</v>
      </c>
      <c r="H463" s="69" t="s">
        <v>278</v>
      </c>
      <c r="I463" s="477">
        <v>300583</v>
      </c>
      <c r="J463" s="472">
        <v>221342</v>
      </c>
      <c r="K463" s="472">
        <v>0</v>
      </c>
      <c r="L463" s="472">
        <v>74814</v>
      </c>
      <c r="M463" s="472">
        <v>4427</v>
      </c>
      <c r="N463" s="472">
        <v>0</v>
      </c>
      <c r="O463" s="473">
        <v>0.64</v>
      </c>
      <c r="P463" s="474">
        <v>0.64</v>
      </c>
      <c r="Q463" s="483">
        <v>0</v>
      </c>
      <c r="R463" s="485">
        <f t="shared" si="1076"/>
        <v>0</v>
      </c>
      <c r="S463" s="475">
        <v>0</v>
      </c>
      <c r="T463" s="475">
        <v>0</v>
      </c>
      <c r="U463" s="475">
        <v>0</v>
      </c>
      <c r="V463" s="475">
        <v>0</v>
      </c>
      <c r="W463" s="475">
        <v>0</v>
      </c>
      <c r="X463" s="475">
        <f t="shared" si="1077"/>
        <v>0</v>
      </c>
      <c r="Y463" s="475">
        <v>0</v>
      </c>
      <c r="Z463" s="475">
        <v>0</v>
      </c>
      <c r="AA463" s="475">
        <v>0</v>
      </c>
      <c r="AB463" s="475">
        <f t="shared" si="1078"/>
        <v>0</v>
      </c>
      <c r="AC463" s="475">
        <f t="shared" si="1079"/>
        <v>0</v>
      </c>
      <c r="AD463" s="70">
        <f t="shared" si="1080"/>
        <v>0</v>
      </c>
      <c r="AE463" s="70">
        <f t="shared" si="1081"/>
        <v>0</v>
      </c>
      <c r="AF463" s="475">
        <v>0</v>
      </c>
      <c r="AG463" s="475">
        <v>0</v>
      </c>
      <c r="AH463" s="475">
        <f t="shared" si="1082"/>
        <v>0</v>
      </c>
      <c r="AI463" s="475">
        <f t="shared" si="1083"/>
        <v>0</v>
      </c>
      <c r="AJ463" s="476">
        <v>0</v>
      </c>
      <c r="AK463" s="476">
        <v>0</v>
      </c>
      <c r="AL463" s="476">
        <v>0</v>
      </c>
      <c r="AM463" s="476">
        <v>0</v>
      </c>
      <c r="AN463" s="476">
        <v>0</v>
      </c>
      <c r="AO463" s="476">
        <v>0</v>
      </c>
      <c r="AP463" s="476">
        <v>0</v>
      </c>
      <c r="AQ463" s="476">
        <v>0</v>
      </c>
      <c r="AR463" s="476">
        <f t="shared" si="1084"/>
        <v>0</v>
      </c>
      <c r="AS463" s="476">
        <f t="shared" si="1085"/>
        <v>0</v>
      </c>
      <c r="AT463" s="478">
        <f t="shared" si="1086"/>
        <v>0</v>
      </c>
      <c r="AU463" s="484">
        <f>I463+AI463</f>
        <v>300583</v>
      </c>
      <c r="AV463" s="475">
        <f>J463+X463</f>
        <v>221342</v>
      </c>
      <c r="AW463" s="475">
        <f>K463+AB463</f>
        <v>0</v>
      </c>
      <c r="AX463" s="475">
        <f t="shared" si="1087"/>
        <v>74814</v>
      </c>
      <c r="AY463" s="475">
        <f t="shared" si="1087"/>
        <v>4427</v>
      </c>
      <c r="AZ463" s="475">
        <f>N463+AH463</f>
        <v>0</v>
      </c>
      <c r="BA463" s="476">
        <f>O463+AT463</f>
        <v>0.64</v>
      </c>
      <c r="BB463" s="476">
        <f t="shared" si="1088"/>
        <v>0.64</v>
      </c>
      <c r="BC463" s="478">
        <f t="shared" si="1088"/>
        <v>0</v>
      </c>
    </row>
    <row r="464" spans="1:55" ht="14.1" customHeight="1" x14ac:dyDescent="0.2">
      <c r="A464" s="203">
        <v>90</v>
      </c>
      <c r="B464" s="204">
        <v>2332</v>
      </c>
      <c r="C464" s="201">
        <v>691015295</v>
      </c>
      <c r="D464" s="202">
        <v>10988122</v>
      </c>
      <c r="E464" s="199" t="s">
        <v>819</v>
      </c>
      <c r="F464" s="205">
        <v>3141</v>
      </c>
      <c r="G464" s="206" t="s">
        <v>315</v>
      </c>
      <c r="H464" s="69" t="s">
        <v>278</v>
      </c>
      <c r="I464" s="477">
        <v>315691</v>
      </c>
      <c r="J464" s="472">
        <v>230761</v>
      </c>
      <c r="K464" s="472">
        <v>0</v>
      </c>
      <c r="L464" s="472">
        <v>77997</v>
      </c>
      <c r="M464" s="472">
        <v>4615</v>
      </c>
      <c r="N464" s="472">
        <v>2318</v>
      </c>
      <c r="O464" s="473">
        <v>0.73</v>
      </c>
      <c r="P464" s="474">
        <v>0</v>
      </c>
      <c r="Q464" s="483">
        <v>0.73</v>
      </c>
      <c r="R464" s="485">
        <f t="shared" si="1076"/>
        <v>0</v>
      </c>
      <c r="S464" s="475">
        <v>0</v>
      </c>
      <c r="T464" s="475">
        <v>0</v>
      </c>
      <c r="U464" s="475">
        <v>0</v>
      </c>
      <c r="V464" s="475">
        <v>0</v>
      </c>
      <c r="W464" s="475">
        <v>0</v>
      </c>
      <c r="X464" s="475">
        <f t="shared" si="1077"/>
        <v>0</v>
      </c>
      <c r="Y464" s="475">
        <v>0</v>
      </c>
      <c r="Z464" s="475">
        <v>0</v>
      </c>
      <c r="AA464" s="475">
        <v>0</v>
      </c>
      <c r="AB464" s="475">
        <f t="shared" si="1078"/>
        <v>0</v>
      </c>
      <c r="AC464" s="475">
        <f t="shared" si="1079"/>
        <v>0</v>
      </c>
      <c r="AD464" s="70">
        <f t="shared" si="1080"/>
        <v>0</v>
      </c>
      <c r="AE464" s="70">
        <f t="shared" si="1081"/>
        <v>0</v>
      </c>
      <c r="AF464" s="475">
        <v>0</v>
      </c>
      <c r="AG464" s="475">
        <v>0</v>
      </c>
      <c r="AH464" s="475">
        <f t="shared" si="1082"/>
        <v>0</v>
      </c>
      <c r="AI464" s="475">
        <f t="shared" si="1083"/>
        <v>0</v>
      </c>
      <c r="AJ464" s="476">
        <v>0</v>
      </c>
      <c r="AK464" s="476">
        <v>0</v>
      </c>
      <c r="AL464" s="476">
        <v>0</v>
      </c>
      <c r="AM464" s="476">
        <v>0</v>
      </c>
      <c r="AN464" s="476">
        <v>0</v>
      </c>
      <c r="AO464" s="476">
        <v>0</v>
      </c>
      <c r="AP464" s="476">
        <v>0</v>
      </c>
      <c r="AQ464" s="476">
        <v>0</v>
      </c>
      <c r="AR464" s="476">
        <f t="shared" si="1084"/>
        <v>0</v>
      </c>
      <c r="AS464" s="476">
        <f t="shared" si="1085"/>
        <v>0</v>
      </c>
      <c r="AT464" s="478">
        <f t="shared" si="1086"/>
        <v>0</v>
      </c>
      <c r="AU464" s="484">
        <f>I464+AI464</f>
        <v>315691</v>
      </c>
      <c r="AV464" s="475">
        <f>J464+X464</f>
        <v>230761</v>
      </c>
      <c r="AW464" s="475">
        <f>K464+AB464</f>
        <v>0</v>
      </c>
      <c r="AX464" s="475">
        <f t="shared" si="1087"/>
        <v>77997</v>
      </c>
      <c r="AY464" s="475">
        <f t="shared" si="1087"/>
        <v>4615</v>
      </c>
      <c r="AZ464" s="475">
        <f>N464+AH464</f>
        <v>2318</v>
      </c>
      <c r="BA464" s="476">
        <f>O464+AT464</f>
        <v>0.73</v>
      </c>
      <c r="BB464" s="476">
        <f t="shared" si="1088"/>
        <v>0</v>
      </c>
      <c r="BC464" s="478">
        <f t="shared" si="1088"/>
        <v>0.73</v>
      </c>
    </row>
    <row r="465" spans="1:55" ht="14.1" customHeight="1" thickBot="1" x14ac:dyDescent="0.25">
      <c r="A465" s="207">
        <v>90</v>
      </c>
      <c r="B465" s="208">
        <v>2332</v>
      </c>
      <c r="C465" s="208">
        <v>691015295</v>
      </c>
      <c r="D465" s="209">
        <v>10988122</v>
      </c>
      <c r="E465" s="200" t="s">
        <v>820</v>
      </c>
      <c r="F465" s="210"/>
      <c r="G465" s="211"/>
      <c r="H465" s="211"/>
      <c r="I465" s="640">
        <v>5707367</v>
      </c>
      <c r="J465" s="641">
        <v>4178804</v>
      </c>
      <c r="K465" s="641">
        <v>2080</v>
      </c>
      <c r="L465" s="641">
        <v>1413139</v>
      </c>
      <c r="M465" s="641">
        <v>83576</v>
      </c>
      <c r="N465" s="641">
        <v>29768</v>
      </c>
      <c r="O465" s="642">
        <v>9.8382000000000005</v>
      </c>
      <c r="P465" s="642">
        <v>7.1239999999999997</v>
      </c>
      <c r="Q465" s="721">
        <v>2.7141999999999999</v>
      </c>
      <c r="R465" s="640">
        <f t="shared" ref="R465:BC465" si="1089">SUM(R462:R464)</f>
        <v>0</v>
      </c>
      <c r="S465" s="641">
        <f t="shared" si="1089"/>
        <v>0</v>
      </c>
      <c r="T465" s="641">
        <f t="shared" si="1089"/>
        <v>0</v>
      </c>
      <c r="U465" s="641">
        <f t="shared" si="1089"/>
        <v>0</v>
      </c>
      <c r="V465" s="641">
        <f t="shared" si="1089"/>
        <v>-22091</v>
      </c>
      <c r="W465" s="641">
        <f t="shared" si="1089"/>
        <v>0</v>
      </c>
      <c r="X465" s="641">
        <f t="shared" si="1089"/>
        <v>-22091</v>
      </c>
      <c r="Y465" s="641">
        <f t="shared" si="1089"/>
        <v>0</v>
      </c>
      <c r="Z465" s="641">
        <f t="shared" si="1089"/>
        <v>0</v>
      </c>
      <c r="AA465" s="641">
        <f t="shared" si="1089"/>
        <v>0</v>
      </c>
      <c r="AB465" s="641">
        <f t="shared" si="1089"/>
        <v>0</v>
      </c>
      <c r="AC465" s="641">
        <f t="shared" si="1089"/>
        <v>-22091</v>
      </c>
      <c r="AD465" s="641">
        <f t="shared" si="1089"/>
        <v>-7467</v>
      </c>
      <c r="AE465" s="641">
        <f t="shared" si="1089"/>
        <v>-442</v>
      </c>
      <c r="AF465" s="641">
        <f t="shared" si="1089"/>
        <v>0</v>
      </c>
      <c r="AG465" s="641">
        <f t="shared" si="1089"/>
        <v>30000</v>
      </c>
      <c r="AH465" s="641">
        <f t="shared" si="1089"/>
        <v>30000</v>
      </c>
      <c r="AI465" s="641">
        <f t="shared" si="1089"/>
        <v>0</v>
      </c>
      <c r="AJ465" s="642">
        <f t="shared" si="1089"/>
        <v>0</v>
      </c>
      <c r="AK465" s="642">
        <f t="shared" si="1089"/>
        <v>0</v>
      </c>
      <c r="AL465" s="642">
        <f t="shared" si="1089"/>
        <v>0</v>
      </c>
      <c r="AM465" s="642">
        <f t="shared" si="1089"/>
        <v>0</v>
      </c>
      <c r="AN465" s="642">
        <f t="shared" si="1089"/>
        <v>0</v>
      </c>
      <c r="AO465" s="642">
        <f t="shared" si="1089"/>
        <v>0</v>
      </c>
      <c r="AP465" s="642">
        <f t="shared" si="1089"/>
        <v>0</v>
      </c>
      <c r="AQ465" s="642">
        <f t="shared" si="1089"/>
        <v>0</v>
      </c>
      <c r="AR465" s="642">
        <f t="shared" si="1089"/>
        <v>0</v>
      </c>
      <c r="AS465" s="642">
        <f t="shared" si="1089"/>
        <v>0</v>
      </c>
      <c r="AT465" s="701">
        <f t="shared" si="1089"/>
        <v>0</v>
      </c>
      <c r="AU465" s="486">
        <f t="shared" si="1089"/>
        <v>5707367</v>
      </c>
      <c r="AV465" s="262">
        <f t="shared" si="1089"/>
        <v>4156713</v>
      </c>
      <c r="AW465" s="262">
        <f t="shared" si="1089"/>
        <v>2080</v>
      </c>
      <c r="AX465" s="262">
        <f t="shared" si="1089"/>
        <v>1405672</v>
      </c>
      <c r="AY465" s="262">
        <f t="shared" si="1089"/>
        <v>83134</v>
      </c>
      <c r="AZ465" s="262">
        <f t="shared" si="1089"/>
        <v>59768</v>
      </c>
      <c r="BA465" s="263">
        <f t="shared" si="1089"/>
        <v>9.8382000000000005</v>
      </c>
      <c r="BB465" s="263">
        <f t="shared" si="1089"/>
        <v>7.1239999999999997</v>
      </c>
      <c r="BC465" s="651">
        <f t="shared" si="1089"/>
        <v>2.7141999999999999</v>
      </c>
    </row>
    <row r="466" spans="1:55" ht="14.1" customHeight="1" thickBot="1" x14ac:dyDescent="0.25">
      <c r="A466" s="264"/>
      <c r="B466" s="265"/>
      <c r="C466" s="265"/>
      <c r="D466" s="265"/>
      <c r="E466" s="266" t="s">
        <v>740</v>
      </c>
      <c r="F466" s="265"/>
      <c r="G466" s="265"/>
      <c r="H466" s="265"/>
      <c r="I466" s="650">
        <f t="shared" ref="I466:BC466" si="1090">I465+I461+I458+I451+I444+I437+I430+I423+I416+I410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1823576362</v>
      </c>
      <c r="J466" s="638">
        <f t="shared" si="1090"/>
        <v>1314242428</v>
      </c>
      <c r="K466" s="638">
        <f t="shared" si="1090"/>
        <v>9205206</v>
      </c>
      <c r="L466" s="638">
        <f t="shared" si="1090"/>
        <v>447175501</v>
      </c>
      <c r="M466" s="638">
        <f t="shared" si="1090"/>
        <v>26284841</v>
      </c>
      <c r="N466" s="638">
        <f t="shared" si="1090"/>
        <v>26668386</v>
      </c>
      <c r="O466" s="639">
        <f t="shared" si="1090"/>
        <v>2710.8421000000008</v>
      </c>
      <c r="P466" s="639">
        <f t="shared" si="1090"/>
        <v>1965.9391000000005</v>
      </c>
      <c r="Q466" s="715">
        <f t="shared" si="1090"/>
        <v>744.90300000000025</v>
      </c>
      <c r="R466" s="714">
        <f t="shared" si="1090"/>
        <v>-28502</v>
      </c>
      <c r="S466" s="638">
        <f t="shared" si="1090"/>
        <v>193177</v>
      </c>
      <c r="T466" s="638">
        <f t="shared" si="1090"/>
        <v>4129034</v>
      </c>
      <c r="U466" s="638">
        <f t="shared" si="1090"/>
        <v>79002</v>
      </c>
      <c r="V466" s="638">
        <f t="shared" si="1090"/>
        <v>-1058911</v>
      </c>
      <c r="W466" s="638">
        <f t="shared" si="1090"/>
        <v>0</v>
      </c>
      <c r="X466" s="638">
        <f t="shared" si="1090"/>
        <v>3313800</v>
      </c>
      <c r="Y466" s="638">
        <f t="shared" si="1090"/>
        <v>28502</v>
      </c>
      <c r="Z466" s="638">
        <f t="shared" si="1090"/>
        <v>0</v>
      </c>
      <c r="AA466" s="638">
        <f t="shared" si="1090"/>
        <v>0</v>
      </c>
      <c r="AB466" s="638">
        <f t="shared" si="1090"/>
        <v>28502</v>
      </c>
      <c r="AC466" s="638">
        <f t="shared" si="1090"/>
        <v>3342302</v>
      </c>
      <c r="AD466" s="638">
        <f t="shared" si="1090"/>
        <v>1129693</v>
      </c>
      <c r="AE466" s="638">
        <f t="shared" si="1090"/>
        <v>66277</v>
      </c>
      <c r="AF466" s="638">
        <f t="shared" si="1090"/>
        <v>43200</v>
      </c>
      <c r="AG466" s="638">
        <f t="shared" si="1090"/>
        <v>1438004</v>
      </c>
      <c r="AH466" s="638">
        <f t="shared" si="1090"/>
        <v>1481204</v>
      </c>
      <c r="AI466" s="638">
        <f t="shared" si="1090"/>
        <v>6019476</v>
      </c>
      <c r="AJ466" s="639">
        <f t="shared" si="1090"/>
        <v>-0.05</v>
      </c>
      <c r="AK466" s="639">
        <f t="shared" si="1090"/>
        <v>0</v>
      </c>
      <c r="AL466" s="639">
        <f t="shared" si="1090"/>
        <v>0.73999999999999977</v>
      </c>
      <c r="AM466" s="639">
        <f t="shared" ref="AM466:AN466" si="1091">AM465+AM461+AM458+AM451+AM444+AM437+AM430+AM423+AM416+AM410+AM406+AM399+AM392+AM388+AM382+AM375+AM373+AM369+AM362+AM357+AM350+AM344+AM335+AM332+AM328+AM324+AM322+AM316+AM312+AM305+AM298+AM296+AM288+AM283+AM276+AM272+AM266+AM262+AM258+AM256+AM249+AM243+AM237+AM231+AM225+AM219+AM213+AM206+AM200+AM194+AM187+AM180+AM174+AM168+AM162+AM157+AM151+AM145+AM139+AM132+AM125+AM120+AM116+AM113+AM109+AM105+AM102+AM98+AM94+AM90+AM86+AM82+AM79+AM75+AM70+AM67+AM63+AM59+AM55+AM52+AM49+AM46+AM42+AM39+AM35+AM31+AM27+AM22+AM18+AM13</f>
        <v>7.1899999999999995</v>
      </c>
      <c r="AN466" s="639">
        <f t="shared" si="1091"/>
        <v>9.9999999999992872E-3</v>
      </c>
      <c r="AO466" s="639">
        <f t="shared" ref="AO466" si="1092">AO465+AO461+AO458+AO451+AO444+AO437+AO430+AO423+AO416+AO410+AO406+AO399+AO392+AO388+AO382+AO375+AO373+AO369+AO362+AO357+AO350+AO344+AO335+AO332+AO328+AO324+AO322+AO316+AO312+AO305+AO298+AO296+AO288+AO283+AO276+AO272+AO266+AO262+AO258+AO256+AO249+AO243+AO237+AO231+AO225+AO219+AO213+AO206+AO200+AO194+AO187+AO180+AO174+AO168+AO162+AO157+AO151+AO145+AO139+AO132+AO125+AO120+AO116+AO113+AO109+AO105+AO102+AO98+AO94+AO90+AO86+AO82+AO79+AO75+AO70+AO67+AO63+AO59+AO55+AO52+AO49+AO46+AO42+AO39+AO35+AO31+AO27+AO22+AO18+AO13</f>
        <v>0.13</v>
      </c>
      <c r="AP466" s="639">
        <f t="shared" si="1090"/>
        <v>0</v>
      </c>
      <c r="AQ466" s="639">
        <f t="shared" si="1090"/>
        <v>0</v>
      </c>
      <c r="AR466" s="639">
        <f t="shared" ref="AR466:AS466" si="1093">AR465+AR461+AR458+AR451+AR444+AR437+AR430+AR423+AR416+AR410+AR406+AR399+AR392+AR388+AR382+AR375+AR373+AR369+AR362+AR357+AR350+AR344+AR335+AR332+AR328+AR324+AR322+AR316+AR312+AR305+AR298+AR296+AR288+AR283+AR276+AR272+AR266+AR262+AR258+AR256+AR249+AR243+AR237+AR231+AR225+AR219+AR213+AR206+AR200+AR194+AR187+AR180+AR174+AR168+AR162+AR157+AR151+AR145+AR139+AR132+AR125+AR120+AR116+AR113+AR109+AR105+AR102+AR98+AR94+AR90+AR86+AR82+AR79+AR75+AR70+AR67+AR63+AR59+AR55+AR52+AR49+AR46+AR42+AR39+AR35+AR31+AR27+AR22+AR18+AR13</f>
        <v>8.01</v>
      </c>
      <c r="AS466" s="639">
        <f t="shared" si="1093"/>
        <v>9.9999999999992872E-3</v>
      </c>
      <c r="AT466" s="715">
        <f t="shared" si="1090"/>
        <v>8.0200000000000067</v>
      </c>
      <c r="AU466" s="696">
        <f t="shared" si="1090"/>
        <v>1829595838</v>
      </c>
      <c r="AV466" s="439">
        <f t="shared" si="1090"/>
        <v>1317556228</v>
      </c>
      <c r="AW466" s="439">
        <f t="shared" si="1090"/>
        <v>9233708</v>
      </c>
      <c r="AX466" s="439">
        <f t="shared" si="1090"/>
        <v>448305194</v>
      </c>
      <c r="AY466" s="439">
        <f t="shared" si="1090"/>
        <v>26351118</v>
      </c>
      <c r="AZ466" s="439">
        <f t="shared" si="1090"/>
        <v>28149590</v>
      </c>
      <c r="BA466" s="440">
        <f t="shared" si="1090"/>
        <v>2718.8621000000016</v>
      </c>
      <c r="BB466" s="440">
        <f t="shared" si="1090"/>
        <v>1973.949100000001</v>
      </c>
      <c r="BC466" s="652">
        <f t="shared" si="1090"/>
        <v>744.91300000000001</v>
      </c>
    </row>
    <row r="467" spans="1:55" ht="14.1" customHeight="1" x14ac:dyDescent="0.2">
      <c r="I467" s="490">
        <f>SUM(J466:N466)</f>
        <v>1823576362</v>
      </c>
      <c r="J467" s="490"/>
      <c r="K467" s="490"/>
      <c r="L467" s="490"/>
      <c r="M467" s="490"/>
      <c r="N467" s="490"/>
      <c r="O467" s="491">
        <f>SUM(P466:Q466)</f>
        <v>2710.8421000000008</v>
      </c>
      <c r="P467" s="491"/>
      <c r="Q467" s="491"/>
      <c r="R467" s="490">
        <f>Y466</f>
        <v>28502</v>
      </c>
      <c r="S467" s="491"/>
      <c r="T467" s="491"/>
      <c r="U467" s="491"/>
      <c r="V467" s="491"/>
      <c r="W467" s="491"/>
      <c r="X467" s="497">
        <f>SUM(R466:W466)</f>
        <v>3313800</v>
      </c>
      <c r="Y467" s="497">
        <f>R466</f>
        <v>-28502</v>
      </c>
      <c r="Z467" s="498"/>
      <c r="AA467" s="498"/>
      <c r="AB467" s="497">
        <f>SUM(Y466:AA466)</f>
        <v>28502</v>
      </c>
      <c r="AC467" s="497">
        <f>X466+AB466</f>
        <v>3342302</v>
      </c>
      <c r="AD467" s="499"/>
      <c r="AE467" s="499"/>
      <c r="AF467" s="498"/>
      <c r="AG467" s="498"/>
      <c r="AH467" s="497">
        <f>SUM(AF466:AG466)</f>
        <v>1481204</v>
      </c>
      <c r="AI467" s="497">
        <f>AC466+AD466+AE466+AH466</f>
        <v>6019476</v>
      </c>
      <c r="AJ467" s="500"/>
      <c r="AK467" s="500"/>
      <c r="AL467" s="500"/>
      <c r="AM467" s="500"/>
      <c r="AN467" s="500"/>
      <c r="AO467" s="500"/>
      <c r="AP467" s="500"/>
      <c r="AQ467" s="500"/>
      <c r="AR467" s="706">
        <f>AJ466+AL466+AM466+AO466+AP466</f>
        <v>8.01</v>
      </c>
      <c r="AS467" s="706">
        <f>AK466+AN466+AQ466</f>
        <v>9.9999999999992872E-3</v>
      </c>
      <c r="AT467" s="706">
        <f>SUM(AR466:AS466)</f>
        <v>8.02</v>
      </c>
      <c r="AU467" s="490">
        <f>SUM(AV466:AZ466)</f>
        <v>1829595838</v>
      </c>
      <c r="BA467" s="491">
        <f>SUM(BB466:BC466)</f>
        <v>2718.8621000000012</v>
      </c>
    </row>
    <row r="468" spans="1:55" ht="14.1" customHeight="1" thickBot="1" x14ac:dyDescent="0.25">
      <c r="H468" s="53"/>
      <c r="I468" s="91">
        <f>SUM(J469:N469)</f>
        <v>1823576362</v>
      </c>
      <c r="J468" s="53"/>
      <c r="K468" s="53"/>
      <c r="L468" s="496"/>
      <c r="M468" s="496"/>
      <c r="N468" s="53"/>
      <c r="O468" s="92">
        <f>SUM(P469:Q469)</f>
        <v>2710.8420999999994</v>
      </c>
      <c r="P468" s="183"/>
      <c r="Q468" s="183"/>
      <c r="R468" s="491"/>
      <c r="S468" s="491"/>
      <c r="T468" s="491"/>
      <c r="U468" s="491"/>
      <c r="V468" s="491"/>
      <c r="W468" s="491"/>
      <c r="X468" s="497">
        <f>SUM(R469:W469)</f>
        <v>3313800</v>
      </c>
      <c r="Y468" s="498"/>
      <c r="Z468" s="498"/>
      <c r="AA468" s="498"/>
      <c r="AB468" s="497">
        <f>SUM(Y469:AA469)</f>
        <v>28502</v>
      </c>
      <c r="AC468" s="497">
        <f>X469+AB469</f>
        <v>3342302</v>
      </c>
      <c r="AD468" s="499"/>
      <c r="AE468" s="499"/>
      <c r="AF468" s="498"/>
      <c r="AG468" s="498"/>
      <c r="AH468" s="497">
        <f>SUM(AF469:AG469)</f>
        <v>1481204</v>
      </c>
      <c r="AI468" s="497">
        <f>AC469+AD469+AE469+AH469</f>
        <v>6019476</v>
      </c>
      <c r="AJ468" s="500"/>
      <c r="AK468" s="500"/>
      <c r="AL468" s="500"/>
      <c r="AM468" s="500"/>
      <c r="AN468" s="500"/>
      <c r="AO468" s="500"/>
      <c r="AP468" s="500"/>
      <c r="AQ468" s="500"/>
      <c r="AR468" s="663">
        <f>AJ469+AL469+AM469+AO469+AP469</f>
        <v>8.01</v>
      </c>
      <c r="AS468" s="663">
        <f>AK469+AN469+AQ469</f>
        <v>9.9999999999992872E-3</v>
      </c>
      <c r="AT468" s="663">
        <f>SUM(AR469:AS469)</f>
        <v>8.02</v>
      </c>
      <c r="AU468" s="490">
        <f>SUM(AV469:AZ469)</f>
        <v>1829595838</v>
      </c>
      <c r="BA468" s="491">
        <f>SUM(BB469:BC469)</f>
        <v>2718.8620999999998</v>
      </c>
    </row>
    <row r="469" spans="1:55" customFormat="1" ht="13.5" thickBot="1" x14ac:dyDescent="0.25">
      <c r="D469" s="23"/>
      <c r="E469" s="24"/>
      <c r="F469" s="23"/>
      <c r="G469" s="42"/>
      <c r="H469" s="22" t="s">
        <v>0</v>
      </c>
      <c r="I469" s="146">
        <f t="shared" ref="I469:BC469" si="1094">SUM(I470:I479)</f>
        <v>1823576362</v>
      </c>
      <c r="J469" s="34">
        <f t="shared" si="1094"/>
        <v>1314242428</v>
      </c>
      <c r="K469" s="34">
        <f t="shared" si="1094"/>
        <v>9205206</v>
      </c>
      <c r="L469" s="34">
        <f t="shared" si="1094"/>
        <v>447175501</v>
      </c>
      <c r="M469" s="34">
        <f t="shared" si="1094"/>
        <v>26284841</v>
      </c>
      <c r="N469" s="34">
        <f t="shared" si="1094"/>
        <v>26668386</v>
      </c>
      <c r="O469" s="35">
        <f t="shared" si="1094"/>
        <v>2710.8420999999998</v>
      </c>
      <c r="P469" s="35">
        <f t="shared" si="1094"/>
        <v>1965.9390999999994</v>
      </c>
      <c r="Q469" s="155">
        <f t="shared" si="1094"/>
        <v>744.90300000000002</v>
      </c>
      <c r="R469" s="146">
        <f t="shared" si="1094"/>
        <v>-28502</v>
      </c>
      <c r="S469" s="34">
        <f t="shared" ref="S469:U469" si="1095">SUM(S470:S479)</f>
        <v>193177</v>
      </c>
      <c r="T469" s="34">
        <f t="shared" si="1095"/>
        <v>4129034</v>
      </c>
      <c r="U469" s="34">
        <f t="shared" si="1095"/>
        <v>79002</v>
      </c>
      <c r="V469" s="34">
        <f t="shared" si="1094"/>
        <v>-1058911</v>
      </c>
      <c r="W469" s="34">
        <f t="shared" si="1094"/>
        <v>0</v>
      </c>
      <c r="X469" s="34">
        <f t="shared" si="1094"/>
        <v>3313800</v>
      </c>
      <c r="Y469" s="34">
        <f t="shared" si="1094"/>
        <v>28502</v>
      </c>
      <c r="Z469" s="34">
        <f t="shared" si="1094"/>
        <v>0</v>
      </c>
      <c r="AA469" s="34">
        <f t="shared" si="1094"/>
        <v>0</v>
      </c>
      <c r="AB469" s="34">
        <f t="shared" si="1094"/>
        <v>28502</v>
      </c>
      <c r="AC469" s="34">
        <f t="shared" si="1094"/>
        <v>3342302</v>
      </c>
      <c r="AD469" s="34">
        <f t="shared" si="1094"/>
        <v>1129693</v>
      </c>
      <c r="AE469" s="34">
        <f t="shared" si="1094"/>
        <v>66277</v>
      </c>
      <c r="AF469" s="34">
        <f t="shared" si="1094"/>
        <v>43200</v>
      </c>
      <c r="AG469" s="34">
        <f t="shared" si="1094"/>
        <v>1438004</v>
      </c>
      <c r="AH469" s="34">
        <f t="shared" si="1094"/>
        <v>1481204</v>
      </c>
      <c r="AI469" s="34">
        <f t="shared" si="1094"/>
        <v>6019476</v>
      </c>
      <c r="AJ469" s="35">
        <f t="shared" si="1094"/>
        <v>-0.05</v>
      </c>
      <c r="AK469" s="35">
        <f t="shared" si="1094"/>
        <v>0</v>
      </c>
      <c r="AL469" s="35">
        <f t="shared" si="1094"/>
        <v>0.73999999999999988</v>
      </c>
      <c r="AM469" s="35">
        <f t="shared" ref="AM469:AN469" si="1096">SUM(AM470:AM479)</f>
        <v>7.1899999999999995</v>
      </c>
      <c r="AN469" s="35">
        <f t="shared" si="1096"/>
        <v>9.9999999999992872E-3</v>
      </c>
      <c r="AO469" s="35">
        <f t="shared" ref="AO469" si="1097">SUM(AO470:AO479)</f>
        <v>0.12999999999999998</v>
      </c>
      <c r="AP469" s="35">
        <f t="shared" si="1094"/>
        <v>0</v>
      </c>
      <c r="AQ469" s="35">
        <f t="shared" si="1094"/>
        <v>0</v>
      </c>
      <c r="AR469" s="662">
        <f t="shared" ref="AR469:AS469" si="1098">SUM(AR470:AR479)</f>
        <v>8.01</v>
      </c>
      <c r="AS469" s="662">
        <f t="shared" si="1098"/>
        <v>9.9999999999992872E-3</v>
      </c>
      <c r="AT469" s="705">
        <f t="shared" si="1094"/>
        <v>8.0199999999999978</v>
      </c>
      <c r="AU469" s="156">
        <f t="shared" si="1094"/>
        <v>1829595838</v>
      </c>
      <c r="AV469" s="34">
        <f t="shared" si="1094"/>
        <v>1317556228</v>
      </c>
      <c r="AW469" s="34">
        <f t="shared" si="1094"/>
        <v>9233708</v>
      </c>
      <c r="AX469" s="34">
        <f t="shared" si="1094"/>
        <v>448305194</v>
      </c>
      <c r="AY469" s="34">
        <f t="shared" si="1094"/>
        <v>26351118</v>
      </c>
      <c r="AZ469" s="34">
        <f t="shared" si="1094"/>
        <v>28149590</v>
      </c>
      <c r="BA469" s="35">
        <f t="shared" si="1094"/>
        <v>2718.8621000000003</v>
      </c>
      <c r="BB469" s="35">
        <f t="shared" si="1094"/>
        <v>1973.9490999999996</v>
      </c>
      <c r="BC469" s="36">
        <f t="shared" si="1094"/>
        <v>744.91300000000012</v>
      </c>
    </row>
    <row r="470" spans="1:55" customFormat="1" ht="12.75" x14ac:dyDescent="0.2">
      <c r="D470" s="23"/>
      <c r="E470" s="24"/>
      <c r="F470" s="23"/>
      <c r="G470" s="42"/>
      <c r="H470" s="1">
        <v>3111</v>
      </c>
      <c r="I470" s="31">
        <f t="shared" ref="I470:BC470" si="1099">SUMIF($F$12:$F$466,"=3111",I$12:I$466)</f>
        <v>381835052</v>
      </c>
      <c r="J470" s="153">
        <f t="shared" si="1099"/>
        <v>277872412</v>
      </c>
      <c r="K470" s="153">
        <f t="shared" si="1099"/>
        <v>1153040</v>
      </c>
      <c r="L470" s="153">
        <f t="shared" si="1099"/>
        <v>94279049</v>
      </c>
      <c r="M470" s="153">
        <f t="shared" si="1099"/>
        <v>5557451</v>
      </c>
      <c r="N470" s="153">
        <f t="shared" si="1099"/>
        <v>2973100</v>
      </c>
      <c r="O470" s="154">
        <f t="shared" si="1099"/>
        <v>626.02899999999977</v>
      </c>
      <c r="P470" s="154">
        <f t="shared" si="1099"/>
        <v>481.38149999999985</v>
      </c>
      <c r="Q470" s="487">
        <f t="shared" si="1099"/>
        <v>144.64749999999998</v>
      </c>
      <c r="R470" s="31">
        <f t="shared" si="1099"/>
        <v>10</v>
      </c>
      <c r="S470" s="153">
        <f t="shared" si="1099"/>
        <v>-288704</v>
      </c>
      <c r="T470" s="153">
        <f t="shared" si="1099"/>
        <v>607514</v>
      </c>
      <c r="U470" s="153">
        <f t="shared" si="1099"/>
        <v>0</v>
      </c>
      <c r="V470" s="153">
        <f t="shared" si="1099"/>
        <v>-528720</v>
      </c>
      <c r="W470" s="153">
        <f t="shared" si="1099"/>
        <v>0</v>
      </c>
      <c r="X470" s="153">
        <f t="shared" si="1099"/>
        <v>-209900</v>
      </c>
      <c r="Y470" s="153">
        <f t="shared" si="1099"/>
        <v>-10</v>
      </c>
      <c r="Z470" s="153">
        <f t="shared" si="1099"/>
        <v>0</v>
      </c>
      <c r="AA470" s="153">
        <f t="shared" si="1099"/>
        <v>0</v>
      </c>
      <c r="AB470" s="153">
        <f t="shared" si="1099"/>
        <v>-10</v>
      </c>
      <c r="AC470" s="153">
        <f t="shared" si="1099"/>
        <v>-209910</v>
      </c>
      <c r="AD470" s="153">
        <f t="shared" si="1099"/>
        <v>-70951</v>
      </c>
      <c r="AE470" s="153">
        <f t="shared" si="1099"/>
        <v>-4199</v>
      </c>
      <c r="AF470" s="153">
        <f t="shared" si="1099"/>
        <v>4500</v>
      </c>
      <c r="AG470" s="153">
        <f t="shared" si="1099"/>
        <v>718004</v>
      </c>
      <c r="AH470" s="153">
        <f t="shared" si="1099"/>
        <v>722504</v>
      </c>
      <c r="AI470" s="153">
        <f t="shared" si="1099"/>
        <v>437444</v>
      </c>
      <c r="AJ470" s="154">
        <f t="shared" si="1099"/>
        <v>0</v>
      </c>
      <c r="AK470" s="154">
        <f t="shared" si="1099"/>
        <v>0</v>
      </c>
      <c r="AL470" s="154">
        <f t="shared" si="1099"/>
        <v>-0.83000000000000007</v>
      </c>
      <c r="AM470" s="154">
        <f t="shared" si="1099"/>
        <v>1.27</v>
      </c>
      <c r="AN470" s="154">
        <f t="shared" si="1099"/>
        <v>0</v>
      </c>
      <c r="AO470" s="154">
        <f t="shared" si="1099"/>
        <v>0</v>
      </c>
      <c r="AP470" s="154">
        <f t="shared" si="1099"/>
        <v>0</v>
      </c>
      <c r="AQ470" s="154">
        <f t="shared" si="1099"/>
        <v>0</v>
      </c>
      <c r="AR470" s="154">
        <f t="shared" si="1099"/>
        <v>0.44</v>
      </c>
      <c r="AS470" s="154">
        <f t="shared" si="1099"/>
        <v>0</v>
      </c>
      <c r="AT470" s="259">
        <f t="shared" si="1099"/>
        <v>0.44</v>
      </c>
      <c r="AU470" s="32">
        <f t="shared" si="1099"/>
        <v>382272496</v>
      </c>
      <c r="AV470" s="153">
        <f t="shared" si="1099"/>
        <v>277662512</v>
      </c>
      <c r="AW470" s="153">
        <f t="shared" si="1099"/>
        <v>1153030</v>
      </c>
      <c r="AX470" s="153">
        <f t="shared" si="1099"/>
        <v>94208098</v>
      </c>
      <c r="AY470" s="153">
        <f t="shared" si="1099"/>
        <v>5553252</v>
      </c>
      <c r="AZ470" s="153">
        <f t="shared" si="1099"/>
        <v>3695604</v>
      </c>
      <c r="BA470" s="154">
        <f t="shared" si="1099"/>
        <v>626.46899999999982</v>
      </c>
      <c r="BB470" s="154">
        <f t="shared" si="1099"/>
        <v>481.82149999999984</v>
      </c>
      <c r="BC470" s="259">
        <f t="shared" si="1099"/>
        <v>144.64749999999998</v>
      </c>
    </row>
    <row r="471" spans="1:55" customFormat="1" ht="12.75" x14ac:dyDescent="0.2">
      <c r="D471" s="23"/>
      <c r="E471" s="24"/>
      <c r="F471" s="23"/>
      <c r="G471" s="42"/>
      <c r="H471" s="2">
        <v>3113</v>
      </c>
      <c r="I471" s="25">
        <f t="shared" ref="I471:BC471" si="1100">SUMIF($F$12:$F$466,"=3113",I$12:I$466)</f>
        <v>1013142055</v>
      </c>
      <c r="J471" s="26">
        <f t="shared" si="1100"/>
        <v>726111081</v>
      </c>
      <c r="K471" s="26">
        <f t="shared" si="1100"/>
        <v>4593297</v>
      </c>
      <c r="L471" s="26">
        <f t="shared" si="1100"/>
        <v>246966524</v>
      </c>
      <c r="M471" s="26">
        <f t="shared" si="1100"/>
        <v>14522213</v>
      </c>
      <c r="N471" s="26">
        <f t="shared" si="1100"/>
        <v>20948940</v>
      </c>
      <c r="O471" s="27">
        <f t="shared" si="1100"/>
        <v>1356.6179</v>
      </c>
      <c r="P471" s="27">
        <f t="shared" si="1100"/>
        <v>1097.7051999999996</v>
      </c>
      <c r="Q471" s="488">
        <f t="shared" si="1100"/>
        <v>258.91269999999997</v>
      </c>
      <c r="R471" s="25">
        <f t="shared" si="1100"/>
        <v>-28512</v>
      </c>
      <c r="S471" s="26">
        <f t="shared" si="1100"/>
        <v>525401</v>
      </c>
      <c r="T471" s="26">
        <f t="shared" si="1100"/>
        <v>2927589</v>
      </c>
      <c r="U471" s="26">
        <f t="shared" si="1100"/>
        <v>79002</v>
      </c>
      <c r="V471" s="26">
        <f t="shared" si="1100"/>
        <v>-184094</v>
      </c>
      <c r="W471" s="26">
        <f t="shared" si="1100"/>
        <v>0</v>
      </c>
      <c r="X471" s="26">
        <f t="shared" si="1100"/>
        <v>3319386</v>
      </c>
      <c r="Y471" s="26">
        <f t="shared" si="1100"/>
        <v>28512</v>
      </c>
      <c r="Z471" s="26">
        <f t="shared" si="1100"/>
        <v>0</v>
      </c>
      <c r="AA471" s="26">
        <f t="shared" si="1100"/>
        <v>0</v>
      </c>
      <c r="AB471" s="26">
        <f t="shared" si="1100"/>
        <v>28512</v>
      </c>
      <c r="AC471" s="26">
        <f t="shared" si="1100"/>
        <v>3347898</v>
      </c>
      <c r="AD471" s="26">
        <f t="shared" si="1100"/>
        <v>1131590</v>
      </c>
      <c r="AE471" s="26">
        <f t="shared" si="1100"/>
        <v>66389</v>
      </c>
      <c r="AF471" s="26">
        <f t="shared" si="1100"/>
        <v>38700</v>
      </c>
      <c r="AG471" s="26">
        <f t="shared" si="1100"/>
        <v>250000</v>
      </c>
      <c r="AH471" s="26">
        <f t="shared" si="1100"/>
        <v>288700</v>
      </c>
      <c r="AI471" s="26">
        <f t="shared" si="1100"/>
        <v>4834577</v>
      </c>
      <c r="AJ471" s="27">
        <f t="shared" si="1100"/>
        <v>-0.05</v>
      </c>
      <c r="AK471" s="27">
        <f t="shared" si="1100"/>
        <v>0</v>
      </c>
      <c r="AL471" s="27">
        <f t="shared" si="1100"/>
        <v>1.69</v>
      </c>
      <c r="AM471" s="27">
        <f t="shared" si="1100"/>
        <v>4.59</v>
      </c>
      <c r="AN471" s="27">
        <f t="shared" si="1100"/>
        <v>0</v>
      </c>
      <c r="AO471" s="27">
        <f t="shared" si="1100"/>
        <v>0.12999999999999998</v>
      </c>
      <c r="AP471" s="27">
        <f t="shared" si="1100"/>
        <v>0</v>
      </c>
      <c r="AQ471" s="27">
        <f t="shared" si="1100"/>
        <v>0</v>
      </c>
      <c r="AR471" s="27">
        <f t="shared" si="1100"/>
        <v>6.3599999999999994</v>
      </c>
      <c r="AS471" s="27">
        <f t="shared" si="1100"/>
        <v>0</v>
      </c>
      <c r="AT471" s="260">
        <f t="shared" si="1100"/>
        <v>6.3599999999999994</v>
      </c>
      <c r="AU471" s="39">
        <f t="shared" si="1100"/>
        <v>1017976632</v>
      </c>
      <c r="AV471" s="26">
        <f t="shared" si="1100"/>
        <v>729430467</v>
      </c>
      <c r="AW471" s="26">
        <f t="shared" si="1100"/>
        <v>4621809</v>
      </c>
      <c r="AX471" s="26">
        <f t="shared" si="1100"/>
        <v>248098114</v>
      </c>
      <c r="AY471" s="26">
        <f t="shared" si="1100"/>
        <v>14588602</v>
      </c>
      <c r="AZ471" s="26">
        <f t="shared" si="1100"/>
        <v>21237640</v>
      </c>
      <c r="BA471" s="27">
        <f t="shared" si="1100"/>
        <v>1362.9779000000003</v>
      </c>
      <c r="BB471" s="27">
        <f t="shared" si="1100"/>
        <v>1104.0652</v>
      </c>
      <c r="BC471" s="260">
        <f t="shared" si="1100"/>
        <v>258.91269999999997</v>
      </c>
    </row>
    <row r="472" spans="1:55" customFormat="1" ht="12.75" x14ac:dyDescent="0.2">
      <c r="D472" s="23"/>
      <c r="E472" s="24"/>
      <c r="F472" s="23"/>
      <c r="G472" s="42"/>
      <c r="H472" s="2">
        <v>3114</v>
      </c>
      <c r="I472" s="25">
        <f t="shared" ref="I472:BC472" si="1101">SUMIF($F$12:$F$466,"=3114",I$12:I$466)</f>
        <v>61390585</v>
      </c>
      <c r="J472" s="26">
        <f t="shared" si="1101"/>
        <v>44645079</v>
      </c>
      <c r="K472" s="26">
        <f t="shared" si="1101"/>
        <v>190942</v>
      </c>
      <c r="L472" s="26">
        <f t="shared" si="1101"/>
        <v>15130023</v>
      </c>
      <c r="M472" s="26">
        <f t="shared" si="1101"/>
        <v>892901</v>
      </c>
      <c r="N472" s="26">
        <f t="shared" si="1101"/>
        <v>531640</v>
      </c>
      <c r="O472" s="27">
        <f t="shared" si="1101"/>
        <v>87.974800000000002</v>
      </c>
      <c r="P472" s="27">
        <f t="shared" si="1101"/>
        <v>73.329099999999997</v>
      </c>
      <c r="Q472" s="488">
        <f t="shared" si="1101"/>
        <v>14.645700000000001</v>
      </c>
      <c r="R472" s="25">
        <f t="shared" si="1101"/>
        <v>0</v>
      </c>
      <c r="S472" s="26">
        <f t="shared" si="1101"/>
        <v>0</v>
      </c>
      <c r="T472" s="26">
        <f t="shared" si="1101"/>
        <v>-129162</v>
      </c>
      <c r="U472" s="26">
        <f t="shared" si="1101"/>
        <v>0</v>
      </c>
      <c r="V472" s="26">
        <f t="shared" si="1101"/>
        <v>-294551</v>
      </c>
      <c r="W472" s="26">
        <f t="shared" si="1101"/>
        <v>0</v>
      </c>
      <c r="X472" s="26">
        <f t="shared" si="1101"/>
        <v>-423713</v>
      </c>
      <c r="Y472" s="26">
        <f t="shared" si="1101"/>
        <v>0</v>
      </c>
      <c r="Z472" s="26">
        <f t="shared" si="1101"/>
        <v>0</v>
      </c>
      <c r="AA472" s="26">
        <f t="shared" si="1101"/>
        <v>0</v>
      </c>
      <c r="AB472" s="26">
        <f t="shared" si="1101"/>
        <v>0</v>
      </c>
      <c r="AC472" s="26">
        <f t="shared" si="1101"/>
        <v>-423713</v>
      </c>
      <c r="AD472" s="26">
        <f t="shared" si="1101"/>
        <v>-143215</v>
      </c>
      <c r="AE472" s="26">
        <f t="shared" si="1101"/>
        <v>-8474</v>
      </c>
      <c r="AF472" s="26">
        <f t="shared" si="1101"/>
        <v>0</v>
      </c>
      <c r="AG472" s="26">
        <f t="shared" si="1101"/>
        <v>400000</v>
      </c>
      <c r="AH472" s="26">
        <f t="shared" si="1101"/>
        <v>400000</v>
      </c>
      <c r="AI472" s="26">
        <f t="shared" si="1101"/>
        <v>-175402</v>
      </c>
      <c r="AJ472" s="27">
        <f t="shared" si="1101"/>
        <v>0</v>
      </c>
      <c r="AK472" s="27">
        <f t="shared" si="1101"/>
        <v>0</v>
      </c>
      <c r="AL472" s="27">
        <f t="shared" si="1101"/>
        <v>0</v>
      </c>
      <c r="AM472" s="27">
        <f t="shared" si="1101"/>
        <v>-0.12</v>
      </c>
      <c r="AN472" s="27">
        <f t="shared" si="1101"/>
        <v>0</v>
      </c>
      <c r="AO472" s="27">
        <f t="shared" si="1101"/>
        <v>0</v>
      </c>
      <c r="AP472" s="27">
        <f t="shared" si="1101"/>
        <v>0</v>
      </c>
      <c r="AQ472" s="27">
        <f t="shared" si="1101"/>
        <v>0</v>
      </c>
      <c r="AR472" s="27">
        <f t="shared" si="1101"/>
        <v>-0.12</v>
      </c>
      <c r="AS472" s="27">
        <f t="shared" si="1101"/>
        <v>0</v>
      </c>
      <c r="AT472" s="260">
        <f t="shared" si="1101"/>
        <v>-0.12</v>
      </c>
      <c r="AU472" s="39">
        <f t="shared" si="1101"/>
        <v>61215183</v>
      </c>
      <c r="AV472" s="26">
        <f t="shared" si="1101"/>
        <v>44221366</v>
      </c>
      <c r="AW472" s="26">
        <f t="shared" si="1101"/>
        <v>190942</v>
      </c>
      <c r="AX472" s="26">
        <f t="shared" si="1101"/>
        <v>14986808</v>
      </c>
      <c r="AY472" s="26">
        <f t="shared" si="1101"/>
        <v>884427</v>
      </c>
      <c r="AZ472" s="26">
        <f t="shared" si="1101"/>
        <v>931640</v>
      </c>
      <c r="BA472" s="27">
        <f t="shared" si="1101"/>
        <v>87.854799999999997</v>
      </c>
      <c r="BB472" s="27">
        <f t="shared" si="1101"/>
        <v>73.209100000000007</v>
      </c>
      <c r="BC472" s="260">
        <f t="shared" si="1101"/>
        <v>14.645700000000001</v>
      </c>
    </row>
    <row r="473" spans="1:55" customFormat="1" ht="12.75" x14ac:dyDescent="0.2">
      <c r="D473" s="23"/>
      <c r="E473" s="24"/>
      <c r="F473" s="23"/>
      <c r="G473" s="42"/>
      <c r="H473" s="2">
        <v>3117</v>
      </c>
      <c r="I473" s="25">
        <f t="shared" ref="I473:BC473" si="1102">SUMIF($F$12:$F$466,"=3117",I$12:I$466)</f>
        <v>47569941</v>
      </c>
      <c r="J473" s="26">
        <f t="shared" si="1102"/>
        <v>33977981</v>
      </c>
      <c r="K473" s="26">
        <f t="shared" si="1102"/>
        <v>452940</v>
      </c>
      <c r="L473" s="26">
        <f t="shared" si="1102"/>
        <v>11637649</v>
      </c>
      <c r="M473" s="26">
        <f t="shared" si="1102"/>
        <v>679561</v>
      </c>
      <c r="N473" s="26">
        <f t="shared" si="1102"/>
        <v>821810</v>
      </c>
      <c r="O473" s="27">
        <f t="shared" si="1102"/>
        <v>72.398299999999992</v>
      </c>
      <c r="P473" s="27">
        <f t="shared" si="1102"/>
        <v>54.606700000000004</v>
      </c>
      <c r="Q473" s="488">
        <f t="shared" si="1102"/>
        <v>17.791599999999999</v>
      </c>
      <c r="R473" s="25">
        <f t="shared" si="1102"/>
        <v>0</v>
      </c>
      <c r="S473" s="26">
        <f t="shared" si="1102"/>
        <v>-43520</v>
      </c>
      <c r="T473" s="26">
        <f t="shared" si="1102"/>
        <v>100923</v>
      </c>
      <c r="U473" s="26">
        <f t="shared" si="1102"/>
        <v>0</v>
      </c>
      <c r="V473" s="26">
        <f t="shared" si="1102"/>
        <v>-51546</v>
      </c>
      <c r="W473" s="26">
        <f t="shared" si="1102"/>
        <v>0</v>
      </c>
      <c r="X473" s="26">
        <f t="shared" si="1102"/>
        <v>5857</v>
      </c>
      <c r="Y473" s="26">
        <f t="shared" si="1102"/>
        <v>0</v>
      </c>
      <c r="Z473" s="26">
        <f t="shared" si="1102"/>
        <v>0</v>
      </c>
      <c r="AA473" s="26">
        <f t="shared" si="1102"/>
        <v>0</v>
      </c>
      <c r="AB473" s="26">
        <f t="shared" si="1102"/>
        <v>0</v>
      </c>
      <c r="AC473" s="26">
        <f t="shared" si="1102"/>
        <v>5857</v>
      </c>
      <c r="AD473" s="26">
        <f t="shared" si="1102"/>
        <v>1979</v>
      </c>
      <c r="AE473" s="26">
        <f t="shared" si="1102"/>
        <v>118</v>
      </c>
      <c r="AF473" s="26">
        <f t="shared" si="1102"/>
        <v>0</v>
      </c>
      <c r="AG473" s="26">
        <f t="shared" si="1102"/>
        <v>70000</v>
      </c>
      <c r="AH473" s="26">
        <f t="shared" si="1102"/>
        <v>70000</v>
      </c>
      <c r="AI473" s="26">
        <f t="shared" si="1102"/>
        <v>77954</v>
      </c>
      <c r="AJ473" s="27">
        <f t="shared" si="1102"/>
        <v>0</v>
      </c>
      <c r="AK473" s="27">
        <f t="shared" si="1102"/>
        <v>0</v>
      </c>
      <c r="AL473" s="27">
        <f t="shared" si="1102"/>
        <v>-0.12000000000000001</v>
      </c>
      <c r="AM473" s="27">
        <f t="shared" si="1102"/>
        <v>0.21</v>
      </c>
      <c r="AN473" s="27">
        <f t="shared" si="1102"/>
        <v>0</v>
      </c>
      <c r="AO473" s="27">
        <f t="shared" si="1102"/>
        <v>0</v>
      </c>
      <c r="AP473" s="27">
        <f t="shared" si="1102"/>
        <v>0</v>
      </c>
      <c r="AQ473" s="27">
        <f t="shared" si="1102"/>
        <v>0</v>
      </c>
      <c r="AR473" s="27">
        <f t="shared" si="1102"/>
        <v>8.9999999999999983E-2</v>
      </c>
      <c r="AS473" s="27">
        <f t="shared" si="1102"/>
        <v>0</v>
      </c>
      <c r="AT473" s="260">
        <f t="shared" si="1102"/>
        <v>8.9999999999999983E-2</v>
      </c>
      <c r="AU473" s="39">
        <f t="shared" si="1102"/>
        <v>47647895</v>
      </c>
      <c r="AV473" s="26">
        <f t="shared" si="1102"/>
        <v>33983838</v>
      </c>
      <c r="AW473" s="26">
        <f t="shared" si="1102"/>
        <v>452940</v>
      </c>
      <c r="AX473" s="26">
        <f t="shared" si="1102"/>
        <v>11639628</v>
      </c>
      <c r="AY473" s="26">
        <f t="shared" si="1102"/>
        <v>679679</v>
      </c>
      <c r="AZ473" s="26">
        <f t="shared" si="1102"/>
        <v>891810</v>
      </c>
      <c r="BA473" s="27">
        <f t="shared" si="1102"/>
        <v>72.488299999999995</v>
      </c>
      <c r="BB473" s="27">
        <f t="shared" si="1102"/>
        <v>54.6967</v>
      </c>
      <c r="BC473" s="260">
        <f t="shared" si="1102"/>
        <v>17.791599999999999</v>
      </c>
    </row>
    <row r="474" spans="1:55" customFormat="1" ht="12.75" x14ac:dyDescent="0.2">
      <c r="D474" s="23"/>
      <c r="E474" s="24"/>
      <c r="F474" s="23"/>
      <c r="G474" s="42"/>
      <c r="H474" s="2">
        <v>3122</v>
      </c>
      <c r="I474" s="25">
        <f t="shared" ref="I474:BC474" si="1103">SUMIF($F$12:$F$466,"=3122",I$12:I$466)</f>
        <v>0</v>
      </c>
      <c r="J474" s="26">
        <f t="shared" si="1103"/>
        <v>0</v>
      </c>
      <c r="K474" s="26">
        <f t="shared" si="1103"/>
        <v>0</v>
      </c>
      <c r="L474" s="26">
        <f t="shared" si="1103"/>
        <v>0</v>
      </c>
      <c r="M474" s="26">
        <f t="shared" si="1103"/>
        <v>0</v>
      </c>
      <c r="N474" s="26">
        <f t="shared" si="1103"/>
        <v>0</v>
      </c>
      <c r="O474" s="27">
        <f t="shared" si="1103"/>
        <v>0</v>
      </c>
      <c r="P474" s="27">
        <f t="shared" si="1103"/>
        <v>0</v>
      </c>
      <c r="Q474" s="488">
        <f t="shared" si="1103"/>
        <v>0</v>
      </c>
      <c r="R474" s="25">
        <f t="shared" si="1103"/>
        <v>0</v>
      </c>
      <c r="S474" s="26">
        <f t="shared" si="1103"/>
        <v>0</v>
      </c>
      <c r="T474" s="26">
        <f t="shared" si="1103"/>
        <v>0</v>
      </c>
      <c r="U474" s="26">
        <f t="shared" si="1103"/>
        <v>0</v>
      </c>
      <c r="V474" s="26">
        <f t="shared" si="1103"/>
        <v>0</v>
      </c>
      <c r="W474" s="26">
        <f t="shared" si="1103"/>
        <v>0</v>
      </c>
      <c r="X474" s="26">
        <f t="shared" si="1103"/>
        <v>0</v>
      </c>
      <c r="Y474" s="26">
        <f t="shared" si="1103"/>
        <v>0</v>
      </c>
      <c r="Z474" s="26">
        <f t="shared" si="1103"/>
        <v>0</v>
      </c>
      <c r="AA474" s="26">
        <f t="shared" si="1103"/>
        <v>0</v>
      </c>
      <c r="AB474" s="26">
        <f t="shared" si="1103"/>
        <v>0</v>
      </c>
      <c r="AC474" s="26">
        <f t="shared" si="1103"/>
        <v>0</v>
      </c>
      <c r="AD474" s="26">
        <f t="shared" si="1103"/>
        <v>0</v>
      </c>
      <c r="AE474" s="26">
        <f t="shared" si="1103"/>
        <v>0</v>
      </c>
      <c r="AF474" s="26">
        <f t="shared" si="1103"/>
        <v>0</v>
      </c>
      <c r="AG474" s="26">
        <f t="shared" si="1103"/>
        <v>0</v>
      </c>
      <c r="AH474" s="26">
        <f t="shared" si="1103"/>
        <v>0</v>
      </c>
      <c r="AI474" s="26">
        <f t="shared" si="1103"/>
        <v>0</v>
      </c>
      <c r="AJ474" s="27">
        <f t="shared" si="1103"/>
        <v>0</v>
      </c>
      <c r="AK474" s="27">
        <f t="shared" si="1103"/>
        <v>0</v>
      </c>
      <c r="AL474" s="27">
        <f t="shared" si="1103"/>
        <v>0</v>
      </c>
      <c r="AM474" s="27">
        <f t="shared" si="1103"/>
        <v>0</v>
      </c>
      <c r="AN474" s="27">
        <f t="shared" si="1103"/>
        <v>0</v>
      </c>
      <c r="AO474" s="27">
        <f t="shared" si="1103"/>
        <v>0</v>
      </c>
      <c r="AP474" s="27">
        <f t="shared" si="1103"/>
        <v>0</v>
      </c>
      <c r="AQ474" s="27">
        <f t="shared" si="1103"/>
        <v>0</v>
      </c>
      <c r="AR474" s="27">
        <f t="shared" si="1103"/>
        <v>0</v>
      </c>
      <c r="AS474" s="27">
        <f t="shared" si="1103"/>
        <v>0</v>
      </c>
      <c r="AT474" s="260">
        <f t="shared" si="1103"/>
        <v>0</v>
      </c>
      <c r="AU474" s="39">
        <f t="shared" si="1103"/>
        <v>0</v>
      </c>
      <c r="AV474" s="26">
        <f t="shared" si="1103"/>
        <v>0</v>
      </c>
      <c r="AW474" s="26">
        <f t="shared" si="1103"/>
        <v>0</v>
      </c>
      <c r="AX474" s="26">
        <f t="shared" si="1103"/>
        <v>0</v>
      </c>
      <c r="AY474" s="26">
        <f t="shared" si="1103"/>
        <v>0</v>
      </c>
      <c r="AZ474" s="26">
        <f t="shared" si="1103"/>
        <v>0</v>
      </c>
      <c r="BA474" s="27">
        <f t="shared" si="1103"/>
        <v>0</v>
      </c>
      <c r="BB474" s="27">
        <f t="shared" si="1103"/>
        <v>0</v>
      </c>
      <c r="BC474" s="260">
        <f t="shared" si="1103"/>
        <v>0</v>
      </c>
    </row>
    <row r="475" spans="1:55" customFormat="1" ht="12.75" x14ac:dyDescent="0.2">
      <c r="D475" s="23"/>
      <c r="E475" s="24"/>
      <c r="F475" s="23"/>
      <c r="G475" s="42"/>
      <c r="H475" s="2">
        <v>3124</v>
      </c>
      <c r="I475" s="25">
        <f t="shared" ref="I475:BC475" si="1104">SUMIF($F$12:$F$466,"=3124",I$12:I$466)</f>
        <v>0</v>
      </c>
      <c r="J475" s="26">
        <f t="shared" si="1104"/>
        <v>0</v>
      </c>
      <c r="K475" s="26">
        <f t="shared" si="1104"/>
        <v>0</v>
      </c>
      <c r="L475" s="26">
        <f t="shared" si="1104"/>
        <v>0</v>
      </c>
      <c r="M475" s="26">
        <f t="shared" si="1104"/>
        <v>0</v>
      </c>
      <c r="N475" s="26">
        <f t="shared" si="1104"/>
        <v>0</v>
      </c>
      <c r="O475" s="27">
        <f t="shared" si="1104"/>
        <v>0</v>
      </c>
      <c r="P475" s="27">
        <f t="shared" si="1104"/>
        <v>0</v>
      </c>
      <c r="Q475" s="488">
        <f t="shared" si="1104"/>
        <v>0</v>
      </c>
      <c r="R475" s="25">
        <f t="shared" si="1104"/>
        <v>0</v>
      </c>
      <c r="S475" s="26">
        <f t="shared" si="1104"/>
        <v>0</v>
      </c>
      <c r="T475" s="26">
        <f t="shared" si="1104"/>
        <v>0</v>
      </c>
      <c r="U475" s="26">
        <f t="shared" si="1104"/>
        <v>0</v>
      </c>
      <c r="V475" s="26">
        <f t="shared" si="1104"/>
        <v>0</v>
      </c>
      <c r="W475" s="26">
        <f t="shared" si="1104"/>
        <v>0</v>
      </c>
      <c r="X475" s="26">
        <f t="shared" si="1104"/>
        <v>0</v>
      </c>
      <c r="Y475" s="26">
        <f t="shared" si="1104"/>
        <v>0</v>
      </c>
      <c r="Z475" s="26">
        <f t="shared" si="1104"/>
        <v>0</v>
      </c>
      <c r="AA475" s="26">
        <f t="shared" si="1104"/>
        <v>0</v>
      </c>
      <c r="AB475" s="26">
        <f t="shared" si="1104"/>
        <v>0</v>
      </c>
      <c r="AC475" s="26">
        <f t="shared" si="1104"/>
        <v>0</v>
      </c>
      <c r="AD475" s="26">
        <f t="shared" si="1104"/>
        <v>0</v>
      </c>
      <c r="AE475" s="26">
        <f t="shared" si="1104"/>
        <v>0</v>
      </c>
      <c r="AF475" s="26">
        <f t="shared" si="1104"/>
        <v>0</v>
      </c>
      <c r="AG475" s="26">
        <f t="shared" si="1104"/>
        <v>0</v>
      </c>
      <c r="AH475" s="26">
        <f t="shared" si="1104"/>
        <v>0</v>
      </c>
      <c r="AI475" s="26">
        <f t="shared" si="1104"/>
        <v>0</v>
      </c>
      <c r="AJ475" s="27">
        <f t="shared" si="1104"/>
        <v>0</v>
      </c>
      <c r="AK475" s="27">
        <f t="shared" si="1104"/>
        <v>0</v>
      </c>
      <c r="AL475" s="27">
        <f t="shared" si="1104"/>
        <v>0</v>
      </c>
      <c r="AM475" s="27">
        <f t="shared" si="1104"/>
        <v>0</v>
      </c>
      <c r="AN475" s="27">
        <f t="shared" si="1104"/>
        <v>0</v>
      </c>
      <c r="AO475" s="27">
        <f t="shared" si="1104"/>
        <v>0</v>
      </c>
      <c r="AP475" s="27">
        <f t="shared" si="1104"/>
        <v>0</v>
      </c>
      <c r="AQ475" s="27">
        <f t="shared" si="1104"/>
        <v>0</v>
      </c>
      <c r="AR475" s="27">
        <f t="shared" si="1104"/>
        <v>0</v>
      </c>
      <c r="AS475" s="27">
        <f t="shared" si="1104"/>
        <v>0</v>
      </c>
      <c r="AT475" s="260">
        <f t="shared" si="1104"/>
        <v>0</v>
      </c>
      <c r="AU475" s="39">
        <f t="shared" si="1104"/>
        <v>0</v>
      </c>
      <c r="AV475" s="26">
        <f t="shared" si="1104"/>
        <v>0</v>
      </c>
      <c r="AW475" s="26">
        <f t="shared" si="1104"/>
        <v>0</v>
      </c>
      <c r="AX475" s="26">
        <f t="shared" si="1104"/>
        <v>0</v>
      </c>
      <c r="AY475" s="26">
        <f t="shared" si="1104"/>
        <v>0</v>
      </c>
      <c r="AZ475" s="26">
        <f t="shared" si="1104"/>
        <v>0</v>
      </c>
      <c r="BA475" s="27">
        <f t="shared" si="1104"/>
        <v>0</v>
      </c>
      <c r="BB475" s="27">
        <f t="shared" si="1104"/>
        <v>0</v>
      </c>
      <c r="BC475" s="260">
        <f t="shared" si="1104"/>
        <v>0</v>
      </c>
    </row>
    <row r="476" spans="1:55" customFormat="1" ht="12.75" x14ac:dyDescent="0.2">
      <c r="D476" s="23"/>
      <c r="E476" s="24"/>
      <c r="F476" s="23"/>
      <c r="G476" s="42"/>
      <c r="H476" s="2">
        <v>3141</v>
      </c>
      <c r="I476" s="25">
        <f t="shared" ref="I476:BC476" si="1105">SUMIF($F$12:$F$466,"=3141",I$12:I$466)</f>
        <v>122350302</v>
      </c>
      <c r="J476" s="26">
        <f t="shared" si="1105"/>
        <v>88945924</v>
      </c>
      <c r="K476" s="26">
        <f t="shared" si="1105"/>
        <v>511387</v>
      </c>
      <c r="L476" s="26">
        <f t="shared" si="1105"/>
        <v>30236568</v>
      </c>
      <c r="M476" s="26">
        <f t="shared" si="1105"/>
        <v>1778917</v>
      </c>
      <c r="N476" s="26">
        <f t="shared" si="1105"/>
        <v>877506</v>
      </c>
      <c r="O476" s="27">
        <f t="shared" si="1105"/>
        <v>280.81000000000006</v>
      </c>
      <c r="P476" s="27">
        <f t="shared" si="1105"/>
        <v>0</v>
      </c>
      <c r="Q476" s="488">
        <f t="shared" si="1105"/>
        <v>280.81000000000006</v>
      </c>
      <c r="R476" s="25">
        <f t="shared" si="1105"/>
        <v>0</v>
      </c>
      <c r="S476" s="26">
        <f t="shared" si="1105"/>
        <v>0</v>
      </c>
      <c r="T476" s="26">
        <f t="shared" si="1105"/>
        <v>-3859</v>
      </c>
      <c r="U476" s="26">
        <f t="shared" si="1105"/>
        <v>0</v>
      </c>
      <c r="V476" s="26">
        <f t="shared" si="1105"/>
        <v>0</v>
      </c>
      <c r="W476" s="26">
        <f t="shared" si="1105"/>
        <v>0</v>
      </c>
      <c r="X476" s="26">
        <f t="shared" si="1105"/>
        <v>-3859</v>
      </c>
      <c r="Y476" s="26">
        <f t="shared" si="1105"/>
        <v>0</v>
      </c>
      <c r="Z476" s="26">
        <f t="shared" si="1105"/>
        <v>0</v>
      </c>
      <c r="AA476" s="26">
        <f t="shared" si="1105"/>
        <v>0</v>
      </c>
      <c r="AB476" s="26">
        <f t="shared" si="1105"/>
        <v>0</v>
      </c>
      <c r="AC476" s="26">
        <f t="shared" si="1105"/>
        <v>-3859</v>
      </c>
      <c r="AD476" s="26">
        <f t="shared" si="1105"/>
        <v>-1308</v>
      </c>
      <c r="AE476" s="26">
        <f t="shared" si="1105"/>
        <v>-77</v>
      </c>
      <c r="AF476" s="26">
        <f t="shared" si="1105"/>
        <v>0</v>
      </c>
      <c r="AG476" s="26">
        <f t="shared" si="1105"/>
        <v>0</v>
      </c>
      <c r="AH476" s="26">
        <f t="shared" si="1105"/>
        <v>0</v>
      </c>
      <c r="AI476" s="26">
        <f t="shared" si="1105"/>
        <v>-5244</v>
      </c>
      <c r="AJ476" s="27">
        <f t="shared" si="1105"/>
        <v>0</v>
      </c>
      <c r="AK476" s="27">
        <f t="shared" si="1105"/>
        <v>0</v>
      </c>
      <c r="AL476" s="27">
        <f t="shared" si="1105"/>
        <v>0</v>
      </c>
      <c r="AM476" s="27">
        <f t="shared" si="1105"/>
        <v>0</v>
      </c>
      <c r="AN476" s="27">
        <f t="shared" si="1105"/>
        <v>9.9999999999992872E-3</v>
      </c>
      <c r="AO476" s="27">
        <f t="shared" si="1105"/>
        <v>0</v>
      </c>
      <c r="AP476" s="27">
        <f t="shared" si="1105"/>
        <v>0</v>
      </c>
      <c r="AQ476" s="27">
        <f t="shared" si="1105"/>
        <v>0</v>
      </c>
      <c r="AR476" s="27">
        <f t="shared" si="1105"/>
        <v>0</v>
      </c>
      <c r="AS476" s="27">
        <f t="shared" si="1105"/>
        <v>9.9999999999992872E-3</v>
      </c>
      <c r="AT476" s="260">
        <f t="shared" si="1105"/>
        <v>9.9999999999992872E-3</v>
      </c>
      <c r="AU476" s="39">
        <f t="shared" si="1105"/>
        <v>122345058</v>
      </c>
      <c r="AV476" s="26">
        <f t="shared" si="1105"/>
        <v>88942065</v>
      </c>
      <c r="AW476" s="26">
        <f t="shared" si="1105"/>
        <v>511387</v>
      </c>
      <c r="AX476" s="26">
        <f t="shared" si="1105"/>
        <v>30235260</v>
      </c>
      <c r="AY476" s="26">
        <f t="shared" si="1105"/>
        <v>1778840</v>
      </c>
      <c r="AZ476" s="26">
        <f t="shared" si="1105"/>
        <v>877506</v>
      </c>
      <c r="BA476" s="27">
        <f t="shared" si="1105"/>
        <v>280.82000000000011</v>
      </c>
      <c r="BB476" s="27">
        <f t="shared" si="1105"/>
        <v>0</v>
      </c>
      <c r="BC476" s="260">
        <f t="shared" si="1105"/>
        <v>280.82000000000011</v>
      </c>
    </row>
    <row r="477" spans="1:55" customFormat="1" ht="12.75" x14ac:dyDescent="0.2">
      <c r="D477" s="23"/>
      <c r="E477" s="24"/>
      <c r="F477" s="23"/>
      <c r="G477" s="42"/>
      <c r="H477" s="2">
        <v>3143</v>
      </c>
      <c r="I477" s="25">
        <f t="shared" ref="I477:BC477" si="1106">SUMIF($F$12:$F$466,"=3143",I$12:I$466)</f>
        <v>102182002</v>
      </c>
      <c r="J477" s="26">
        <f t="shared" si="1106"/>
        <v>74882532</v>
      </c>
      <c r="K477" s="26">
        <f t="shared" si="1106"/>
        <v>265600</v>
      </c>
      <c r="L477" s="26">
        <f t="shared" si="1106"/>
        <v>25400071</v>
      </c>
      <c r="M477" s="26">
        <f t="shared" si="1106"/>
        <v>1497649</v>
      </c>
      <c r="N477" s="26">
        <f t="shared" si="1106"/>
        <v>136150</v>
      </c>
      <c r="O477" s="27">
        <f t="shared" si="1106"/>
        <v>159.16390000000007</v>
      </c>
      <c r="P477" s="27">
        <f t="shared" si="1106"/>
        <v>149.40389999999999</v>
      </c>
      <c r="Q477" s="488">
        <f t="shared" si="1106"/>
        <v>9.7600000000000016</v>
      </c>
      <c r="R477" s="25">
        <f t="shared" si="1106"/>
        <v>0</v>
      </c>
      <c r="S477" s="26">
        <f t="shared" si="1106"/>
        <v>0</v>
      </c>
      <c r="T477" s="26">
        <f t="shared" si="1106"/>
        <v>255527</v>
      </c>
      <c r="U477" s="26">
        <f t="shared" si="1106"/>
        <v>0</v>
      </c>
      <c r="V477" s="26">
        <f t="shared" si="1106"/>
        <v>0</v>
      </c>
      <c r="W477" s="26">
        <f t="shared" si="1106"/>
        <v>0</v>
      </c>
      <c r="X477" s="26">
        <f t="shared" si="1106"/>
        <v>255527</v>
      </c>
      <c r="Y477" s="26">
        <f t="shared" si="1106"/>
        <v>0</v>
      </c>
      <c r="Z477" s="26">
        <f t="shared" si="1106"/>
        <v>0</v>
      </c>
      <c r="AA477" s="26">
        <f t="shared" si="1106"/>
        <v>0</v>
      </c>
      <c r="AB477" s="26">
        <f t="shared" si="1106"/>
        <v>0</v>
      </c>
      <c r="AC477" s="26">
        <f t="shared" si="1106"/>
        <v>255527</v>
      </c>
      <c r="AD477" s="26">
        <f t="shared" si="1106"/>
        <v>86368</v>
      </c>
      <c r="AE477" s="26">
        <f t="shared" si="1106"/>
        <v>5110</v>
      </c>
      <c r="AF477" s="26">
        <f t="shared" si="1106"/>
        <v>0</v>
      </c>
      <c r="AG477" s="26">
        <f t="shared" si="1106"/>
        <v>0</v>
      </c>
      <c r="AH477" s="26">
        <f t="shared" si="1106"/>
        <v>0</v>
      </c>
      <c r="AI477" s="26">
        <f t="shared" si="1106"/>
        <v>347005</v>
      </c>
      <c r="AJ477" s="27">
        <f t="shared" si="1106"/>
        <v>0</v>
      </c>
      <c r="AK477" s="27">
        <f t="shared" si="1106"/>
        <v>0</v>
      </c>
      <c r="AL477" s="27">
        <f t="shared" si="1106"/>
        <v>0</v>
      </c>
      <c r="AM477" s="27">
        <f t="shared" si="1106"/>
        <v>0.58000000000000007</v>
      </c>
      <c r="AN477" s="27">
        <f t="shared" si="1106"/>
        <v>0</v>
      </c>
      <c r="AO477" s="27">
        <f t="shared" si="1106"/>
        <v>0</v>
      </c>
      <c r="AP477" s="27">
        <f t="shared" si="1106"/>
        <v>0</v>
      </c>
      <c r="AQ477" s="27">
        <f t="shared" si="1106"/>
        <v>0</v>
      </c>
      <c r="AR477" s="27">
        <f t="shared" si="1106"/>
        <v>0.58000000000000007</v>
      </c>
      <c r="AS477" s="27">
        <f t="shared" si="1106"/>
        <v>0</v>
      </c>
      <c r="AT477" s="260">
        <f t="shared" si="1106"/>
        <v>0.58000000000000007</v>
      </c>
      <c r="AU477" s="39">
        <f t="shared" si="1106"/>
        <v>102529007</v>
      </c>
      <c r="AV477" s="26">
        <f t="shared" si="1106"/>
        <v>75138059</v>
      </c>
      <c r="AW477" s="26">
        <f t="shared" si="1106"/>
        <v>265600</v>
      </c>
      <c r="AX477" s="26">
        <f t="shared" si="1106"/>
        <v>25486439</v>
      </c>
      <c r="AY477" s="26">
        <f t="shared" si="1106"/>
        <v>1502759</v>
      </c>
      <c r="AZ477" s="26">
        <f t="shared" si="1106"/>
        <v>136150</v>
      </c>
      <c r="BA477" s="27">
        <f t="shared" si="1106"/>
        <v>159.74390000000005</v>
      </c>
      <c r="BB477" s="27">
        <f t="shared" si="1106"/>
        <v>149.98389999999998</v>
      </c>
      <c r="BC477" s="260">
        <f t="shared" si="1106"/>
        <v>9.7600000000000016</v>
      </c>
    </row>
    <row r="478" spans="1:55" customFormat="1" ht="12.75" x14ac:dyDescent="0.2">
      <c r="D478" s="23"/>
      <c r="E478" s="24"/>
      <c r="F478" s="23"/>
      <c r="G478" s="42"/>
      <c r="H478" s="2">
        <v>3231</v>
      </c>
      <c r="I478" s="25">
        <f t="shared" ref="I478:BC478" si="1107">SUMIF($F$12:$F$466,"=3231",I$12:I$466)</f>
        <v>81251464</v>
      </c>
      <c r="J478" s="26">
        <f t="shared" si="1107"/>
        <v>59422860</v>
      </c>
      <c r="K478" s="26">
        <f t="shared" si="1107"/>
        <v>225000</v>
      </c>
      <c r="L478" s="26">
        <f t="shared" si="1107"/>
        <v>20160976</v>
      </c>
      <c r="M478" s="26">
        <f t="shared" si="1107"/>
        <v>1188458</v>
      </c>
      <c r="N478" s="26">
        <f t="shared" si="1107"/>
        <v>254170</v>
      </c>
      <c r="O478" s="27">
        <f t="shared" si="1107"/>
        <v>110.3182</v>
      </c>
      <c r="P478" s="27">
        <f t="shared" si="1107"/>
        <v>98.182699999999983</v>
      </c>
      <c r="Q478" s="488">
        <f t="shared" si="1107"/>
        <v>12.135499999999997</v>
      </c>
      <c r="R478" s="25">
        <f t="shared" si="1107"/>
        <v>0</v>
      </c>
      <c r="S478" s="26">
        <f t="shared" si="1107"/>
        <v>0</v>
      </c>
      <c r="T478" s="26">
        <f t="shared" si="1107"/>
        <v>370502</v>
      </c>
      <c r="U478" s="26">
        <f t="shared" si="1107"/>
        <v>0</v>
      </c>
      <c r="V478" s="26">
        <f t="shared" si="1107"/>
        <v>0</v>
      </c>
      <c r="W478" s="26">
        <f t="shared" si="1107"/>
        <v>0</v>
      </c>
      <c r="X478" s="26">
        <f t="shared" si="1107"/>
        <v>370502</v>
      </c>
      <c r="Y478" s="26">
        <f t="shared" si="1107"/>
        <v>0</v>
      </c>
      <c r="Z478" s="26">
        <f t="shared" si="1107"/>
        <v>0</v>
      </c>
      <c r="AA478" s="26">
        <f t="shared" si="1107"/>
        <v>0</v>
      </c>
      <c r="AB478" s="26">
        <f t="shared" si="1107"/>
        <v>0</v>
      </c>
      <c r="AC478" s="26">
        <f t="shared" si="1107"/>
        <v>370502</v>
      </c>
      <c r="AD478" s="26">
        <f t="shared" si="1107"/>
        <v>125230</v>
      </c>
      <c r="AE478" s="26">
        <f t="shared" si="1107"/>
        <v>7410</v>
      </c>
      <c r="AF478" s="26">
        <f t="shared" si="1107"/>
        <v>0</v>
      </c>
      <c r="AG478" s="26">
        <f t="shared" si="1107"/>
        <v>0</v>
      </c>
      <c r="AH478" s="26">
        <f t="shared" si="1107"/>
        <v>0</v>
      </c>
      <c r="AI478" s="26">
        <f t="shared" si="1107"/>
        <v>503142</v>
      </c>
      <c r="AJ478" s="27">
        <f t="shared" si="1107"/>
        <v>0</v>
      </c>
      <c r="AK478" s="27">
        <f t="shared" si="1107"/>
        <v>0</v>
      </c>
      <c r="AL478" s="27">
        <f t="shared" si="1107"/>
        <v>0</v>
      </c>
      <c r="AM478" s="27">
        <f t="shared" si="1107"/>
        <v>0.66</v>
      </c>
      <c r="AN478" s="27">
        <f t="shared" si="1107"/>
        <v>0</v>
      </c>
      <c r="AO478" s="27">
        <f t="shared" si="1107"/>
        <v>0</v>
      </c>
      <c r="AP478" s="27">
        <f t="shared" si="1107"/>
        <v>0</v>
      </c>
      <c r="AQ478" s="27">
        <f t="shared" si="1107"/>
        <v>0</v>
      </c>
      <c r="AR478" s="27">
        <f t="shared" si="1107"/>
        <v>0.66</v>
      </c>
      <c r="AS478" s="27">
        <f t="shared" si="1107"/>
        <v>0</v>
      </c>
      <c r="AT478" s="260">
        <f t="shared" si="1107"/>
        <v>0.66</v>
      </c>
      <c r="AU478" s="39">
        <f t="shared" si="1107"/>
        <v>81754606</v>
      </c>
      <c r="AV478" s="26">
        <f t="shared" si="1107"/>
        <v>59793362</v>
      </c>
      <c r="AW478" s="26">
        <f t="shared" si="1107"/>
        <v>225000</v>
      </c>
      <c r="AX478" s="26">
        <f t="shared" si="1107"/>
        <v>20286206</v>
      </c>
      <c r="AY478" s="26">
        <f t="shared" si="1107"/>
        <v>1195868</v>
      </c>
      <c r="AZ478" s="26">
        <f t="shared" si="1107"/>
        <v>254170</v>
      </c>
      <c r="BA478" s="27">
        <f t="shared" si="1107"/>
        <v>110.9782</v>
      </c>
      <c r="BB478" s="27">
        <f t="shared" si="1107"/>
        <v>98.842699999999979</v>
      </c>
      <c r="BC478" s="260">
        <f t="shared" si="1107"/>
        <v>12.135499999999997</v>
      </c>
    </row>
    <row r="479" spans="1:55" customFormat="1" ht="13.5" thickBot="1" x14ac:dyDescent="0.25">
      <c r="D479" s="23"/>
      <c r="E479" s="24"/>
      <c r="F479" s="23"/>
      <c r="G479" s="42"/>
      <c r="H479" s="158">
        <v>3233</v>
      </c>
      <c r="I479" s="28">
        <f t="shared" ref="I479:BC479" si="1108">SUMIF($F$12:$F$466,"=3233",I$12:I$466)</f>
        <v>13854961</v>
      </c>
      <c r="J479" s="29">
        <f t="shared" si="1108"/>
        <v>8384559</v>
      </c>
      <c r="K479" s="29">
        <f t="shared" si="1108"/>
        <v>1813000</v>
      </c>
      <c r="L479" s="29">
        <f t="shared" si="1108"/>
        <v>3364641</v>
      </c>
      <c r="M479" s="29">
        <f t="shared" si="1108"/>
        <v>167691</v>
      </c>
      <c r="N479" s="29">
        <f t="shared" si="1108"/>
        <v>125070</v>
      </c>
      <c r="O479" s="152">
        <f t="shared" si="1108"/>
        <v>17.53</v>
      </c>
      <c r="P479" s="152">
        <f t="shared" si="1108"/>
        <v>11.33</v>
      </c>
      <c r="Q479" s="489">
        <f t="shared" si="1108"/>
        <v>6.2</v>
      </c>
      <c r="R479" s="28">
        <f t="shared" si="1108"/>
        <v>0</v>
      </c>
      <c r="S479" s="29">
        <f t="shared" si="1108"/>
        <v>0</v>
      </c>
      <c r="T479" s="29">
        <f t="shared" si="1108"/>
        <v>0</v>
      </c>
      <c r="U479" s="29">
        <f t="shared" si="1108"/>
        <v>0</v>
      </c>
      <c r="V479" s="29">
        <f t="shared" si="1108"/>
        <v>0</v>
      </c>
      <c r="W479" s="29">
        <f t="shared" si="1108"/>
        <v>0</v>
      </c>
      <c r="X479" s="29">
        <f t="shared" si="1108"/>
        <v>0</v>
      </c>
      <c r="Y479" s="29">
        <f t="shared" si="1108"/>
        <v>0</v>
      </c>
      <c r="Z479" s="29">
        <f t="shared" si="1108"/>
        <v>0</v>
      </c>
      <c r="AA479" s="29">
        <f t="shared" si="1108"/>
        <v>0</v>
      </c>
      <c r="AB479" s="29">
        <f t="shared" si="1108"/>
        <v>0</v>
      </c>
      <c r="AC479" s="29">
        <f t="shared" si="1108"/>
        <v>0</v>
      </c>
      <c r="AD479" s="29">
        <f t="shared" si="1108"/>
        <v>0</v>
      </c>
      <c r="AE479" s="29">
        <f t="shared" si="1108"/>
        <v>0</v>
      </c>
      <c r="AF479" s="29">
        <f t="shared" si="1108"/>
        <v>0</v>
      </c>
      <c r="AG479" s="29">
        <f t="shared" si="1108"/>
        <v>0</v>
      </c>
      <c r="AH479" s="29">
        <f t="shared" si="1108"/>
        <v>0</v>
      </c>
      <c r="AI479" s="29">
        <f t="shared" si="1108"/>
        <v>0</v>
      </c>
      <c r="AJ479" s="152">
        <f t="shared" si="1108"/>
        <v>0</v>
      </c>
      <c r="AK479" s="152">
        <f t="shared" si="1108"/>
        <v>0</v>
      </c>
      <c r="AL479" s="152">
        <f t="shared" si="1108"/>
        <v>0</v>
      </c>
      <c r="AM479" s="152">
        <f t="shared" si="1108"/>
        <v>0</v>
      </c>
      <c r="AN479" s="152">
        <f t="shared" si="1108"/>
        <v>0</v>
      </c>
      <c r="AO479" s="152">
        <f t="shared" si="1108"/>
        <v>0</v>
      </c>
      <c r="AP479" s="152">
        <f t="shared" si="1108"/>
        <v>0</v>
      </c>
      <c r="AQ479" s="152">
        <f t="shared" si="1108"/>
        <v>0</v>
      </c>
      <c r="AR479" s="152">
        <f t="shared" si="1108"/>
        <v>0</v>
      </c>
      <c r="AS479" s="152">
        <f t="shared" si="1108"/>
        <v>0</v>
      </c>
      <c r="AT479" s="261">
        <f t="shared" si="1108"/>
        <v>0</v>
      </c>
      <c r="AU479" s="157">
        <f t="shared" si="1108"/>
        <v>13854961</v>
      </c>
      <c r="AV479" s="29">
        <f t="shared" si="1108"/>
        <v>8384559</v>
      </c>
      <c r="AW479" s="29">
        <f t="shared" si="1108"/>
        <v>1813000</v>
      </c>
      <c r="AX479" s="29">
        <f t="shared" si="1108"/>
        <v>3364641</v>
      </c>
      <c r="AY479" s="29">
        <f t="shared" si="1108"/>
        <v>167691</v>
      </c>
      <c r="AZ479" s="29">
        <f t="shared" si="1108"/>
        <v>125070</v>
      </c>
      <c r="BA479" s="152">
        <f t="shared" si="1108"/>
        <v>17.53</v>
      </c>
      <c r="BB479" s="152">
        <f t="shared" si="1108"/>
        <v>11.33</v>
      </c>
      <c r="BC479" s="261">
        <f t="shared" si="1108"/>
        <v>6.2</v>
      </c>
    </row>
    <row r="481" spans="1:55" x14ac:dyDescent="0.2"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</row>
    <row r="482" spans="1:55" x14ac:dyDescent="0.2">
      <c r="E482" s="53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</row>
    <row r="483" spans="1:55" x14ac:dyDescent="0.2">
      <c r="E483" s="53"/>
      <c r="O483" s="55"/>
      <c r="R483" s="93"/>
      <c r="S483" s="93"/>
    </row>
    <row r="484" spans="1:55" x14ac:dyDescent="0.2">
      <c r="E484" s="53"/>
    </row>
    <row r="485" spans="1:55" s="54" customFormat="1" x14ac:dyDescent="0.2">
      <c r="B485" s="53"/>
      <c r="C485" s="53"/>
      <c r="D485" s="53"/>
      <c r="E485" s="53"/>
      <c r="I485" s="437"/>
      <c r="J485" s="437"/>
      <c r="K485" s="437"/>
      <c r="L485" s="437"/>
      <c r="M485" s="437"/>
      <c r="N485" s="437"/>
      <c r="O485" s="188"/>
      <c r="P485" s="188"/>
      <c r="Q485" s="188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  <c r="AB485" s="437"/>
      <c r="AC485" s="437"/>
      <c r="AD485" s="437"/>
      <c r="AE485" s="437"/>
      <c r="AF485" s="437"/>
      <c r="AG485" s="437"/>
      <c r="AH485" s="437"/>
      <c r="AI485" s="437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437"/>
      <c r="AV485" s="437"/>
      <c r="AW485" s="437"/>
      <c r="AX485" s="437"/>
      <c r="AY485" s="437"/>
      <c r="AZ485" s="437"/>
      <c r="BA485" s="188"/>
      <c r="BB485" s="188"/>
      <c r="BC485" s="188"/>
    </row>
    <row r="486" spans="1:55" x14ac:dyDescent="0.2">
      <c r="E486" s="53"/>
    </row>
    <row r="487" spans="1:55" s="54" customFormat="1" x14ac:dyDescent="0.2">
      <c r="B487" s="53"/>
      <c r="C487" s="53"/>
      <c r="D487" s="53"/>
      <c r="E487" s="53"/>
      <c r="I487" s="437"/>
      <c r="J487" s="437"/>
      <c r="K487" s="437"/>
      <c r="L487" s="437"/>
      <c r="M487" s="437"/>
      <c r="N487" s="437"/>
      <c r="O487" s="188"/>
      <c r="P487" s="188"/>
      <c r="Q487" s="188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  <c r="AB487" s="437"/>
      <c r="AC487" s="437"/>
      <c r="AD487" s="437"/>
      <c r="AE487" s="437"/>
      <c r="AF487" s="437"/>
      <c r="AG487" s="437"/>
      <c r="AH487" s="437"/>
      <c r="AI487" s="437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437"/>
      <c r="AV487" s="437"/>
      <c r="AW487" s="437"/>
      <c r="AX487" s="437"/>
      <c r="AY487" s="437"/>
      <c r="AZ487" s="437"/>
      <c r="BA487" s="188"/>
      <c r="BB487" s="188"/>
      <c r="BC487" s="188"/>
    </row>
    <row r="488" spans="1:55" s="54" customFormat="1" x14ac:dyDescent="0.2">
      <c r="B488" s="53"/>
      <c r="C488" s="53"/>
      <c r="D488" s="53"/>
      <c r="E488" s="53"/>
      <c r="I488" s="437"/>
      <c r="J488" s="437"/>
      <c r="K488" s="437"/>
      <c r="L488" s="437"/>
      <c r="M488" s="437"/>
      <c r="N488" s="437"/>
      <c r="O488" s="188"/>
      <c r="P488" s="188"/>
      <c r="Q488" s="188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  <c r="AB488" s="437"/>
      <c r="AC488" s="437"/>
      <c r="AD488" s="437"/>
      <c r="AE488" s="437"/>
      <c r="AF488" s="437"/>
      <c r="AG488" s="437"/>
      <c r="AH488" s="437"/>
      <c r="AI488" s="437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437"/>
      <c r="AV488" s="437"/>
      <c r="AW488" s="437"/>
      <c r="AX488" s="437"/>
      <c r="AY488" s="437"/>
      <c r="AZ488" s="437"/>
      <c r="BA488" s="188"/>
      <c r="BB488" s="188"/>
      <c r="BC488" s="188"/>
    </row>
    <row r="489" spans="1:55" s="55" customFormat="1" x14ac:dyDescent="0.2">
      <c r="A489" s="54"/>
      <c r="B489" s="53"/>
      <c r="C489" s="53"/>
      <c r="D489" s="53"/>
      <c r="E489" s="53"/>
      <c r="F489" s="54"/>
      <c r="G489" s="54"/>
      <c r="H489" s="54"/>
      <c r="O489" s="93"/>
      <c r="P489" s="93"/>
      <c r="Q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BA489" s="93"/>
      <c r="BB489" s="93"/>
      <c r="BC489" s="93"/>
    </row>
    <row r="490" spans="1:55" s="55" customFormat="1" x14ac:dyDescent="0.2">
      <c r="A490" s="54"/>
      <c r="B490" s="53"/>
      <c r="C490" s="53"/>
      <c r="D490" s="53"/>
      <c r="E490" s="53"/>
      <c r="F490" s="54"/>
      <c r="G490" s="54"/>
      <c r="H490" s="54"/>
      <c r="O490" s="93"/>
      <c r="P490" s="93"/>
      <c r="Q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BA490" s="93"/>
      <c r="BB490" s="93"/>
      <c r="BC490" s="93"/>
    </row>
    <row r="491" spans="1:55" s="55" customFormat="1" x14ac:dyDescent="0.2">
      <c r="A491" s="54"/>
      <c r="B491" s="53"/>
      <c r="C491" s="53"/>
      <c r="D491" s="53"/>
      <c r="E491" s="53"/>
      <c r="F491" s="54"/>
      <c r="G491" s="54"/>
      <c r="H491" s="54"/>
      <c r="O491" s="93"/>
      <c r="P491" s="93"/>
      <c r="Q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BA491" s="93"/>
      <c r="BB491" s="93"/>
      <c r="BC491" s="93"/>
    </row>
    <row r="492" spans="1:55" s="55" customFormat="1" x14ac:dyDescent="0.2">
      <c r="A492" s="54"/>
      <c r="B492" s="53"/>
      <c r="C492" s="53"/>
      <c r="D492" s="53"/>
      <c r="E492" s="53"/>
      <c r="F492" s="54"/>
      <c r="G492" s="54"/>
      <c r="H492" s="54"/>
      <c r="O492" s="93"/>
      <c r="P492" s="93"/>
      <c r="Q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BA492" s="93"/>
      <c r="BB492" s="93"/>
      <c r="BC492" s="93"/>
    </row>
    <row r="493" spans="1:55" x14ac:dyDescent="0.2">
      <c r="E493" s="53"/>
    </row>
    <row r="495" spans="1:55" s="55" customFormat="1" ht="15" customHeight="1" x14ac:dyDescent="0.2">
      <c r="A495" s="54"/>
      <c r="B495" s="53"/>
      <c r="C495" s="53"/>
      <c r="D495" s="53"/>
      <c r="E495" s="54"/>
      <c r="F495" s="54"/>
      <c r="G495" s="54"/>
      <c r="H495" s="54"/>
      <c r="O495" s="93"/>
      <c r="P495" s="93"/>
      <c r="Q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BA495" s="93"/>
      <c r="BB495" s="93"/>
      <c r="BC495" s="93"/>
    </row>
    <row r="496" spans="1:55" s="55" customFormat="1" ht="15" customHeight="1" x14ac:dyDescent="0.2">
      <c r="A496" s="54"/>
      <c r="B496" s="53"/>
      <c r="C496" s="53"/>
      <c r="D496" s="53"/>
      <c r="E496" s="54"/>
      <c r="F496" s="54"/>
      <c r="G496" s="54"/>
      <c r="H496" s="54"/>
      <c r="O496" s="93"/>
      <c r="P496" s="93"/>
      <c r="Q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BA496" s="93"/>
      <c r="BB496" s="93"/>
      <c r="BC496" s="93"/>
    </row>
    <row r="497" spans="1:55" s="55" customFormat="1" ht="15" customHeight="1" x14ac:dyDescent="0.2">
      <c r="A497" s="54"/>
      <c r="B497" s="53"/>
      <c r="C497" s="53"/>
      <c r="D497" s="53"/>
      <c r="E497" s="54"/>
      <c r="F497" s="54"/>
      <c r="G497" s="54"/>
      <c r="H497" s="54"/>
      <c r="O497" s="93"/>
      <c r="P497" s="93"/>
      <c r="Q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BA497" s="93"/>
      <c r="BB497" s="93"/>
      <c r="BC497" s="93"/>
    </row>
    <row r="498" spans="1:55" s="55" customFormat="1" ht="15" customHeight="1" x14ac:dyDescent="0.2">
      <c r="A498" s="54"/>
      <c r="B498" s="53"/>
      <c r="C498" s="53"/>
      <c r="D498" s="53"/>
      <c r="E498" s="54"/>
      <c r="F498" s="54"/>
      <c r="G498" s="54"/>
      <c r="H498" s="54"/>
      <c r="O498" s="93"/>
      <c r="P498" s="93"/>
      <c r="Q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BA498" s="93"/>
      <c r="BB498" s="93"/>
      <c r="BC498" s="93"/>
    </row>
    <row r="499" spans="1:55" s="55" customFormat="1" ht="15" customHeight="1" x14ac:dyDescent="0.2">
      <c r="A499" s="54"/>
      <c r="B499" s="53"/>
      <c r="C499" s="53"/>
      <c r="D499" s="53"/>
      <c r="E499" s="54"/>
      <c r="F499" s="54"/>
      <c r="G499" s="54"/>
      <c r="H499" s="54"/>
      <c r="O499" s="93"/>
      <c r="P499" s="93"/>
      <c r="Q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BA499" s="93"/>
      <c r="BB499" s="93"/>
      <c r="BC499" s="93"/>
    </row>
    <row r="500" spans="1:55" s="55" customFormat="1" ht="15" customHeight="1" x14ac:dyDescent="0.2">
      <c r="A500" s="54"/>
      <c r="B500" s="53"/>
      <c r="C500" s="53"/>
      <c r="D500" s="53"/>
      <c r="E500" s="54"/>
      <c r="F500" s="54"/>
      <c r="G500" s="54"/>
      <c r="H500" s="54"/>
      <c r="O500" s="93"/>
      <c r="P500" s="93"/>
      <c r="Q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BA500" s="93"/>
      <c r="BB500" s="93"/>
      <c r="BC500" s="93"/>
    </row>
    <row r="501" spans="1:55" s="55" customFormat="1" ht="15" customHeight="1" x14ac:dyDescent="0.2">
      <c r="A501" s="54"/>
      <c r="B501" s="53"/>
      <c r="C501" s="53"/>
      <c r="D501" s="53"/>
      <c r="E501" s="54"/>
      <c r="F501" s="54"/>
      <c r="G501" s="54"/>
      <c r="H501" s="54"/>
      <c r="O501" s="93"/>
      <c r="P501" s="93"/>
      <c r="Q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BA501" s="93"/>
      <c r="BB501" s="93"/>
      <c r="BC501" s="93"/>
    </row>
    <row r="502" spans="1:55" s="55" customFormat="1" ht="15" customHeight="1" x14ac:dyDescent="0.2">
      <c r="A502" s="54"/>
      <c r="B502" s="53"/>
      <c r="C502" s="53"/>
      <c r="D502" s="53"/>
      <c r="E502" s="54"/>
      <c r="F502" s="54"/>
      <c r="G502" s="54"/>
      <c r="H502" s="54"/>
      <c r="O502" s="93"/>
      <c r="P502" s="93"/>
      <c r="Q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BA502" s="93"/>
      <c r="BB502" s="93"/>
      <c r="BC502" s="93"/>
    </row>
    <row r="503" spans="1:55" s="55" customFormat="1" ht="15" customHeight="1" x14ac:dyDescent="0.2">
      <c r="A503" s="54"/>
      <c r="B503" s="53"/>
      <c r="C503" s="53"/>
      <c r="D503" s="53"/>
      <c r="E503" s="54"/>
      <c r="F503" s="54"/>
      <c r="G503" s="54"/>
      <c r="H503" s="54"/>
      <c r="O503" s="93"/>
      <c r="P503" s="93"/>
      <c r="Q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BA503" s="93"/>
      <c r="BB503" s="93"/>
      <c r="BC503" s="93"/>
    </row>
    <row r="504" spans="1:55" s="55" customFormat="1" ht="15" customHeight="1" x14ac:dyDescent="0.2">
      <c r="A504" s="54"/>
      <c r="B504" s="53"/>
      <c r="C504" s="53"/>
      <c r="D504" s="53"/>
      <c r="E504" s="54"/>
      <c r="F504" s="54"/>
      <c r="G504" s="54"/>
      <c r="H504" s="54"/>
      <c r="O504" s="93"/>
      <c r="P504" s="93"/>
      <c r="Q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BA504" s="93"/>
      <c r="BB504" s="93"/>
      <c r="BC504" s="93"/>
    </row>
    <row r="505" spans="1:55" s="55" customFormat="1" ht="15" customHeight="1" x14ac:dyDescent="0.2">
      <c r="A505" s="54"/>
      <c r="B505" s="53"/>
      <c r="C505" s="53"/>
      <c r="D505" s="53"/>
      <c r="E505" s="54"/>
      <c r="F505" s="54"/>
      <c r="G505" s="54"/>
      <c r="H505" s="54"/>
      <c r="O505" s="93"/>
      <c r="P505" s="93"/>
      <c r="Q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BA505" s="93"/>
      <c r="BB505" s="93"/>
      <c r="BC505" s="93"/>
    </row>
    <row r="506" spans="1:55" s="55" customFormat="1" ht="15" customHeight="1" x14ac:dyDescent="0.2">
      <c r="A506" s="54"/>
      <c r="B506" s="53"/>
      <c r="C506" s="53"/>
      <c r="D506" s="53"/>
      <c r="E506" s="54"/>
      <c r="F506" s="94"/>
      <c r="G506" s="54"/>
      <c r="H506" s="54"/>
      <c r="O506" s="93"/>
      <c r="P506" s="93"/>
      <c r="Q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BA506" s="93"/>
      <c r="BB506" s="93"/>
      <c r="BC506" s="93"/>
    </row>
    <row r="507" spans="1:55" s="55" customFormat="1" ht="15" customHeight="1" x14ac:dyDescent="0.2">
      <c r="A507" s="54"/>
      <c r="B507" s="53"/>
      <c r="C507" s="53"/>
      <c r="D507" s="53"/>
      <c r="E507" s="54"/>
      <c r="F507" s="94"/>
      <c r="G507" s="54"/>
      <c r="H507" s="54"/>
      <c r="O507" s="93"/>
      <c r="P507" s="93"/>
      <c r="Q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BA507" s="93"/>
      <c r="BB507" s="93"/>
      <c r="BC507" s="93"/>
    </row>
    <row r="508" spans="1:55" s="55" customFormat="1" ht="15" customHeight="1" x14ac:dyDescent="0.2">
      <c r="A508" s="54"/>
      <c r="B508" s="53"/>
      <c r="C508" s="53"/>
      <c r="D508" s="53"/>
      <c r="E508" s="54"/>
      <c r="F508" s="94"/>
      <c r="G508" s="54"/>
      <c r="H508" s="54"/>
      <c r="O508" s="93"/>
      <c r="P508" s="93"/>
      <c r="Q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BA508" s="93"/>
      <c r="BB508" s="93"/>
      <c r="BC508" s="93"/>
    </row>
    <row r="509" spans="1:55" s="55" customFormat="1" ht="15" customHeight="1" x14ac:dyDescent="0.2">
      <c r="A509" s="54"/>
      <c r="B509" s="53"/>
      <c r="C509" s="53"/>
      <c r="D509" s="53"/>
      <c r="E509" s="54"/>
      <c r="F509" s="94"/>
      <c r="G509" s="54"/>
      <c r="H509" s="54"/>
      <c r="O509" s="93"/>
      <c r="P509" s="93"/>
      <c r="Q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BA509" s="93"/>
      <c r="BB509" s="93"/>
      <c r="BC509" s="93"/>
    </row>
    <row r="510" spans="1:55" s="55" customFormat="1" ht="15" customHeight="1" x14ac:dyDescent="0.2">
      <c r="A510" s="54"/>
      <c r="B510" s="53"/>
      <c r="C510" s="53"/>
      <c r="D510" s="53"/>
      <c r="E510" s="54"/>
      <c r="F510" s="94"/>
      <c r="G510" s="54"/>
      <c r="H510" s="54"/>
      <c r="O510" s="93"/>
      <c r="P510" s="93"/>
      <c r="Q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BA510" s="93"/>
      <c r="BB510" s="93"/>
      <c r="BC510" s="93"/>
    </row>
    <row r="536" spans="1:55" s="55" customFormat="1" ht="15" customHeight="1" x14ac:dyDescent="0.2">
      <c r="A536" s="54"/>
      <c r="B536" s="53"/>
      <c r="C536" s="53"/>
      <c r="D536" s="53"/>
      <c r="E536" s="54"/>
      <c r="F536" s="94"/>
      <c r="G536" s="54"/>
      <c r="H536" s="54"/>
      <c r="O536" s="93"/>
      <c r="P536" s="93"/>
      <c r="Q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BA536" s="93"/>
      <c r="BB536" s="93"/>
      <c r="BC536" s="93"/>
    </row>
    <row r="537" spans="1:55" s="55" customFormat="1" ht="15" customHeight="1" x14ac:dyDescent="0.2">
      <c r="A537" s="54"/>
      <c r="B537" s="53"/>
      <c r="C537" s="53"/>
      <c r="D537" s="53"/>
      <c r="E537" s="54"/>
      <c r="F537" s="94"/>
      <c r="G537" s="54"/>
      <c r="H537" s="54"/>
      <c r="O537" s="93"/>
      <c r="P537" s="93"/>
      <c r="Q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BA537" s="93"/>
      <c r="BB537" s="93"/>
      <c r="BC537" s="93"/>
    </row>
    <row r="555" spans="1:55" s="55" customFormat="1" x14ac:dyDescent="0.2">
      <c r="A555" s="54"/>
      <c r="B555" s="53"/>
      <c r="C555" s="53"/>
      <c r="D555" s="53"/>
      <c r="E555" s="94"/>
      <c r="F555" s="54"/>
      <c r="G555" s="54"/>
      <c r="H555" s="54"/>
      <c r="O555" s="93"/>
      <c r="P555" s="93"/>
      <c r="Q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BA555" s="93"/>
      <c r="BB555" s="93"/>
      <c r="BC555" s="93"/>
    </row>
    <row r="556" spans="1:55" s="55" customFormat="1" x14ac:dyDescent="0.2">
      <c r="A556" s="54"/>
      <c r="B556" s="53"/>
      <c r="C556" s="53"/>
      <c r="D556" s="53"/>
      <c r="E556" s="94"/>
      <c r="F556" s="54"/>
      <c r="G556" s="54"/>
      <c r="H556" s="54"/>
      <c r="O556" s="93"/>
      <c r="P556" s="93"/>
      <c r="Q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BA556" s="93"/>
      <c r="BB556" s="93"/>
      <c r="BC556" s="93"/>
    </row>
    <row r="564" spans="1:55" s="55" customFormat="1" x14ac:dyDescent="0.2">
      <c r="A564" s="54"/>
      <c r="B564" s="53"/>
      <c r="C564" s="53"/>
      <c r="D564" s="53"/>
      <c r="E564" s="54"/>
      <c r="F564" s="54"/>
      <c r="G564" s="54"/>
      <c r="H564" s="54"/>
      <c r="O564" s="93"/>
      <c r="P564" s="93"/>
      <c r="Q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BA564" s="93"/>
      <c r="BB564" s="93"/>
      <c r="BC564" s="93"/>
    </row>
    <row r="565" spans="1:55" s="55" customFormat="1" ht="15" customHeight="1" x14ac:dyDescent="0.2">
      <c r="A565" s="54"/>
      <c r="B565" s="53"/>
      <c r="C565" s="53"/>
      <c r="D565" s="53"/>
      <c r="E565" s="54"/>
      <c r="F565" s="54"/>
      <c r="G565" s="94"/>
      <c r="H565" s="54"/>
      <c r="O565" s="93"/>
      <c r="P565" s="93"/>
      <c r="Q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BA565" s="93"/>
      <c r="BB565" s="93"/>
      <c r="BC565" s="93"/>
    </row>
    <row r="566" spans="1:55" s="55" customFormat="1" ht="15" customHeight="1" x14ac:dyDescent="0.2">
      <c r="A566" s="54"/>
      <c r="B566" s="53"/>
      <c r="C566" s="53"/>
      <c r="D566" s="53"/>
      <c r="E566" s="54"/>
      <c r="F566" s="54"/>
      <c r="G566" s="94"/>
      <c r="H566" s="54"/>
      <c r="O566" s="93"/>
      <c r="P566" s="93"/>
      <c r="Q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BA566" s="93"/>
      <c r="BB566" s="93"/>
      <c r="BC566" s="93"/>
    </row>
    <row r="567" spans="1:55" s="55" customFormat="1" ht="15" customHeight="1" x14ac:dyDescent="0.2">
      <c r="A567" s="54"/>
      <c r="B567" s="53"/>
      <c r="C567" s="53"/>
      <c r="D567" s="53"/>
      <c r="E567" s="54"/>
      <c r="F567" s="54"/>
      <c r="G567" s="94"/>
      <c r="H567" s="54"/>
      <c r="O567" s="93"/>
      <c r="P567" s="93"/>
      <c r="Q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BA567" s="93"/>
      <c r="BB567" s="93"/>
      <c r="BC567" s="93"/>
    </row>
    <row r="568" spans="1:55" s="55" customFormat="1" ht="15" customHeight="1" x14ac:dyDescent="0.2">
      <c r="A568" s="54"/>
      <c r="B568" s="53"/>
      <c r="C568" s="53"/>
      <c r="D568" s="53"/>
      <c r="E568" s="54"/>
      <c r="F568" s="54"/>
      <c r="G568" s="94"/>
      <c r="H568" s="54"/>
      <c r="O568" s="93"/>
      <c r="P568" s="93"/>
      <c r="Q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BA568" s="93"/>
      <c r="BB568" s="93"/>
      <c r="BC568" s="93"/>
    </row>
    <row r="569" spans="1:55" s="55" customFormat="1" ht="15" customHeight="1" x14ac:dyDescent="0.2">
      <c r="A569" s="54"/>
      <c r="B569" s="53"/>
      <c r="C569" s="53"/>
      <c r="D569" s="53"/>
      <c r="E569" s="54"/>
      <c r="F569" s="54"/>
      <c r="G569" s="94"/>
      <c r="H569" s="54"/>
      <c r="O569" s="93"/>
      <c r="P569" s="93"/>
      <c r="Q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BA569" s="93"/>
      <c r="BB569" s="93"/>
      <c r="BC569" s="93"/>
    </row>
    <row r="570" spans="1:55" s="55" customFormat="1" ht="15" customHeight="1" x14ac:dyDescent="0.2">
      <c r="A570" s="54"/>
      <c r="B570" s="53"/>
      <c r="C570" s="53"/>
      <c r="D570" s="53"/>
      <c r="E570" s="54"/>
      <c r="F570" s="54"/>
      <c r="G570" s="94"/>
      <c r="H570" s="54"/>
      <c r="O570" s="93"/>
      <c r="P570" s="93"/>
      <c r="Q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BA570" s="93"/>
      <c r="BB570" s="93"/>
      <c r="BC570" s="93"/>
    </row>
    <row r="571" spans="1:55" s="55" customFormat="1" ht="15" customHeight="1" x14ac:dyDescent="0.2">
      <c r="A571" s="54"/>
      <c r="B571" s="53"/>
      <c r="C571" s="53"/>
      <c r="D571" s="53"/>
      <c r="E571" s="54"/>
      <c r="F571" s="54"/>
      <c r="G571" s="94"/>
      <c r="H571" s="54"/>
      <c r="O571" s="93"/>
      <c r="P571" s="93"/>
      <c r="Q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BA571" s="93"/>
      <c r="BB571" s="93"/>
      <c r="BC571" s="93"/>
    </row>
    <row r="572" spans="1:55" s="55" customFormat="1" ht="15" customHeight="1" x14ac:dyDescent="0.2">
      <c r="A572" s="54"/>
      <c r="B572" s="53"/>
      <c r="C572" s="53"/>
      <c r="D572" s="53"/>
      <c r="E572" s="54"/>
      <c r="F572" s="54"/>
      <c r="G572" s="94"/>
      <c r="H572" s="54"/>
      <c r="O572" s="93"/>
      <c r="P572" s="93"/>
      <c r="Q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BA572" s="93"/>
      <c r="BB572" s="93"/>
      <c r="BC572" s="93"/>
    </row>
    <row r="573" spans="1:55" s="55" customFormat="1" ht="15" customHeight="1" x14ac:dyDescent="0.2">
      <c r="A573" s="54"/>
      <c r="B573" s="53"/>
      <c r="C573" s="53"/>
      <c r="D573" s="53"/>
      <c r="E573" s="54"/>
      <c r="F573" s="54"/>
      <c r="G573" s="94"/>
      <c r="H573" s="54"/>
      <c r="O573" s="93"/>
      <c r="P573" s="93"/>
      <c r="Q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BA573" s="93"/>
      <c r="BB573" s="93"/>
      <c r="BC573" s="93"/>
    </row>
    <row r="574" spans="1:55" s="55" customFormat="1" ht="15" customHeight="1" x14ac:dyDescent="0.2">
      <c r="A574" s="54"/>
      <c r="B574" s="53"/>
      <c r="C574" s="53"/>
      <c r="D574" s="53"/>
      <c r="E574" s="54"/>
      <c r="F574" s="54"/>
      <c r="G574" s="94"/>
      <c r="H574" s="54"/>
      <c r="O574" s="93"/>
      <c r="P574" s="93"/>
      <c r="Q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BA574" s="93"/>
      <c r="BB574" s="93"/>
      <c r="BC574" s="93"/>
    </row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1" spans="5:5" x14ac:dyDescent="0.2">
      <c r="E701" s="53"/>
    </row>
    <row r="702" spans="5:5" ht="12.75" x14ac:dyDescent="0.2">
      <c r="E702" s="255"/>
    </row>
    <row r="703" spans="5:5" ht="12.75" x14ac:dyDescent="0.2">
      <c r="E703" s="255"/>
    </row>
    <row r="704" spans="5:5" ht="12.75" x14ac:dyDescent="0.2">
      <c r="E704" s="255"/>
    </row>
    <row r="705" spans="5:5" ht="12.75" x14ac:dyDescent="0.2">
      <c r="E705" s="255"/>
    </row>
    <row r="706" spans="5:5" ht="12.75" x14ac:dyDescent="0.2">
      <c r="E706" s="255"/>
    </row>
    <row r="707" spans="5:5" ht="12.75" x14ac:dyDescent="0.2">
      <c r="E707" s="255"/>
    </row>
    <row r="708" spans="5:5" ht="12.75" x14ac:dyDescent="0.2">
      <c r="E708" s="255"/>
    </row>
    <row r="709" spans="5:5" ht="12.75" x14ac:dyDescent="0.2">
      <c r="E709" s="255"/>
    </row>
    <row r="710" spans="5:5" ht="12.75" x14ac:dyDescent="0.2">
      <c r="E710" s="255"/>
    </row>
    <row r="711" spans="5:5" ht="12.75" x14ac:dyDescent="0.2">
      <c r="E711" s="255"/>
    </row>
    <row r="712" spans="5:5" ht="12.75" x14ac:dyDescent="0.2">
      <c r="E712" s="255"/>
    </row>
    <row r="713" spans="5:5" ht="12.75" x14ac:dyDescent="0.2">
      <c r="E713" s="255"/>
    </row>
    <row r="714" spans="5:5" ht="12.75" x14ac:dyDescent="0.2">
      <c r="E714" s="255"/>
    </row>
    <row r="715" spans="5:5" ht="12.75" x14ac:dyDescent="0.2">
      <c r="E715" s="255"/>
    </row>
    <row r="716" spans="5:5" ht="12.75" x14ac:dyDescent="0.2">
      <c r="E716" s="255"/>
    </row>
    <row r="717" spans="5:5" ht="12.75" x14ac:dyDescent="0.2">
      <c r="E717" s="255"/>
    </row>
    <row r="718" spans="5:5" ht="12.75" x14ac:dyDescent="0.2">
      <c r="E718" s="255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1" spans="5:5" ht="15" customHeight="1" x14ac:dyDescent="0.2"/>
    <row r="732" spans="5:5" ht="15" customHeight="1" x14ac:dyDescent="0.2"/>
    <row r="733" spans="5:5" ht="15" customHeight="1" x14ac:dyDescent="0.2"/>
    <row r="734" spans="5:5" ht="15" customHeight="1" x14ac:dyDescent="0.2"/>
    <row r="735" spans="5:5" ht="15" customHeight="1" x14ac:dyDescent="0.2"/>
    <row r="736" spans="5:5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spans="5:5" ht="15" customHeight="1" x14ac:dyDescent="0.2"/>
    <row r="754" spans="5:5" ht="15" customHeight="1" x14ac:dyDescent="0.2"/>
    <row r="756" spans="5:5" ht="15" customHeight="1" x14ac:dyDescent="0.2">
      <c r="E756" s="53"/>
    </row>
    <row r="757" spans="5:5" ht="15" customHeight="1" x14ac:dyDescent="0.2">
      <c r="E757" s="53"/>
    </row>
    <row r="758" spans="5:5" ht="15" customHeight="1" x14ac:dyDescent="0.2">
      <c r="E758" s="53"/>
    </row>
    <row r="759" spans="5:5" ht="15" customHeight="1" x14ac:dyDescent="0.2">
      <c r="E759" s="53"/>
    </row>
    <row r="760" spans="5:5" ht="15" customHeight="1" x14ac:dyDescent="0.2">
      <c r="E760" s="53"/>
    </row>
    <row r="761" spans="5:5" ht="15" customHeight="1" x14ac:dyDescent="0.2">
      <c r="E761" s="53"/>
    </row>
    <row r="762" spans="5:5" ht="15" customHeight="1" x14ac:dyDescent="0.2">
      <c r="E762" s="53"/>
    </row>
    <row r="763" spans="5:5" ht="15" customHeight="1" x14ac:dyDescent="0.2">
      <c r="E763" s="53"/>
    </row>
    <row r="764" spans="5:5" ht="15" customHeight="1" x14ac:dyDescent="0.2">
      <c r="E764" s="53"/>
    </row>
    <row r="765" spans="5:5" ht="15" customHeight="1" x14ac:dyDescent="0.2">
      <c r="E765" s="53"/>
    </row>
    <row r="766" spans="5:5" ht="15" customHeight="1" x14ac:dyDescent="0.2">
      <c r="E766" s="53"/>
    </row>
    <row r="767" spans="5:5" ht="15" customHeight="1" x14ac:dyDescent="0.2">
      <c r="E767" s="53"/>
    </row>
    <row r="768" spans="5:5" ht="15" customHeight="1" x14ac:dyDescent="0.2">
      <c r="E768" s="53"/>
    </row>
    <row r="769" spans="5:5" ht="12" customHeight="1" x14ac:dyDescent="0.2">
      <c r="E769" s="53"/>
    </row>
    <row r="770" spans="5:5" ht="12" customHeight="1" x14ac:dyDescent="0.2">
      <c r="E770" s="53"/>
    </row>
    <row r="771" spans="5:5" ht="12" customHeight="1" x14ac:dyDescent="0.2">
      <c r="E771" s="53"/>
    </row>
    <row r="772" spans="5:5" ht="12" customHeight="1" x14ac:dyDescent="0.2">
      <c r="E772" s="53"/>
    </row>
    <row r="773" spans="5:5" ht="12" customHeight="1" x14ac:dyDescent="0.2">
      <c r="E773" s="53"/>
    </row>
    <row r="774" spans="5:5" ht="12" customHeight="1" x14ac:dyDescent="0.2">
      <c r="E774" s="53"/>
    </row>
    <row r="775" spans="5:5" ht="12" customHeight="1" x14ac:dyDescent="0.2">
      <c r="E775" s="53"/>
    </row>
    <row r="776" spans="5:5" ht="12" customHeight="1" x14ac:dyDescent="0.2">
      <c r="E776" s="53"/>
    </row>
    <row r="777" spans="5:5" ht="12" customHeight="1" x14ac:dyDescent="0.2">
      <c r="E777" s="53"/>
    </row>
    <row r="778" spans="5:5" ht="12" customHeight="1" x14ac:dyDescent="0.2">
      <c r="E778" s="53"/>
    </row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8:14" ht="12" customHeight="1" x14ac:dyDescent="0.2"/>
    <row r="786" spans="8:14" ht="12" customHeight="1" x14ac:dyDescent="0.2"/>
    <row r="787" spans="8:14" ht="12" customHeight="1" x14ac:dyDescent="0.2"/>
    <row r="788" spans="8:14" ht="12" customHeight="1" x14ac:dyDescent="0.2"/>
    <row r="789" spans="8:14" ht="12" customHeight="1" x14ac:dyDescent="0.2"/>
    <row r="790" spans="8:14" ht="12" customHeight="1" x14ac:dyDescent="0.2"/>
    <row r="791" spans="8:14" ht="12" customHeight="1" x14ac:dyDescent="0.2"/>
    <row r="792" spans="8:14" ht="12" customHeight="1" x14ac:dyDescent="0.2"/>
    <row r="793" spans="8:14" ht="12" customHeight="1" x14ac:dyDescent="0.2"/>
    <row r="794" spans="8:14" ht="12" customHeight="1" x14ac:dyDescent="0.2"/>
    <row r="796" spans="8:14" x14ac:dyDescent="0.2">
      <c r="H796" s="53"/>
      <c r="J796" s="58"/>
      <c r="K796" s="58"/>
      <c r="N796" s="58"/>
    </row>
    <row r="797" spans="8:14" x14ac:dyDescent="0.2">
      <c r="H797" s="53"/>
      <c r="J797" s="58"/>
      <c r="K797" s="58"/>
      <c r="N797" s="58"/>
    </row>
    <row r="798" spans="8:14" x14ac:dyDescent="0.2">
      <c r="H798" s="53"/>
      <c r="J798" s="58"/>
      <c r="K798" s="58"/>
      <c r="N798" s="58"/>
    </row>
    <row r="799" spans="8:14" x14ac:dyDescent="0.2">
      <c r="H799" s="53"/>
      <c r="J799" s="58"/>
      <c r="K799" s="58"/>
      <c r="N799" s="58"/>
    </row>
    <row r="800" spans="8:14" x14ac:dyDescent="0.2">
      <c r="H800" s="53"/>
      <c r="J800" s="58"/>
      <c r="K800" s="58"/>
      <c r="N800" s="58"/>
    </row>
    <row r="802" spans="5:14" x14ac:dyDescent="0.2">
      <c r="E802" s="53"/>
    </row>
    <row r="803" spans="5:14" x14ac:dyDescent="0.2">
      <c r="E803" s="53"/>
    </row>
    <row r="804" spans="5:14" x14ac:dyDescent="0.2">
      <c r="E804" s="53"/>
    </row>
    <row r="805" spans="5:14" x14ac:dyDescent="0.2">
      <c r="E805" s="53"/>
    </row>
    <row r="807" spans="5:14" x14ac:dyDescent="0.2">
      <c r="E807" s="53"/>
      <c r="J807" s="58"/>
      <c r="K807" s="58"/>
      <c r="N807" s="58"/>
    </row>
    <row r="808" spans="5:14" x14ac:dyDescent="0.2">
      <c r="E808" s="53"/>
      <c r="J808" s="58"/>
      <c r="K808" s="58"/>
      <c r="N808" s="58"/>
    </row>
    <row r="809" spans="5:14" x14ac:dyDescent="0.2">
      <c r="E809" s="53"/>
      <c r="J809" s="58"/>
      <c r="K809" s="58"/>
      <c r="N809" s="58"/>
    </row>
    <row r="810" spans="5:14" x14ac:dyDescent="0.2">
      <c r="E810" s="53"/>
      <c r="J810" s="58"/>
      <c r="K810" s="58"/>
      <c r="N810" s="58"/>
    </row>
    <row r="811" spans="5:14" x14ac:dyDescent="0.2">
      <c r="E811" s="53"/>
      <c r="J811" s="58"/>
      <c r="K811" s="58"/>
      <c r="N811" s="58"/>
    </row>
    <row r="812" spans="5:14" x14ac:dyDescent="0.2">
      <c r="E812" s="53"/>
      <c r="J812" s="58"/>
      <c r="K812" s="58"/>
      <c r="N812" s="58"/>
    </row>
    <row r="813" spans="5:14" x14ac:dyDescent="0.2">
      <c r="E813" s="53"/>
      <c r="J813" s="58"/>
      <c r="K813" s="58"/>
      <c r="N813" s="58"/>
    </row>
    <row r="814" spans="5:14" x14ac:dyDescent="0.2">
      <c r="E814" s="53"/>
      <c r="J814" s="58"/>
      <c r="K814" s="58"/>
      <c r="N814" s="58"/>
    </row>
    <row r="815" spans="5:14" x14ac:dyDescent="0.2">
      <c r="E815" s="53"/>
      <c r="J815" s="58"/>
      <c r="K815" s="58"/>
      <c r="N815" s="58"/>
    </row>
    <row r="817" spans="4:14" x14ac:dyDescent="0.2">
      <c r="E817" s="53"/>
      <c r="F817" s="53"/>
      <c r="J817" s="58"/>
      <c r="K817" s="58"/>
      <c r="N817" s="58"/>
    </row>
    <row r="818" spans="4:14" x14ac:dyDescent="0.2">
      <c r="E818" s="53"/>
      <c r="F818" s="53"/>
      <c r="J818" s="58"/>
      <c r="K818" s="58"/>
      <c r="N818" s="58"/>
    </row>
    <row r="819" spans="4:14" x14ac:dyDescent="0.2">
      <c r="E819" s="53"/>
      <c r="F819" s="53"/>
      <c r="J819" s="58"/>
      <c r="K819" s="58"/>
      <c r="N819" s="58"/>
    </row>
    <row r="820" spans="4:14" x14ac:dyDescent="0.2">
      <c r="E820" s="53"/>
      <c r="F820" s="53"/>
      <c r="J820" s="58"/>
      <c r="K820" s="58"/>
      <c r="N820" s="58"/>
    </row>
    <row r="821" spans="4:14" x14ac:dyDescent="0.2">
      <c r="E821" s="53"/>
      <c r="F821" s="53"/>
      <c r="J821" s="58"/>
      <c r="K821" s="58"/>
      <c r="N821" s="58"/>
    </row>
    <row r="822" spans="4:14" x14ac:dyDescent="0.2">
      <c r="E822" s="53"/>
      <c r="F822" s="53"/>
      <c r="J822" s="58"/>
      <c r="K822" s="58"/>
      <c r="N822" s="58"/>
    </row>
    <row r="823" spans="4:14" x14ac:dyDescent="0.2">
      <c r="E823" s="53"/>
      <c r="F823" s="53"/>
      <c r="J823" s="58"/>
      <c r="K823" s="58"/>
      <c r="N823" s="58"/>
    </row>
    <row r="824" spans="4:14" x14ac:dyDescent="0.2">
      <c r="E824" s="53"/>
      <c r="F824" s="53"/>
      <c r="J824" s="58"/>
      <c r="K824" s="58"/>
      <c r="N824" s="58"/>
    </row>
    <row r="825" spans="4:14" x14ac:dyDescent="0.2">
      <c r="E825" s="53"/>
      <c r="F825" s="53"/>
      <c r="J825" s="58"/>
      <c r="K825" s="58"/>
      <c r="N825" s="58"/>
    </row>
    <row r="826" spans="4:14" ht="15" customHeight="1" x14ac:dyDescent="0.2">
      <c r="D826" s="55"/>
      <c r="E826" s="55"/>
      <c r="F826" s="646"/>
      <c r="G826" s="55"/>
    </row>
    <row r="827" spans="4:14" ht="15" customHeight="1" x14ac:dyDescent="0.2">
      <c r="D827" s="55"/>
      <c r="E827" s="55"/>
      <c r="F827" s="646"/>
      <c r="G827" s="55"/>
    </row>
    <row r="828" spans="4:14" ht="15" customHeight="1" x14ac:dyDescent="0.2">
      <c r="D828" s="55"/>
      <c r="E828" s="55"/>
      <c r="F828" s="646"/>
      <c r="G828" s="55"/>
    </row>
    <row r="829" spans="4:14" ht="15" customHeight="1" x14ac:dyDescent="0.2">
      <c r="D829" s="55"/>
      <c r="E829" s="55"/>
      <c r="F829" s="646"/>
      <c r="G829" s="55"/>
    </row>
    <row r="830" spans="4:14" ht="15" customHeight="1" x14ac:dyDescent="0.2">
      <c r="D830" s="55"/>
      <c r="E830" s="55"/>
      <c r="F830" s="646"/>
      <c r="G830" s="55"/>
    </row>
    <row r="831" spans="4:14" ht="15" customHeight="1" x14ac:dyDescent="0.2">
      <c r="D831" s="55"/>
      <c r="E831" s="55"/>
      <c r="F831" s="646"/>
      <c r="G831" s="55"/>
    </row>
    <row r="832" spans="4:14" ht="15" customHeight="1" x14ac:dyDescent="0.2">
      <c r="D832" s="55"/>
      <c r="E832" s="55"/>
      <c r="F832" s="646"/>
      <c r="G832" s="55"/>
    </row>
    <row r="833" spans="4:17" ht="15" customHeight="1" x14ac:dyDescent="0.2">
      <c r="D833" s="55"/>
      <c r="E833" s="55"/>
      <c r="F833" s="646"/>
      <c r="G833" s="55"/>
    </row>
    <row r="834" spans="4:17" ht="15" customHeight="1" x14ac:dyDescent="0.2">
      <c r="D834" s="55"/>
      <c r="E834" s="55"/>
      <c r="F834" s="646"/>
      <c r="G834" s="55"/>
    </row>
    <row r="835" spans="4:17" ht="15" customHeight="1" x14ac:dyDescent="0.2">
      <c r="D835" s="55"/>
      <c r="E835" s="55"/>
      <c r="F835" s="646"/>
      <c r="G835" s="55"/>
    </row>
    <row r="836" spans="4:17" ht="15" customHeight="1" x14ac:dyDescent="0.2">
      <c r="D836" s="55"/>
      <c r="E836" s="55"/>
      <c r="F836" s="646"/>
      <c r="G836" s="55"/>
    </row>
    <row r="837" spans="4:17" ht="15" customHeight="1" x14ac:dyDescent="0.2">
      <c r="D837" s="55"/>
      <c r="E837" s="55"/>
      <c r="F837" s="646"/>
      <c r="G837" s="55"/>
    </row>
    <row r="838" spans="4:17" ht="15" customHeight="1" x14ac:dyDescent="0.2">
      <c r="D838" s="55"/>
      <c r="E838" s="55"/>
      <c r="F838" s="646"/>
      <c r="G838" s="55"/>
    </row>
    <row r="839" spans="4:17" ht="15" customHeight="1" x14ac:dyDescent="0.2">
      <c r="D839" s="55"/>
      <c r="E839" s="55"/>
      <c r="F839" s="646"/>
      <c r="G839" s="55"/>
    </row>
    <row r="840" spans="4:17" ht="15" customHeight="1" x14ac:dyDescent="0.2">
      <c r="D840" s="55"/>
      <c r="E840" s="55"/>
      <c r="F840" s="646"/>
      <c r="G840" s="55"/>
    </row>
    <row r="841" spans="4:17" ht="15" customHeight="1" x14ac:dyDescent="0.2">
      <c r="D841" s="55"/>
      <c r="E841" s="55"/>
      <c r="F841" s="646"/>
      <c r="G841" s="55"/>
    </row>
    <row r="842" spans="4:17" x14ac:dyDescent="0.2">
      <c r="D842" s="55"/>
      <c r="E842" s="55"/>
      <c r="F842" s="55"/>
      <c r="G842" s="55"/>
      <c r="H842" s="55"/>
      <c r="I842" s="93"/>
      <c r="J842" s="93"/>
      <c r="K842" s="93"/>
    </row>
    <row r="843" spans="4:17" x14ac:dyDescent="0.2">
      <c r="E843" s="53"/>
    </row>
    <row r="844" spans="4:17" x14ac:dyDescent="0.2">
      <c r="E844" s="53"/>
    </row>
    <row r="845" spans="4:17" ht="12" customHeight="1" x14ac:dyDescent="0.2">
      <c r="E845" s="53"/>
      <c r="J845" s="58"/>
      <c r="K845" s="58"/>
      <c r="N845" s="58"/>
      <c r="Q845" s="58"/>
    </row>
    <row r="846" spans="4:17" ht="12" customHeight="1" x14ac:dyDescent="0.2">
      <c r="E846" s="53"/>
      <c r="J846" s="58"/>
      <c r="K846" s="58"/>
      <c r="N846" s="58"/>
      <c r="Q846" s="58"/>
    </row>
    <row r="847" spans="4:17" ht="12" customHeight="1" x14ac:dyDescent="0.2">
      <c r="E847" s="53"/>
      <c r="J847" s="58"/>
      <c r="K847" s="58"/>
      <c r="N847" s="58"/>
      <c r="Q847" s="58"/>
    </row>
    <row r="848" spans="4:17" ht="12" customHeight="1" x14ac:dyDescent="0.2">
      <c r="E848" s="53"/>
      <c r="J848" s="58"/>
      <c r="K848" s="58"/>
      <c r="N848" s="58"/>
      <c r="Q848" s="58"/>
    </row>
    <row r="849" spans="5:17" ht="12" customHeight="1" x14ac:dyDescent="0.2">
      <c r="E849" s="53"/>
      <c r="J849" s="58"/>
      <c r="K849" s="58"/>
      <c r="N849" s="58"/>
      <c r="Q849" s="58"/>
    </row>
    <row r="850" spans="5:17" ht="12" customHeight="1" x14ac:dyDescent="0.2">
      <c r="E850" s="53"/>
      <c r="J850" s="58"/>
      <c r="K850" s="58"/>
      <c r="N850" s="58"/>
      <c r="Q850" s="58"/>
    </row>
    <row r="851" spans="5:17" x14ac:dyDescent="0.2">
      <c r="E851" s="53"/>
      <c r="J851" s="58"/>
      <c r="K851" s="58"/>
      <c r="N851" s="58"/>
      <c r="Q851" s="58"/>
    </row>
    <row r="852" spans="5:17" ht="15" customHeight="1" x14ac:dyDescent="0.2"/>
  </sheetData>
  <mergeCells count="26">
    <mergeCell ref="BA8:BA10"/>
    <mergeCell ref="BB8:BC9"/>
    <mergeCell ref="AP8:AQ9"/>
    <mergeCell ref="A3:E3"/>
    <mergeCell ref="AE7:AE10"/>
    <mergeCell ref="AR8:AT9"/>
    <mergeCell ref="AU8:AU10"/>
    <mergeCell ref="AV8:AZ9"/>
    <mergeCell ref="I6:Q7"/>
    <mergeCell ref="R6:AT6"/>
    <mergeCell ref="AU6:BC7"/>
    <mergeCell ref="R7:X9"/>
    <mergeCell ref="Y7:AB9"/>
    <mergeCell ref="AC7:AC10"/>
    <mergeCell ref="AD7:AD10"/>
    <mergeCell ref="AF7:AH9"/>
    <mergeCell ref="AI7:AI10"/>
    <mergeCell ref="AJ7:AT7"/>
    <mergeCell ref="I8:I10"/>
    <mergeCell ref="J8:N9"/>
    <mergeCell ref="O8:O10"/>
    <mergeCell ref="P8:Q9"/>
    <mergeCell ref="AJ8:AK9"/>
    <mergeCell ref="AL8:AL9"/>
    <mergeCell ref="AM8:AN8"/>
    <mergeCell ref="AO8:AO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342"/>
  <sheetViews>
    <sheetView zoomScaleNormal="100" workbookViewId="0">
      <pane xSplit="8" ySplit="11" topLeftCell="I124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ColWidth="9.140625" defaultRowHeight="15" x14ac:dyDescent="0.25"/>
  <cols>
    <col min="1" max="1" width="5" style="96" customWidth="1"/>
    <col min="2" max="2" width="4.7109375" style="95" bestFit="1" customWidth="1"/>
    <col min="3" max="3" width="8.7109375" style="95" customWidth="1"/>
    <col min="4" max="4" width="7.85546875" style="95" customWidth="1"/>
    <col min="5" max="5" width="29.42578125" style="96" customWidth="1"/>
    <col min="6" max="6" width="4.42578125" style="96" customWidth="1"/>
    <col min="7" max="7" width="10.28515625" style="96" customWidth="1"/>
    <col min="8" max="8" width="8" style="96" customWidth="1"/>
    <col min="9" max="9" width="12.28515625" style="56" customWidth="1"/>
    <col min="10" max="14" width="9.28515625" style="56" customWidth="1"/>
    <col min="15" max="15" width="11.42578125" style="57" customWidth="1"/>
    <col min="16" max="17" width="9.28515625" style="57" customWidth="1"/>
    <col min="18" max="21" width="9.140625" style="56" customWidth="1"/>
    <col min="22" max="23" width="9.7109375" style="56" customWidth="1"/>
    <col min="24" max="28" width="9.140625" style="56" customWidth="1"/>
    <col min="29" max="29" width="10.140625" style="56" customWidth="1"/>
    <col min="30" max="35" width="9.28515625" style="56" customWidth="1"/>
    <col min="36" max="46" width="9.28515625" style="57" customWidth="1"/>
    <col min="47" max="47" width="10.140625" style="56" customWidth="1"/>
    <col min="48" max="48" width="10.28515625" style="56" customWidth="1"/>
    <col min="49" max="52" width="9.140625" style="56" customWidth="1"/>
    <col min="53" max="53" width="11.42578125" style="57" customWidth="1"/>
    <col min="54" max="55" width="9.28515625" style="57" customWidth="1"/>
    <col min="56" max="57" width="9.140625" style="95" customWidth="1"/>
    <col min="58" max="58" width="9.140625" style="95"/>
    <col min="59" max="59" width="28.42578125" style="95" bestFit="1" customWidth="1"/>
    <col min="60" max="16384" width="9.140625" style="95"/>
  </cols>
  <sheetData>
    <row r="1" spans="1:55" s="58" customFormat="1" ht="12.75" x14ac:dyDescent="0.2">
      <c r="A1" s="52" t="s">
        <v>2</v>
      </c>
      <c r="B1" s="52"/>
      <c r="C1" s="43"/>
      <c r="D1" s="52"/>
      <c r="E1" s="52"/>
      <c r="F1" s="54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55"/>
      <c r="AW1" s="55"/>
      <c r="AX1" s="55"/>
      <c r="AY1" s="55"/>
      <c r="AZ1" s="55"/>
      <c r="BA1" s="93"/>
      <c r="BB1" s="93"/>
      <c r="BC1" s="93"/>
    </row>
    <row r="2" spans="1:55" ht="12.75" customHeight="1" x14ac:dyDescent="0.25">
      <c r="A2" s="52" t="s">
        <v>3</v>
      </c>
      <c r="B2" s="52"/>
      <c r="C2" s="43"/>
      <c r="D2" s="52"/>
      <c r="E2" s="52"/>
    </row>
    <row r="3" spans="1:55" ht="12.75" customHeight="1" x14ac:dyDescent="0.25">
      <c r="A3" s="820" t="s">
        <v>4</v>
      </c>
      <c r="B3" s="820"/>
      <c r="C3" s="820"/>
      <c r="D3" s="820"/>
      <c r="E3" s="820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  <c r="AU5" s="57"/>
      <c r="AV5" s="57"/>
      <c r="AW5" s="57"/>
      <c r="AX5" s="57"/>
      <c r="AY5" s="57"/>
    </row>
    <row r="6" spans="1:55" x14ac:dyDescent="0.25"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95"/>
      <c r="B7" s="6"/>
      <c r="C7"/>
      <c r="D7" s="10"/>
      <c r="E7" s="6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s="97" customFormat="1" ht="15" customHeight="1" x14ac:dyDescent="0.25">
      <c r="A8" s="124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s="98" customFormat="1" ht="10.5" customHeight="1" thickBot="1" x14ac:dyDescent="0.25">
      <c r="A9" s="123" t="s">
        <v>785</v>
      </c>
      <c r="B9"/>
      <c r="C9"/>
      <c r="D9" s="12"/>
      <c r="E9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s="98" customFormat="1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834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7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102" customFormat="1" ht="14.1" customHeight="1" x14ac:dyDescent="0.2">
      <c r="A12" s="135">
        <v>1</v>
      </c>
      <c r="B12" s="136">
        <v>2323</v>
      </c>
      <c r="C12" s="137">
        <v>667000241</v>
      </c>
      <c r="D12" s="136">
        <v>71223461</v>
      </c>
      <c r="E12" s="136" t="s">
        <v>741</v>
      </c>
      <c r="F12" s="138">
        <v>3141</v>
      </c>
      <c r="G12" s="136" t="s">
        <v>315</v>
      </c>
      <c r="H12" s="139" t="s">
        <v>278</v>
      </c>
      <c r="I12" s="455">
        <v>4550092</v>
      </c>
      <c r="J12" s="648">
        <v>3274000</v>
      </c>
      <c r="K12" s="648">
        <v>50000</v>
      </c>
      <c r="L12" s="456">
        <v>1123512</v>
      </c>
      <c r="M12" s="456">
        <v>65480</v>
      </c>
      <c r="N12" s="648">
        <v>37100</v>
      </c>
      <c r="O12" s="457">
        <v>10.390000000000002</v>
      </c>
      <c r="P12" s="458">
        <v>0</v>
      </c>
      <c r="Q12" s="693">
        <v>10.390000000000002</v>
      </c>
      <c r="R12" s="462">
        <f t="shared" ref="R12" si="0">Y12*-1</f>
        <v>0</v>
      </c>
      <c r="S12" s="460">
        <v>0</v>
      </c>
      <c r="T12" s="760">
        <v>-12022</v>
      </c>
      <c r="U12" s="460">
        <v>0</v>
      </c>
      <c r="V12" s="460">
        <v>0</v>
      </c>
      <c r="W12" s="460">
        <v>0</v>
      </c>
      <c r="X12" s="460">
        <f>SUM(R12:W12)</f>
        <v>-12022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-12022</v>
      </c>
      <c r="AD12" s="151">
        <f t="shared" ref="AD12" si="3">ROUND((X12+Y12+Z12)*33.8%,0)</f>
        <v>-4063</v>
      </c>
      <c r="AE12" s="151">
        <f t="shared" ref="AE12" si="4">ROUND(X12*2%,0)</f>
        <v>-240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-16325</v>
      </c>
      <c r="AJ12" s="461">
        <v>0</v>
      </c>
      <c r="AK12" s="461">
        <v>0</v>
      </c>
      <c r="AL12" s="461">
        <v>0</v>
      </c>
      <c r="AM12" s="461">
        <v>0</v>
      </c>
      <c r="AN12" s="761">
        <v>-4.0000000000000036E-2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-4.0000000000000036E-2</v>
      </c>
      <c r="AT12" s="463">
        <f t="shared" ref="AT12" si="7">SUM(AR12:AS12)</f>
        <v>-4.0000000000000036E-2</v>
      </c>
      <c r="AU12" s="459">
        <f>I12+AI12</f>
        <v>4533767</v>
      </c>
      <c r="AV12" s="460">
        <f>J12+X12</f>
        <v>3261978</v>
      </c>
      <c r="AW12" s="460">
        <f>K12+AB12</f>
        <v>50000</v>
      </c>
      <c r="AX12" s="460">
        <f>L12+AD12</f>
        <v>1119449</v>
      </c>
      <c r="AY12" s="460">
        <f>M12+AE12</f>
        <v>65240</v>
      </c>
      <c r="AZ12" s="460">
        <f>N12+AH12</f>
        <v>37100</v>
      </c>
      <c r="BA12" s="461">
        <f>O12+AT12</f>
        <v>10.350000000000001</v>
      </c>
      <c r="BB12" s="461">
        <f>P12+AR12</f>
        <v>0</v>
      </c>
      <c r="BC12" s="463">
        <f>Q12+AS12</f>
        <v>10.350000000000001</v>
      </c>
    </row>
    <row r="13" spans="1:55" s="102" customFormat="1" ht="14.1" customHeight="1" x14ac:dyDescent="0.2">
      <c r="A13" s="126">
        <v>1</v>
      </c>
      <c r="B13" s="103">
        <v>2323</v>
      </c>
      <c r="C13" s="104">
        <v>667000241</v>
      </c>
      <c r="D13" s="103">
        <v>71223461</v>
      </c>
      <c r="E13" s="103" t="s">
        <v>742</v>
      </c>
      <c r="F13" s="105"/>
      <c r="G13" s="106"/>
      <c r="H13" s="107"/>
      <c r="I13" s="505">
        <v>4550092</v>
      </c>
      <c r="J13" s="501">
        <v>3274000</v>
      </c>
      <c r="K13" s="501">
        <v>50000</v>
      </c>
      <c r="L13" s="501">
        <v>1123512</v>
      </c>
      <c r="M13" s="501">
        <v>65480</v>
      </c>
      <c r="N13" s="501">
        <v>37100</v>
      </c>
      <c r="O13" s="502">
        <v>10.390000000000002</v>
      </c>
      <c r="P13" s="502">
        <v>0</v>
      </c>
      <c r="Q13" s="507">
        <v>10.390000000000002</v>
      </c>
      <c r="R13" s="505">
        <f t="shared" ref="R13:BC13" si="8">SUM(R12)</f>
        <v>0</v>
      </c>
      <c r="S13" s="501">
        <f t="shared" si="8"/>
        <v>0</v>
      </c>
      <c r="T13" s="501">
        <f t="shared" si="8"/>
        <v>-12022</v>
      </c>
      <c r="U13" s="501">
        <f t="shared" si="8"/>
        <v>0</v>
      </c>
      <c r="V13" s="501">
        <f t="shared" si="8"/>
        <v>0</v>
      </c>
      <c r="W13" s="501">
        <f t="shared" si="8"/>
        <v>0</v>
      </c>
      <c r="X13" s="501">
        <f t="shared" si="8"/>
        <v>-12022</v>
      </c>
      <c r="Y13" s="501">
        <f t="shared" si="8"/>
        <v>0</v>
      </c>
      <c r="Z13" s="501">
        <f t="shared" si="8"/>
        <v>0</v>
      </c>
      <c r="AA13" s="501">
        <f t="shared" si="8"/>
        <v>0</v>
      </c>
      <c r="AB13" s="501">
        <f t="shared" si="8"/>
        <v>0</v>
      </c>
      <c r="AC13" s="501">
        <f t="shared" si="8"/>
        <v>-12022</v>
      </c>
      <c r="AD13" s="501">
        <f t="shared" si="8"/>
        <v>-4063</v>
      </c>
      <c r="AE13" s="501">
        <f t="shared" si="8"/>
        <v>-240</v>
      </c>
      <c r="AF13" s="501">
        <f t="shared" si="8"/>
        <v>0</v>
      </c>
      <c r="AG13" s="501">
        <f t="shared" si="8"/>
        <v>0</v>
      </c>
      <c r="AH13" s="501">
        <f t="shared" si="8"/>
        <v>0</v>
      </c>
      <c r="AI13" s="501">
        <f t="shared" si="8"/>
        <v>-16325</v>
      </c>
      <c r="AJ13" s="502">
        <f t="shared" si="8"/>
        <v>0</v>
      </c>
      <c r="AK13" s="502">
        <f t="shared" si="8"/>
        <v>0</v>
      </c>
      <c r="AL13" s="502">
        <f t="shared" si="8"/>
        <v>0</v>
      </c>
      <c r="AM13" s="502">
        <f t="shared" si="8"/>
        <v>0</v>
      </c>
      <c r="AN13" s="502">
        <f t="shared" si="8"/>
        <v>-4.0000000000000036E-2</v>
      </c>
      <c r="AO13" s="502">
        <f t="shared" si="8"/>
        <v>0</v>
      </c>
      <c r="AP13" s="502">
        <f t="shared" si="8"/>
        <v>0</v>
      </c>
      <c r="AQ13" s="502">
        <f t="shared" si="8"/>
        <v>0</v>
      </c>
      <c r="AR13" s="502">
        <f t="shared" si="8"/>
        <v>0</v>
      </c>
      <c r="AS13" s="502">
        <f t="shared" si="8"/>
        <v>-4.0000000000000036E-2</v>
      </c>
      <c r="AT13" s="109">
        <f t="shared" si="8"/>
        <v>-4.0000000000000036E-2</v>
      </c>
      <c r="AU13" s="725">
        <f t="shared" si="8"/>
        <v>4533767</v>
      </c>
      <c r="AV13" s="722">
        <f t="shared" si="8"/>
        <v>3261978</v>
      </c>
      <c r="AW13" s="722">
        <f t="shared" si="8"/>
        <v>50000</v>
      </c>
      <c r="AX13" s="722">
        <f t="shared" si="8"/>
        <v>1119449</v>
      </c>
      <c r="AY13" s="722">
        <f t="shared" si="8"/>
        <v>65240</v>
      </c>
      <c r="AZ13" s="722">
        <f t="shared" si="8"/>
        <v>37100</v>
      </c>
      <c r="BA13" s="723">
        <f t="shared" si="8"/>
        <v>10.350000000000001</v>
      </c>
      <c r="BB13" s="723">
        <f t="shared" si="8"/>
        <v>0</v>
      </c>
      <c r="BC13" s="724">
        <f t="shared" si="8"/>
        <v>10.350000000000001</v>
      </c>
    </row>
    <row r="14" spans="1:55" s="102" customFormat="1" ht="14.1" customHeight="1" x14ac:dyDescent="0.2">
      <c r="A14" s="125">
        <v>2</v>
      </c>
      <c r="B14" s="80">
        <v>2314</v>
      </c>
      <c r="C14" s="99">
        <v>600080358</v>
      </c>
      <c r="D14" s="80">
        <v>46745751</v>
      </c>
      <c r="E14" s="80" t="s">
        <v>743</v>
      </c>
      <c r="F14" s="100">
        <v>3114</v>
      </c>
      <c r="G14" s="172" t="s">
        <v>556</v>
      </c>
      <c r="H14" s="101" t="s">
        <v>277</v>
      </c>
      <c r="I14" s="477">
        <v>11234167</v>
      </c>
      <c r="J14" s="631">
        <v>8111187</v>
      </c>
      <c r="K14" s="631">
        <v>65750</v>
      </c>
      <c r="L14" s="472">
        <v>2763806</v>
      </c>
      <c r="M14" s="472">
        <v>162224</v>
      </c>
      <c r="N14" s="631">
        <v>131200</v>
      </c>
      <c r="O14" s="473">
        <v>14.587300000000001</v>
      </c>
      <c r="P14" s="474">
        <v>10.599</v>
      </c>
      <c r="Q14" s="670">
        <v>3.9882999999999997</v>
      </c>
      <c r="R14" s="485">
        <f t="shared" ref="R14:R18" si="9">Y14*-1</f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8" si="10">SUM(R14:W14)</f>
        <v>0</v>
      </c>
      <c r="Y14" s="475">
        <v>0</v>
      </c>
      <c r="Z14" s="475">
        <v>0</v>
      </c>
      <c r="AA14" s="475">
        <v>0</v>
      </c>
      <c r="AB14" s="475">
        <f t="shared" ref="AB14:AB18" si="11">SUM(Y14:AA14)</f>
        <v>0</v>
      </c>
      <c r="AC14" s="475">
        <f t="shared" ref="AC14:AC18" si="12">X14+AB14</f>
        <v>0</v>
      </c>
      <c r="AD14" s="70">
        <f t="shared" ref="AD14:AD18" si="13">ROUND((X14+Y14+Z14)*33.8%,0)</f>
        <v>0</v>
      </c>
      <c r="AE14" s="70">
        <f t="shared" ref="AE14:AE18" si="14">ROUND(X14*2%,0)</f>
        <v>0</v>
      </c>
      <c r="AF14" s="475">
        <v>0</v>
      </c>
      <c r="AG14" s="475">
        <v>0</v>
      </c>
      <c r="AH14" s="475">
        <f t="shared" ref="AH14:AH18" si="15">SUM(AF14:AG14)</f>
        <v>0</v>
      </c>
      <c r="AI14" s="475">
        <f t="shared" ref="AI14:AI18" si="16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 t="shared" ref="AR14:AR76" si="17">AJ14+AL14+AM14+AO14+AP14</f>
        <v>0</v>
      </c>
      <c r="AS14" s="476">
        <f t="shared" ref="AS14:AS76" si="18">AK14+AN14+AQ14</f>
        <v>0</v>
      </c>
      <c r="AT14" s="478">
        <f t="shared" ref="AT14:AT76" si="19">SUM(AR14:AS14)</f>
        <v>0</v>
      </c>
      <c r="AU14" s="484">
        <f>I14+AI14</f>
        <v>11234167</v>
      </c>
      <c r="AV14" s="475">
        <f>J14+X14</f>
        <v>8111187</v>
      </c>
      <c r="AW14" s="475">
        <f>K14+AB14</f>
        <v>65750</v>
      </c>
      <c r="AX14" s="475">
        <f t="shared" ref="AX14:AY18" si="20">L14+AD14</f>
        <v>2763806</v>
      </c>
      <c r="AY14" s="475">
        <f t="shared" si="20"/>
        <v>162224</v>
      </c>
      <c r="AZ14" s="475">
        <f>N14+AH14</f>
        <v>131200</v>
      </c>
      <c r="BA14" s="476">
        <f>O14+AT14</f>
        <v>14.587300000000001</v>
      </c>
      <c r="BB14" s="476">
        <f t="shared" ref="BB14:BC18" si="21">P14+AR14</f>
        <v>10.599</v>
      </c>
      <c r="BC14" s="478">
        <f t="shared" si="21"/>
        <v>3.9882999999999997</v>
      </c>
    </row>
    <row r="15" spans="1:55" s="102" customFormat="1" ht="14.1" customHeight="1" x14ac:dyDescent="0.2">
      <c r="A15" s="125">
        <v>2</v>
      </c>
      <c r="B15" s="80">
        <v>2314</v>
      </c>
      <c r="C15" s="99">
        <v>600080358</v>
      </c>
      <c r="D15" s="80">
        <v>46745751</v>
      </c>
      <c r="E15" s="80" t="s">
        <v>743</v>
      </c>
      <c r="F15" s="100">
        <v>3114</v>
      </c>
      <c r="G15" s="44" t="s">
        <v>313</v>
      </c>
      <c r="H15" s="101" t="s">
        <v>277</v>
      </c>
      <c r="I15" s="477">
        <v>2467993</v>
      </c>
      <c r="J15" s="631">
        <v>1817374</v>
      </c>
      <c r="K15" s="631">
        <v>0</v>
      </c>
      <c r="L15" s="472">
        <v>614272</v>
      </c>
      <c r="M15" s="472">
        <v>36347</v>
      </c>
      <c r="N15" s="472">
        <v>0</v>
      </c>
      <c r="O15" s="473">
        <v>4.5552999999999999</v>
      </c>
      <c r="P15" s="474">
        <v>4.5552999999999999</v>
      </c>
      <c r="Q15" s="670">
        <v>0</v>
      </c>
      <c r="R15" s="485">
        <f t="shared" si="9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0"/>
        <v>0</v>
      </c>
      <c r="Y15" s="475">
        <v>0</v>
      </c>
      <c r="Z15" s="475">
        <v>0</v>
      </c>
      <c r="AA15" s="475">
        <v>0</v>
      </c>
      <c r="AB15" s="475">
        <f t="shared" si="11"/>
        <v>0</v>
      </c>
      <c r="AC15" s="475">
        <f t="shared" si="12"/>
        <v>0</v>
      </c>
      <c r="AD15" s="70">
        <f t="shared" si="13"/>
        <v>0</v>
      </c>
      <c r="AE15" s="70">
        <f t="shared" si="14"/>
        <v>0</v>
      </c>
      <c r="AF15" s="475">
        <v>0</v>
      </c>
      <c r="AG15" s="475">
        <v>0</v>
      </c>
      <c r="AH15" s="475">
        <f t="shared" si="15"/>
        <v>0</v>
      </c>
      <c r="AI15" s="475">
        <f t="shared" si="16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 t="shared" si="17"/>
        <v>0</v>
      </c>
      <c r="AS15" s="476">
        <f t="shared" si="18"/>
        <v>0</v>
      </c>
      <c r="AT15" s="478">
        <f t="shared" si="19"/>
        <v>0</v>
      </c>
      <c r="AU15" s="484">
        <f>I15+AI15</f>
        <v>2467993</v>
      </c>
      <c r="AV15" s="475">
        <f>J15+X15</f>
        <v>1817374</v>
      </c>
      <c r="AW15" s="475">
        <f>K15+AB15</f>
        <v>0</v>
      </c>
      <c r="AX15" s="475">
        <f t="shared" si="20"/>
        <v>614272</v>
      </c>
      <c r="AY15" s="475">
        <f t="shared" si="20"/>
        <v>36347</v>
      </c>
      <c r="AZ15" s="475">
        <f>N15+AH15</f>
        <v>0</v>
      </c>
      <c r="BA15" s="476">
        <f>O15+AT15</f>
        <v>4.5552999999999999</v>
      </c>
      <c r="BB15" s="476">
        <f t="shared" si="21"/>
        <v>4.5552999999999999</v>
      </c>
      <c r="BC15" s="478">
        <f t="shared" si="21"/>
        <v>0</v>
      </c>
    </row>
    <row r="16" spans="1:55" s="102" customFormat="1" ht="14.1" customHeight="1" x14ac:dyDescent="0.2">
      <c r="A16" s="125">
        <v>2</v>
      </c>
      <c r="B16" s="80">
        <v>2314</v>
      </c>
      <c r="C16" s="99">
        <v>600080358</v>
      </c>
      <c r="D16" s="80">
        <v>46745751</v>
      </c>
      <c r="E16" s="80" t="s">
        <v>743</v>
      </c>
      <c r="F16" s="100">
        <v>3114</v>
      </c>
      <c r="G16" s="44" t="s">
        <v>312</v>
      </c>
      <c r="H16" s="101" t="s">
        <v>278</v>
      </c>
      <c r="I16" s="477">
        <v>0</v>
      </c>
      <c r="J16" s="472">
        <v>0</v>
      </c>
      <c r="K16" s="472">
        <v>0</v>
      </c>
      <c r="L16" s="472">
        <v>0</v>
      </c>
      <c r="M16" s="472">
        <v>0</v>
      </c>
      <c r="N16" s="472">
        <v>0</v>
      </c>
      <c r="O16" s="473">
        <v>0</v>
      </c>
      <c r="P16" s="474">
        <v>0</v>
      </c>
      <c r="Q16" s="483">
        <v>0</v>
      </c>
      <c r="R16" s="485">
        <f t="shared" si="9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0"/>
        <v>0</v>
      </c>
      <c r="Y16" s="475">
        <v>0</v>
      </c>
      <c r="Z16" s="475">
        <v>0</v>
      </c>
      <c r="AA16" s="475">
        <v>0</v>
      </c>
      <c r="AB16" s="475">
        <f t="shared" si="11"/>
        <v>0</v>
      </c>
      <c r="AC16" s="475">
        <f t="shared" si="12"/>
        <v>0</v>
      </c>
      <c r="AD16" s="70">
        <f t="shared" si="13"/>
        <v>0</v>
      </c>
      <c r="AE16" s="70">
        <f t="shared" si="14"/>
        <v>0</v>
      </c>
      <c r="AF16" s="475">
        <v>2000</v>
      </c>
      <c r="AG16" s="475">
        <v>0</v>
      </c>
      <c r="AH16" s="475">
        <f t="shared" si="15"/>
        <v>2000</v>
      </c>
      <c r="AI16" s="475">
        <f t="shared" si="16"/>
        <v>2000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 t="shared" si="17"/>
        <v>0</v>
      </c>
      <c r="AS16" s="476">
        <f t="shared" si="18"/>
        <v>0</v>
      </c>
      <c r="AT16" s="478">
        <f t="shared" si="19"/>
        <v>0</v>
      </c>
      <c r="AU16" s="484">
        <f>I16+AI16</f>
        <v>2000</v>
      </c>
      <c r="AV16" s="475">
        <f>J16+X16</f>
        <v>0</v>
      </c>
      <c r="AW16" s="475">
        <f>K16+AB16</f>
        <v>0</v>
      </c>
      <c r="AX16" s="475">
        <f t="shared" si="20"/>
        <v>0</v>
      </c>
      <c r="AY16" s="475">
        <f t="shared" si="20"/>
        <v>0</v>
      </c>
      <c r="AZ16" s="475">
        <f>N16+AH16</f>
        <v>2000</v>
      </c>
      <c r="BA16" s="476">
        <f>O16+AT16</f>
        <v>0</v>
      </c>
      <c r="BB16" s="476">
        <f t="shared" si="21"/>
        <v>0</v>
      </c>
      <c r="BC16" s="478">
        <f t="shared" si="21"/>
        <v>0</v>
      </c>
    </row>
    <row r="17" spans="1:55" s="102" customFormat="1" ht="14.1" customHeight="1" x14ac:dyDescent="0.2">
      <c r="A17" s="125">
        <v>2</v>
      </c>
      <c r="B17" s="80">
        <v>2314</v>
      </c>
      <c r="C17" s="99">
        <v>600080358</v>
      </c>
      <c r="D17" s="80">
        <v>46745751</v>
      </c>
      <c r="E17" s="80" t="s">
        <v>743</v>
      </c>
      <c r="F17" s="100">
        <v>3143</v>
      </c>
      <c r="G17" s="80" t="s">
        <v>626</v>
      </c>
      <c r="H17" s="101" t="s">
        <v>277</v>
      </c>
      <c r="I17" s="477">
        <v>434652</v>
      </c>
      <c r="J17" s="632">
        <v>320068</v>
      </c>
      <c r="K17" s="632">
        <v>0</v>
      </c>
      <c r="L17" s="472">
        <v>108183</v>
      </c>
      <c r="M17" s="472">
        <v>6401</v>
      </c>
      <c r="N17" s="472">
        <v>0</v>
      </c>
      <c r="O17" s="473">
        <v>0.68959999999999999</v>
      </c>
      <c r="P17" s="13">
        <v>0.68959999999999999</v>
      </c>
      <c r="Q17" s="483">
        <v>0</v>
      </c>
      <c r="R17" s="485">
        <f t="shared" si="9"/>
        <v>0</v>
      </c>
      <c r="S17" s="475">
        <v>0</v>
      </c>
      <c r="T17" s="475">
        <v>80450</v>
      </c>
      <c r="U17" s="475">
        <v>0</v>
      </c>
      <c r="V17" s="475">
        <v>0</v>
      </c>
      <c r="W17" s="475">
        <v>0</v>
      </c>
      <c r="X17" s="475">
        <f t="shared" si="10"/>
        <v>80450</v>
      </c>
      <c r="Y17" s="475">
        <v>0</v>
      </c>
      <c r="Z17" s="475">
        <v>0</v>
      </c>
      <c r="AA17" s="475">
        <v>0</v>
      </c>
      <c r="AB17" s="475">
        <f t="shared" si="11"/>
        <v>0</v>
      </c>
      <c r="AC17" s="475">
        <f t="shared" si="12"/>
        <v>80450</v>
      </c>
      <c r="AD17" s="70">
        <f t="shared" si="13"/>
        <v>27192</v>
      </c>
      <c r="AE17" s="70">
        <f t="shared" si="14"/>
        <v>1609</v>
      </c>
      <c r="AF17" s="475">
        <v>0</v>
      </c>
      <c r="AG17" s="475">
        <v>0</v>
      </c>
      <c r="AH17" s="475">
        <f t="shared" si="15"/>
        <v>0</v>
      </c>
      <c r="AI17" s="475">
        <f t="shared" si="16"/>
        <v>109251</v>
      </c>
      <c r="AJ17" s="476">
        <v>0</v>
      </c>
      <c r="AK17" s="476">
        <v>0</v>
      </c>
      <c r="AL17" s="476">
        <v>0</v>
      </c>
      <c r="AM17" s="476">
        <v>0.17</v>
      </c>
      <c r="AN17" s="476">
        <v>0</v>
      </c>
      <c r="AO17" s="476">
        <v>0</v>
      </c>
      <c r="AP17" s="476">
        <v>0</v>
      </c>
      <c r="AQ17" s="476">
        <v>0</v>
      </c>
      <c r="AR17" s="476">
        <f t="shared" si="17"/>
        <v>0.17</v>
      </c>
      <c r="AS17" s="476">
        <f t="shared" si="18"/>
        <v>0</v>
      </c>
      <c r="AT17" s="478">
        <f t="shared" si="19"/>
        <v>0.17</v>
      </c>
      <c r="AU17" s="484">
        <f>I17+AI17</f>
        <v>543903</v>
      </c>
      <c r="AV17" s="475">
        <f>J17+X17</f>
        <v>400518</v>
      </c>
      <c r="AW17" s="475">
        <f>K17+AB17</f>
        <v>0</v>
      </c>
      <c r="AX17" s="475">
        <f t="shared" si="20"/>
        <v>135375</v>
      </c>
      <c r="AY17" s="475">
        <f t="shared" si="20"/>
        <v>8010</v>
      </c>
      <c r="AZ17" s="475">
        <f>N17+AH17</f>
        <v>0</v>
      </c>
      <c r="BA17" s="476">
        <f>O17+AT17</f>
        <v>0.85960000000000003</v>
      </c>
      <c r="BB17" s="476">
        <f t="shared" si="21"/>
        <v>0.85960000000000003</v>
      </c>
      <c r="BC17" s="478">
        <f t="shared" si="21"/>
        <v>0</v>
      </c>
    </row>
    <row r="18" spans="1:55" s="102" customFormat="1" ht="14.1" customHeight="1" x14ac:dyDescent="0.2">
      <c r="A18" s="125">
        <v>2</v>
      </c>
      <c r="B18" s="80">
        <v>2314</v>
      </c>
      <c r="C18" s="99">
        <v>600080358</v>
      </c>
      <c r="D18" s="80">
        <v>46745751</v>
      </c>
      <c r="E18" s="80" t="s">
        <v>743</v>
      </c>
      <c r="F18" s="100">
        <v>3143</v>
      </c>
      <c r="G18" s="80" t="s">
        <v>627</v>
      </c>
      <c r="H18" s="101" t="s">
        <v>278</v>
      </c>
      <c r="I18" s="477">
        <v>10585</v>
      </c>
      <c r="J18" s="631">
        <v>7485</v>
      </c>
      <c r="K18" s="631">
        <v>0</v>
      </c>
      <c r="L18" s="472">
        <v>2530</v>
      </c>
      <c r="M18" s="472">
        <v>150</v>
      </c>
      <c r="N18" s="631">
        <v>420</v>
      </c>
      <c r="O18" s="473">
        <v>0.03</v>
      </c>
      <c r="P18" s="474">
        <v>0</v>
      </c>
      <c r="Q18" s="670">
        <v>0.03</v>
      </c>
      <c r="R18" s="485">
        <f t="shared" si="9"/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10"/>
        <v>0</v>
      </c>
      <c r="Y18" s="475">
        <v>0</v>
      </c>
      <c r="Z18" s="475">
        <v>0</v>
      </c>
      <c r="AA18" s="475">
        <v>0</v>
      </c>
      <c r="AB18" s="475">
        <f t="shared" si="11"/>
        <v>0</v>
      </c>
      <c r="AC18" s="475">
        <f t="shared" si="12"/>
        <v>0</v>
      </c>
      <c r="AD18" s="70">
        <f t="shared" si="13"/>
        <v>0</v>
      </c>
      <c r="AE18" s="70">
        <f t="shared" si="14"/>
        <v>0</v>
      </c>
      <c r="AF18" s="475">
        <v>0</v>
      </c>
      <c r="AG18" s="475">
        <v>0</v>
      </c>
      <c r="AH18" s="475">
        <f t="shared" si="15"/>
        <v>0</v>
      </c>
      <c r="AI18" s="475">
        <f t="shared" si="16"/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476">
        <f t="shared" si="17"/>
        <v>0</v>
      </c>
      <c r="AS18" s="476">
        <f t="shared" si="18"/>
        <v>0</v>
      </c>
      <c r="AT18" s="478">
        <f t="shared" si="19"/>
        <v>0</v>
      </c>
      <c r="AU18" s="484">
        <f>I18+AI18</f>
        <v>10585</v>
      </c>
      <c r="AV18" s="475">
        <f>J18+X18</f>
        <v>7485</v>
      </c>
      <c r="AW18" s="475">
        <f>K18+AB18</f>
        <v>0</v>
      </c>
      <c r="AX18" s="475">
        <f t="shared" si="20"/>
        <v>2530</v>
      </c>
      <c r="AY18" s="475">
        <f t="shared" si="20"/>
        <v>150</v>
      </c>
      <c r="AZ18" s="475">
        <f>N18+AH18</f>
        <v>420</v>
      </c>
      <c r="BA18" s="476">
        <f>O18+AT18</f>
        <v>0.03</v>
      </c>
      <c r="BB18" s="476">
        <f t="shared" si="21"/>
        <v>0</v>
      </c>
      <c r="BC18" s="478">
        <f t="shared" si="21"/>
        <v>0.03</v>
      </c>
    </row>
    <row r="19" spans="1:55" s="102" customFormat="1" ht="14.1" customHeight="1" x14ac:dyDescent="0.2">
      <c r="A19" s="126">
        <v>2</v>
      </c>
      <c r="B19" s="103">
        <v>2314</v>
      </c>
      <c r="C19" s="104">
        <v>600080358</v>
      </c>
      <c r="D19" s="103">
        <v>46745751</v>
      </c>
      <c r="E19" s="103" t="s">
        <v>744</v>
      </c>
      <c r="F19" s="105"/>
      <c r="G19" s="106"/>
      <c r="H19" s="107"/>
      <c r="I19" s="505">
        <v>14147397</v>
      </c>
      <c r="J19" s="501">
        <v>10256114</v>
      </c>
      <c r="K19" s="501">
        <v>65750</v>
      </c>
      <c r="L19" s="501">
        <v>3488791</v>
      </c>
      <c r="M19" s="501">
        <v>205122</v>
      </c>
      <c r="N19" s="501">
        <v>131620</v>
      </c>
      <c r="O19" s="502">
        <v>19.862200000000001</v>
      </c>
      <c r="P19" s="502">
        <v>15.8439</v>
      </c>
      <c r="Q19" s="507">
        <v>4.0183</v>
      </c>
      <c r="R19" s="505">
        <f t="shared" ref="R19:BC19" si="22">SUM(R14:R18)</f>
        <v>0</v>
      </c>
      <c r="S19" s="501">
        <f t="shared" si="22"/>
        <v>0</v>
      </c>
      <c r="T19" s="501">
        <f t="shared" si="22"/>
        <v>80450</v>
      </c>
      <c r="U19" s="501">
        <f t="shared" si="22"/>
        <v>0</v>
      </c>
      <c r="V19" s="501">
        <f t="shared" si="22"/>
        <v>0</v>
      </c>
      <c r="W19" s="501">
        <f t="shared" si="22"/>
        <v>0</v>
      </c>
      <c r="X19" s="501">
        <f t="shared" si="22"/>
        <v>80450</v>
      </c>
      <c r="Y19" s="501">
        <f t="shared" si="22"/>
        <v>0</v>
      </c>
      <c r="Z19" s="501">
        <f t="shared" si="22"/>
        <v>0</v>
      </c>
      <c r="AA19" s="501">
        <f t="shared" si="22"/>
        <v>0</v>
      </c>
      <c r="AB19" s="501">
        <f t="shared" si="22"/>
        <v>0</v>
      </c>
      <c r="AC19" s="501">
        <f t="shared" si="22"/>
        <v>80450</v>
      </c>
      <c r="AD19" s="501">
        <f t="shared" si="22"/>
        <v>27192</v>
      </c>
      <c r="AE19" s="501">
        <f t="shared" si="22"/>
        <v>1609</v>
      </c>
      <c r="AF19" s="501">
        <f t="shared" si="22"/>
        <v>2000</v>
      </c>
      <c r="AG19" s="501">
        <f t="shared" si="22"/>
        <v>0</v>
      </c>
      <c r="AH19" s="501">
        <f t="shared" si="22"/>
        <v>2000</v>
      </c>
      <c r="AI19" s="501">
        <f t="shared" si="22"/>
        <v>111251</v>
      </c>
      <c r="AJ19" s="502">
        <f t="shared" si="22"/>
        <v>0</v>
      </c>
      <c r="AK19" s="502">
        <f t="shared" si="22"/>
        <v>0</v>
      </c>
      <c r="AL19" s="502">
        <f t="shared" si="22"/>
        <v>0</v>
      </c>
      <c r="AM19" s="502">
        <f t="shared" si="22"/>
        <v>0.17</v>
      </c>
      <c r="AN19" s="502">
        <f t="shared" si="22"/>
        <v>0</v>
      </c>
      <c r="AO19" s="502">
        <f t="shared" si="22"/>
        <v>0</v>
      </c>
      <c r="AP19" s="502">
        <f t="shared" si="22"/>
        <v>0</v>
      </c>
      <c r="AQ19" s="502">
        <f t="shared" si="22"/>
        <v>0</v>
      </c>
      <c r="AR19" s="502">
        <f t="shared" si="22"/>
        <v>0.17</v>
      </c>
      <c r="AS19" s="502">
        <f t="shared" si="22"/>
        <v>0</v>
      </c>
      <c r="AT19" s="109">
        <f t="shared" si="22"/>
        <v>0.17</v>
      </c>
      <c r="AU19" s="509">
        <f t="shared" si="22"/>
        <v>14258648</v>
      </c>
      <c r="AV19" s="501">
        <f t="shared" si="22"/>
        <v>10336564</v>
      </c>
      <c r="AW19" s="501">
        <f t="shared" si="22"/>
        <v>65750</v>
      </c>
      <c r="AX19" s="501">
        <f t="shared" si="22"/>
        <v>3515983</v>
      </c>
      <c r="AY19" s="501">
        <f t="shared" si="22"/>
        <v>206731</v>
      </c>
      <c r="AZ19" s="501">
        <f t="shared" si="22"/>
        <v>133620</v>
      </c>
      <c r="BA19" s="502">
        <f t="shared" si="22"/>
        <v>20.032200000000003</v>
      </c>
      <c r="BB19" s="502">
        <f t="shared" si="22"/>
        <v>16.0139</v>
      </c>
      <c r="BC19" s="109">
        <f t="shared" si="22"/>
        <v>4.0183</v>
      </c>
    </row>
    <row r="20" spans="1:55" s="102" customFormat="1" ht="14.1" customHeight="1" x14ac:dyDescent="0.2">
      <c r="A20" s="125">
        <v>3</v>
      </c>
      <c r="B20" s="108">
        <v>2448</v>
      </c>
      <c r="C20" s="99">
        <v>600080269</v>
      </c>
      <c r="D20" s="80">
        <v>63154617</v>
      </c>
      <c r="E20" s="80" t="s">
        <v>745</v>
      </c>
      <c r="F20" s="100">
        <v>3111</v>
      </c>
      <c r="G20" s="80" t="s">
        <v>311</v>
      </c>
      <c r="H20" s="101" t="s">
        <v>277</v>
      </c>
      <c r="I20" s="477">
        <v>16155634</v>
      </c>
      <c r="J20" s="631">
        <v>11618067</v>
      </c>
      <c r="K20" s="631">
        <v>200000</v>
      </c>
      <c r="L20" s="472">
        <v>3994506</v>
      </c>
      <c r="M20" s="472">
        <v>232361</v>
      </c>
      <c r="N20" s="631">
        <v>110700</v>
      </c>
      <c r="O20" s="473">
        <v>25.528300000000002</v>
      </c>
      <c r="P20" s="474">
        <v>20.439999999999998</v>
      </c>
      <c r="Q20" s="670">
        <v>5.0883000000000003</v>
      </c>
      <c r="R20" s="485">
        <f t="shared" ref="R20:R27" si="23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ref="X20:X27" si="24">SUM(R20:W20)</f>
        <v>0</v>
      </c>
      <c r="Y20" s="475">
        <v>0</v>
      </c>
      <c r="Z20" s="475">
        <v>0</v>
      </c>
      <c r="AA20" s="475">
        <v>0</v>
      </c>
      <c r="AB20" s="475">
        <f t="shared" ref="AB20:AB27" si="25">SUM(Y20:AA20)</f>
        <v>0</v>
      </c>
      <c r="AC20" s="475">
        <f t="shared" ref="AC20:AC27" si="26">X20+AB20</f>
        <v>0</v>
      </c>
      <c r="AD20" s="70">
        <f t="shared" ref="AD20:AD27" si="27">ROUND((X20+Y20+Z20)*33.8%,0)</f>
        <v>0</v>
      </c>
      <c r="AE20" s="70">
        <f t="shared" ref="AE20:AE27" si="28">ROUND(X20*2%,0)</f>
        <v>0</v>
      </c>
      <c r="AF20" s="475">
        <v>0</v>
      </c>
      <c r="AG20" s="475">
        <v>0</v>
      </c>
      <c r="AH20" s="475">
        <f t="shared" ref="AH20:AH27" si="29">SUM(AF20:AG20)</f>
        <v>0</v>
      </c>
      <c r="AI20" s="475">
        <f t="shared" ref="AI20:AI27" si="30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 t="shared" si="17"/>
        <v>0</v>
      </c>
      <c r="AS20" s="476">
        <f t="shared" si="18"/>
        <v>0</v>
      </c>
      <c r="AT20" s="478">
        <f t="shared" si="19"/>
        <v>0</v>
      </c>
      <c r="AU20" s="484">
        <f t="shared" ref="AU20:AU27" si="31">I20+AI20</f>
        <v>16155634</v>
      </c>
      <c r="AV20" s="475">
        <f t="shared" ref="AV20:AV27" si="32">J20+X20</f>
        <v>11618067</v>
      </c>
      <c r="AW20" s="475">
        <f t="shared" ref="AW20:AW27" si="33">K20+AB20</f>
        <v>200000</v>
      </c>
      <c r="AX20" s="475">
        <f t="shared" ref="AX20:AY27" si="34">L20+AD20</f>
        <v>3994506</v>
      </c>
      <c r="AY20" s="475">
        <f t="shared" si="34"/>
        <v>232361</v>
      </c>
      <c r="AZ20" s="475">
        <f t="shared" ref="AZ20:AZ27" si="35">N20+AH20</f>
        <v>110700</v>
      </c>
      <c r="BA20" s="476">
        <f t="shared" ref="BA20:BA27" si="36">O20+AT20</f>
        <v>25.528300000000002</v>
      </c>
      <c r="BB20" s="476">
        <f t="shared" ref="BB20:BC27" si="37">P20+AR20</f>
        <v>20.439999999999998</v>
      </c>
      <c r="BC20" s="478">
        <f t="shared" si="37"/>
        <v>5.0883000000000003</v>
      </c>
    </row>
    <row r="21" spans="1:55" s="102" customFormat="1" ht="14.1" customHeight="1" x14ac:dyDescent="0.2">
      <c r="A21" s="125">
        <v>3</v>
      </c>
      <c r="B21" s="108">
        <v>2448</v>
      </c>
      <c r="C21" s="99">
        <v>600080269</v>
      </c>
      <c r="D21" s="80">
        <v>63154617</v>
      </c>
      <c r="E21" s="80" t="s">
        <v>745</v>
      </c>
      <c r="F21" s="100">
        <v>3113</v>
      </c>
      <c r="G21" s="80" t="s">
        <v>314</v>
      </c>
      <c r="H21" s="101" t="s">
        <v>277</v>
      </c>
      <c r="I21" s="477">
        <v>59318130</v>
      </c>
      <c r="J21" s="631">
        <v>42366716</v>
      </c>
      <c r="K21" s="631">
        <v>324088</v>
      </c>
      <c r="L21" s="472">
        <v>14404451</v>
      </c>
      <c r="M21" s="472">
        <v>847335</v>
      </c>
      <c r="N21" s="631">
        <v>1375540</v>
      </c>
      <c r="O21" s="473">
        <v>76.2072</v>
      </c>
      <c r="P21" s="474">
        <v>58.368000000000002</v>
      </c>
      <c r="Q21" s="670">
        <v>17.839199999999998</v>
      </c>
      <c r="R21" s="485">
        <f t="shared" si="23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4"/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 t="shared" si="17"/>
        <v>0</v>
      </c>
      <c r="AS21" s="476">
        <f t="shared" si="18"/>
        <v>0</v>
      </c>
      <c r="AT21" s="478">
        <f t="shared" si="19"/>
        <v>0</v>
      </c>
      <c r="AU21" s="484">
        <f t="shared" si="31"/>
        <v>59318130</v>
      </c>
      <c r="AV21" s="475">
        <f t="shared" si="32"/>
        <v>42366716</v>
      </c>
      <c r="AW21" s="475">
        <f t="shared" si="33"/>
        <v>324088</v>
      </c>
      <c r="AX21" s="475">
        <f t="shared" si="34"/>
        <v>14404451</v>
      </c>
      <c r="AY21" s="475">
        <f t="shared" si="34"/>
        <v>847335</v>
      </c>
      <c r="AZ21" s="475">
        <f t="shared" si="35"/>
        <v>1375540</v>
      </c>
      <c r="BA21" s="476">
        <f t="shared" si="36"/>
        <v>76.2072</v>
      </c>
      <c r="BB21" s="476">
        <f t="shared" si="37"/>
        <v>58.368000000000002</v>
      </c>
      <c r="BC21" s="478">
        <f t="shared" si="37"/>
        <v>17.839199999999998</v>
      </c>
    </row>
    <row r="22" spans="1:55" s="102" customFormat="1" ht="14.1" customHeight="1" x14ac:dyDescent="0.2">
      <c r="A22" s="125">
        <v>3</v>
      </c>
      <c r="B22" s="80">
        <v>2448</v>
      </c>
      <c r="C22" s="99">
        <v>600080269</v>
      </c>
      <c r="D22" s="80">
        <v>63154617</v>
      </c>
      <c r="E22" s="80" t="s">
        <v>745</v>
      </c>
      <c r="F22" s="100">
        <v>3113</v>
      </c>
      <c r="G22" s="80" t="s">
        <v>312</v>
      </c>
      <c r="H22" s="101" t="s">
        <v>278</v>
      </c>
      <c r="I22" s="477">
        <v>7871319</v>
      </c>
      <c r="J22" s="472">
        <v>5782451</v>
      </c>
      <c r="K22" s="472">
        <v>0</v>
      </c>
      <c r="L22" s="472">
        <v>1954469</v>
      </c>
      <c r="M22" s="472">
        <v>115649</v>
      </c>
      <c r="N22" s="472">
        <v>18750</v>
      </c>
      <c r="O22" s="473">
        <v>16.62</v>
      </c>
      <c r="P22" s="474">
        <v>16.62</v>
      </c>
      <c r="Q22" s="483">
        <v>0</v>
      </c>
      <c r="R22" s="485">
        <f t="shared" si="23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24"/>
        <v>0</v>
      </c>
      <c r="Y22" s="475">
        <v>0</v>
      </c>
      <c r="Z22" s="475">
        <v>0</v>
      </c>
      <c r="AA22" s="475">
        <v>0</v>
      </c>
      <c r="AB22" s="475">
        <f t="shared" si="25"/>
        <v>0</v>
      </c>
      <c r="AC22" s="475">
        <f t="shared" si="26"/>
        <v>0</v>
      </c>
      <c r="AD22" s="70">
        <f t="shared" si="27"/>
        <v>0</v>
      </c>
      <c r="AE22" s="70">
        <f t="shared" si="28"/>
        <v>0</v>
      </c>
      <c r="AF22" s="475">
        <v>3250</v>
      </c>
      <c r="AG22" s="475">
        <v>0</v>
      </c>
      <c r="AH22" s="475">
        <f t="shared" si="29"/>
        <v>3250</v>
      </c>
      <c r="AI22" s="475">
        <f t="shared" si="30"/>
        <v>3250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 t="shared" si="17"/>
        <v>0</v>
      </c>
      <c r="AS22" s="476">
        <f t="shared" si="18"/>
        <v>0</v>
      </c>
      <c r="AT22" s="478">
        <f t="shared" si="19"/>
        <v>0</v>
      </c>
      <c r="AU22" s="484">
        <f t="shared" si="31"/>
        <v>7874569</v>
      </c>
      <c r="AV22" s="475">
        <f t="shared" si="32"/>
        <v>5782451</v>
      </c>
      <c r="AW22" s="475">
        <f t="shared" si="33"/>
        <v>0</v>
      </c>
      <c r="AX22" s="475">
        <f t="shared" si="34"/>
        <v>1954469</v>
      </c>
      <c r="AY22" s="475">
        <f t="shared" si="34"/>
        <v>115649</v>
      </c>
      <c r="AZ22" s="475">
        <f t="shared" si="35"/>
        <v>22000</v>
      </c>
      <c r="BA22" s="476">
        <f t="shared" si="36"/>
        <v>16.62</v>
      </c>
      <c r="BB22" s="476">
        <f t="shared" si="37"/>
        <v>16.62</v>
      </c>
      <c r="BC22" s="478">
        <f t="shared" si="37"/>
        <v>0</v>
      </c>
    </row>
    <row r="23" spans="1:55" s="102" customFormat="1" ht="14.1" customHeight="1" x14ac:dyDescent="0.2">
      <c r="A23" s="125">
        <v>3</v>
      </c>
      <c r="B23" s="108">
        <v>2448</v>
      </c>
      <c r="C23" s="99">
        <v>600080269</v>
      </c>
      <c r="D23" s="80">
        <v>63154617</v>
      </c>
      <c r="E23" s="108" t="s">
        <v>745</v>
      </c>
      <c r="F23" s="100">
        <v>3141</v>
      </c>
      <c r="G23" s="80" t="s">
        <v>315</v>
      </c>
      <c r="H23" s="101" t="s">
        <v>278</v>
      </c>
      <c r="I23" s="477">
        <v>4124751</v>
      </c>
      <c r="J23" s="631">
        <v>2965812</v>
      </c>
      <c r="K23" s="631">
        <v>50000</v>
      </c>
      <c r="L23" s="472">
        <v>1019344</v>
      </c>
      <c r="M23" s="472">
        <v>59317</v>
      </c>
      <c r="N23" s="631">
        <v>30278</v>
      </c>
      <c r="O23" s="473">
        <v>9.5</v>
      </c>
      <c r="P23" s="474">
        <v>0</v>
      </c>
      <c r="Q23" s="670">
        <v>9.5</v>
      </c>
      <c r="R23" s="485">
        <f t="shared" si="23"/>
        <v>0</v>
      </c>
      <c r="S23" s="475">
        <v>0</v>
      </c>
      <c r="T23" s="755">
        <v>25128</v>
      </c>
      <c r="U23" s="475">
        <v>0</v>
      </c>
      <c r="V23" s="475">
        <v>0</v>
      </c>
      <c r="W23" s="475">
        <v>0</v>
      </c>
      <c r="X23" s="475">
        <f t="shared" si="24"/>
        <v>25128</v>
      </c>
      <c r="Y23" s="475">
        <v>0</v>
      </c>
      <c r="Z23" s="475">
        <v>0</v>
      </c>
      <c r="AA23" s="475">
        <v>0</v>
      </c>
      <c r="AB23" s="475">
        <f t="shared" si="25"/>
        <v>0</v>
      </c>
      <c r="AC23" s="475">
        <f t="shared" si="26"/>
        <v>25128</v>
      </c>
      <c r="AD23" s="70">
        <f t="shared" si="27"/>
        <v>8493</v>
      </c>
      <c r="AE23" s="70">
        <f t="shared" si="28"/>
        <v>503</v>
      </c>
      <c r="AF23" s="475">
        <v>0</v>
      </c>
      <c r="AG23" s="475">
        <v>0</v>
      </c>
      <c r="AH23" s="475">
        <f t="shared" si="29"/>
        <v>0</v>
      </c>
      <c r="AI23" s="475">
        <f t="shared" si="30"/>
        <v>34124</v>
      </c>
      <c r="AJ23" s="476">
        <v>0</v>
      </c>
      <c r="AK23" s="476">
        <v>0</v>
      </c>
      <c r="AL23" s="476">
        <v>0</v>
      </c>
      <c r="AM23" s="476">
        <v>0</v>
      </c>
      <c r="AN23" s="756">
        <v>8.0000000000000071E-2</v>
      </c>
      <c r="AO23" s="476">
        <v>0</v>
      </c>
      <c r="AP23" s="476">
        <v>0</v>
      </c>
      <c r="AQ23" s="476">
        <v>0</v>
      </c>
      <c r="AR23" s="476">
        <f t="shared" si="17"/>
        <v>0</v>
      </c>
      <c r="AS23" s="476">
        <f t="shared" si="18"/>
        <v>8.0000000000000071E-2</v>
      </c>
      <c r="AT23" s="478">
        <f t="shared" si="19"/>
        <v>8.0000000000000071E-2</v>
      </c>
      <c r="AU23" s="484">
        <f t="shared" si="31"/>
        <v>4158875</v>
      </c>
      <c r="AV23" s="475">
        <f t="shared" si="32"/>
        <v>2990940</v>
      </c>
      <c r="AW23" s="475">
        <f t="shared" si="33"/>
        <v>50000</v>
      </c>
      <c r="AX23" s="475">
        <f t="shared" si="34"/>
        <v>1027837</v>
      </c>
      <c r="AY23" s="475">
        <f t="shared" si="34"/>
        <v>59820</v>
      </c>
      <c r="AZ23" s="475">
        <f t="shared" si="35"/>
        <v>30278</v>
      </c>
      <c r="BA23" s="476">
        <f t="shared" si="36"/>
        <v>9.58</v>
      </c>
      <c r="BB23" s="476">
        <f t="shared" si="37"/>
        <v>0</v>
      </c>
      <c r="BC23" s="478">
        <f t="shared" si="37"/>
        <v>9.58</v>
      </c>
    </row>
    <row r="24" spans="1:55" s="102" customFormat="1" ht="14.1" customHeight="1" x14ac:dyDescent="0.2">
      <c r="A24" s="125">
        <v>3</v>
      </c>
      <c r="B24" s="80">
        <v>2448</v>
      </c>
      <c r="C24" s="99">
        <v>600080269</v>
      </c>
      <c r="D24" s="80">
        <v>63154617</v>
      </c>
      <c r="E24" s="80" t="s">
        <v>745</v>
      </c>
      <c r="F24" s="100">
        <v>3143</v>
      </c>
      <c r="G24" s="80" t="s">
        <v>626</v>
      </c>
      <c r="H24" s="101" t="s">
        <v>277</v>
      </c>
      <c r="I24" s="477">
        <v>4362320</v>
      </c>
      <c r="J24" s="632">
        <v>3129549</v>
      </c>
      <c r="K24" s="632">
        <v>84000</v>
      </c>
      <c r="L24" s="472">
        <v>1086180</v>
      </c>
      <c r="M24" s="472">
        <v>62591</v>
      </c>
      <c r="N24" s="472">
        <v>0</v>
      </c>
      <c r="O24" s="473">
        <v>6.1400000000000006</v>
      </c>
      <c r="P24" s="13">
        <v>6.1400000000000006</v>
      </c>
      <c r="Q24" s="483">
        <v>0</v>
      </c>
      <c r="R24" s="485">
        <f t="shared" si="23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24"/>
        <v>0</v>
      </c>
      <c r="Y24" s="475">
        <v>0</v>
      </c>
      <c r="Z24" s="475">
        <v>0</v>
      </c>
      <c r="AA24" s="475">
        <v>0</v>
      </c>
      <c r="AB24" s="475">
        <f t="shared" si="25"/>
        <v>0</v>
      </c>
      <c r="AC24" s="475">
        <f t="shared" si="26"/>
        <v>0</v>
      </c>
      <c r="AD24" s="70">
        <f t="shared" si="27"/>
        <v>0</v>
      </c>
      <c r="AE24" s="70">
        <f t="shared" si="28"/>
        <v>0</v>
      </c>
      <c r="AF24" s="475">
        <v>0</v>
      </c>
      <c r="AG24" s="475">
        <v>0</v>
      </c>
      <c r="AH24" s="475">
        <f t="shared" si="29"/>
        <v>0</v>
      </c>
      <c r="AI24" s="475">
        <f t="shared" si="30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 t="shared" si="17"/>
        <v>0</v>
      </c>
      <c r="AS24" s="476">
        <f t="shared" si="18"/>
        <v>0</v>
      </c>
      <c r="AT24" s="478">
        <f t="shared" si="19"/>
        <v>0</v>
      </c>
      <c r="AU24" s="484">
        <f t="shared" si="31"/>
        <v>4362320</v>
      </c>
      <c r="AV24" s="475">
        <f t="shared" si="32"/>
        <v>3129549</v>
      </c>
      <c r="AW24" s="475">
        <f t="shared" si="33"/>
        <v>84000</v>
      </c>
      <c r="AX24" s="475">
        <f t="shared" si="34"/>
        <v>1086180</v>
      </c>
      <c r="AY24" s="475">
        <f t="shared" si="34"/>
        <v>62591</v>
      </c>
      <c r="AZ24" s="475">
        <f t="shared" si="35"/>
        <v>0</v>
      </c>
      <c r="BA24" s="476">
        <f t="shared" si="36"/>
        <v>6.1400000000000006</v>
      </c>
      <c r="BB24" s="476">
        <f t="shared" si="37"/>
        <v>6.1400000000000006</v>
      </c>
      <c r="BC24" s="478">
        <f t="shared" si="37"/>
        <v>0</v>
      </c>
    </row>
    <row r="25" spans="1:55" s="102" customFormat="1" ht="14.1" customHeight="1" x14ac:dyDescent="0.2">
      <c r="A25" s="125">
        <v>3</v>
      </c>
      <c r="B25" s="80">
        <v>2448</v>
      </c>
      <c r="C25" s="99">
        <v>600080269</v>
      </c>
      <c r="D25" s="80">
        <v>63154617</v>
      </c>
      <c r="E25" s="80" t="s">
        <v>745</v>
      </c>
      <c r="F25" s="100">
        <v>3143</v>
      </c>
      <c r="G25" s="80" t="s">
        <v>627</v>
      </c>
      <c r="H25" s="101" t="s">
        <v>278</v>
      </c>
      <c r="I25" s="477">
        <v>161028</v>
      </c>
      <c r="J25" s="631">
        <v>113872</v>
      </c>
      <c r="K25" s="631">
        <v>0</v>
      </c>
      <c r="L25" s="472">
        <v>38489</v>
      </c>
      <c r="M25" s="472">
        <v>2277</v>
      </c>
      <c r="N25" s="631">
        <v>6390</v>
      </c>
      <c r="O25" s="473">
        <v>0.44</v>
      </c>
      <c r="P25" s="474">
        <v>0</v>
      </c>
      <c r="Q25" s="670">
        <v>0.44</v>
      </c>
      <c r="R25" s="485">
        <f t="shared" si="23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24"/>
        <v>0</v>
      </c>
      <c r="Y25" s="475">
        <v>0</v>
      </c>
      <c r="Z25" s="475">
        <v>0</v>
      </c>
      <c r="AA25" s="475">
        <v>0</v>
      </c>
      <c r="AB25" s="475">
        <f t="shared" si="25"/>
        <v>0</v>
      </c>
      <c r="AC25" s="475">
        <f t="shared" si="26"/>
        <v>0</v>
      </c>
      <c r="AD25" s="70">
        <f t="shared" si="27"/>
        <v>0</v>
      </c>
      <c r="AE25" s="70">
        <f t="shared" si="28"/>
        <v>0</v>
      </c>
      <c r="AF25" s="475">
        <v>0</v>
      </c>
      <c r="AG25" s="475">
        <v>0</v>
      </c>
      <c r="AH25" s="475">
        <f t="shared" si="29"/>
        <v>0</v>
      </c>
      <c r="AI25" s="475">
        <f t="shared" si="30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 t="shared" si="17"/>
        <v>0</v>
      </c>
      <c r="AS25" s="476">
        <f t="shared" si="18"/>
        <v>0</v>
      </c>
      <c r="AT25" s="478">
        <f t="shared" si="19"/>
        <v>0</v>
      </c>
      <c r="AU25" s="484">
        <f t="shared" si="31"/>
        <v>161028</v>
      </c>
      <c r="AV25" s="475">
        <f t="shared" si="32"/>
        <v>113872</v>
      </c>
      <c r="AW25" s="475">
        <f t="shared" si="33"/>
        <v>0</v>
      </c>
      <c r="AX25" s="475">
        <f t="shared" si="34"/>
        <v>38489</v>
      </c>
      <c r="AY25" s="475">
        <f t="shared" si="34"/>
        <v>2277</v>
      </c>
      <c r="AZ25" s="475">
        <f t="shared" si="35"/>
        <v>6390</v>
      </c>
      <c r="BA25" s="476">
        <f t="shared" si="36"/>
        <v>0.44</v>
      </c>
      <c r="BB25" s="476">
        <f t="shared" si="37"/>
        <v>0</v>
      </c>
      <c r="BC25" s="478">
        <f t="shared" si="37"/>
        <v>0.44</v>
      </c>
    </row>
    <row r="26" spans="1:55" s="102" customFormat="1" ht="14.1" customHeight="1" x14ac:dyDescent="0.2">
      <c r="A26" s="125">
        <v>3</v>
      </c>
      <c r="B26" s="80">
        <v>2448</v>
      </c>
      <c r="C26" s="99">
        <v>600080269</v>
      </c>
      <c r="D26" s="80">
        <v>63154617</v>
      </c>
      <c r="E26" s="80" t="s">
        <v>745</v>
      </c>
      <c r="F26" s="100">
        <v>3231</v>
      </c>
      <c r="G26" s="80" t="s">
        <v>316</v>
      </c>
      <c r="H26" s="101" t="s">
        <v>277</v>
      </c>
      <c r="I26" s="477">
        <v>8439355</v>
      </c>
      <c r="J26" s="472">
        <v>6071267</v>
      </c>
      <c r="K26" s="472">
        <v>125000</v>
      </c>
      <c r="L26" s="472">
        <v>2094338</v>
      </c>
      <c r="M26" s="472">
        <v>121425</v>
      </c>
      <c r="N26" s="472">
        <v>27325</v>
      </c>
      <c r="O26" s="473">
        <v>11.401900000000001</v>
      </c>
      <c r="P26" s="474">
        <v>10.108600000000001</v>
      </c>
      <c r="Q26" s="483">
        <v>1.2932999999999999</v>
      </c>
      <c r="R26" s="485">
        <f t="shared" si="23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24"/>
        <v>0</v>
      </c>
      <c r="Y26" s="475">
        <v>0</v>
      </c>
      <c r="Z26" s="475">
        <v>0</v>
      </c>
      <c r="AA26" s="475">
        <v>0</v>
      </c>
      <c r="AB26" s="475">
        <f t="shared" si="25"/>
        <v>0</v>
      </c>
      <c r="AC26" s="475">
        <f t="shared" si="26"/>
        <v>0</v>
      </c>
      <c r="AD26" s="70">
        <f t="shared" si="27"/>
        <v>0</v>
      </c>
      <c r="AE26" s="70">
        <f t="shared" si="28"/>
        <v>0</v>
      </c>
      <c r="AF26" s="475">
        <v>0</v>
      </c>
      <c r="AG26" s="475">
        <v>0</v>
      </c>
      <c r="AH26" s="475">
        <f t="shared" si="29"/>
        <v>0</v>
      </c>
      <c r="AI26" s="475">
        <f t="shared" si="30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si="17"/>
        <v>0</v>
      </c>
      <c r="AS26" s="476">
        <f t="shared" si="18"/>
        <v>0</v>
      </c>
      <c r="AT26" s="478">
        <f t="shared" si="19"/>
        <v>0</v>
      </c>
      <c r="AU26" s="484">
        <f t="shared" si="31"/>
        <v>8439355</v>
      </c>
      <c r="AV26" s="475">
        <f t="shared" si="32"/>
        <v>6071267</v>
      </c>
      <c r="AW26" s="475">
        <f t="shared" si="33"/>
        <v>125000</v>
      </c>
      <c r="AX26" s="475">
        <f t="shared" si="34"/>
        <v>2094338</v>
      </c>
      <c r="AY26" s="475">
        <f t="shared" si="34"/>
        <v>121425</v>
      </c>
      <c r="AZ26" s="475">
        <f t="shared" si="35"/>
        <v>27325</v>
      </c>
      <c r="BA26" s="476">
        <f t="shared" si="36"/>
        <v>11.401900000000001</v>
      </c>
      <c r="BB26" s="476">
        <f t="shared" si="37"/>
        <v>10.108600000000001</v>
      </c>
      <c r="BC26" s="478">
        <f t="shared" si="37"/>
        <v>1.2932999999999999</v>
      </c>
    </row>
    <row r="27" spans="1:55" s="102" customFormat="1" ht="14.1" customHeight="1" x14ac:dyDescent="0.2">
      <c r="A27" s="125">
        <v>3</v>
      </c>
      <c r="B27" s="80">
        <v>2448</v>
      </c>
      <c r="C27" s="99">
        <v>600080269</v>
      </c>
      <c r="D27" s="80">
        <v>63154617</v>
      </c>
      <c r="E27" s="80" t="s">
        <v>745</v>
      </c>
      <c r="F27" s="100">
        <v>3233</v>
      </c>
      <c r="G27" s="80" t="s">
        <v>318</v>
      </c>
      <c r="H27" s="101" t="s">
        <v>278</v>
      </c>
      <c r="I27" s="477">
        <v>2157230</v>
      </c>
      <c r="J27" s="472">
        <v>1562767</v>
      </c>
      <c r="K27" s="472">
        <v>16000</v>
      </c>
      <c r="L27" s="472">
        <v>533623</v>
      </c>
      <c r="M27" s="472">
        <v>31255</v>
      </c>
      <c r="N27" s="472">
        <v>13585</v>
      </c>
      <c r="O27" s="473">
        <v>3.33</v>
      </c>
      <c r="P27" s="474">
        <v>2.37</v>
      </c>
      <c r="Q27" s="483">
        <v>0.96</v>
      </c>
      <c r="R27" s="485">
        <f t="shared" si="23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24"/>
        <v>0</v>
      </c>
      <c r="Y27" s="475">
        <v>0</v>
      </c>
      <c r="Z27" s="475">
        <v>0</v>
      </c>
      <c r="AA27" s="475">
        <v>0</v>
      </c>
      <c r="AB27" s="475">
        <f t="shared" si="25"/>
        <v>0</v>
      </c>
      <c r="AC27" s="475">
        <f t="shared" si="26"/>
        <v>0</v>
      </c>
      <c r="AD27" s="70">
        <f t="shared" si="27"/>
        <v>0</v>
      </c>
      <c r="AE27" s="70">
        <f t="shared" si="28"/>
        <v>0</v>
      </c>
      <c r="AF27" s="475">
        <v>0</v>
      </c>
      <c r="AG27" s="475">
        <v>0</v>
      </c>
      <c r="AH27" s="475">
        <f t="shared" si="29"/>
        <v>0</v>
      </c>
      <c r="AI27" s="475">
        <f t="shared" si="30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 t="shared" si="17"/>
        <v>0</v>
      </c>
      <c r="AS27" s="476">
        <f t="shared" si="18"/>
        <v>0</v>
      </c>
      <c r="AT27" s="478">
        <f t="shared" si="19"/>
        <v>0</v>
      </c>
      <c r="AU27" s="484">
        <f t="shared" si="31"/>
        <v>2157230</v>
      </c>
      <c r="AV27" s="475">
        <f t="shared" si="32"/>
        <v>1562767</v>
      </c>
      <c r="AW27" s="475">
        <f t="shared" si="33"/>
        <v>16000</v>
      </c>
      <c r="AX27" s="475">
        <f t="shared" si="34"/>
        <v>533623</v>
      </c>
      <c r="AY27" s="475">
        <f t="shared" si="34"/>
        <v>31255</v>
      </c>
      <c r="AZ27" s="475">
        <f t="shared" si="35"/>
        <v>13585</v>
      </c>
      <c r="BA27" s="476">
        <f t="shared" si="36"/>
        <v>3.33</v>
      </c>
      <c r="BB27" s="476">
        <f t="shared" si="37"/>
        <v>2.37</v>
      </c>
      <c r="BC27" s="478">
        <f t="shared" si="37"/>
        <v>0.96</v>
      </c>
    </row>
    <row r="28" spans="1:55" s="102" customFormat="1" ht="14.1" customHeight="1" x14ac:dyDescent="0.2">
      <c r="A28" s="126">
        <v>3</v>
      </c>
      <c r="B28" s="103">
        <v>2448</v>
      </c>
      <c r="C28" s="104">
        <v>600080269</v>
      </c>
      <c r="D28" s="103">
        <v>63154617</v>
      </c>
      <c r="E28" s="103" t="s">
        <v>746</v>
      </c>
      <c r="F28" s="105"/>
      <c r="G28" s="106"/>
      <c r="H28" s="107"/>
      <c r="I28" s="505">
        <v>102589767</v>
      </c>
      <c r="J28" s="501">
        <v>73610501</v>
      </c>
      <c r="K28" s="501">
        <v>799088</v>
      </c>
      <c r="L28" s="501">
        <v>25125400</v>
      </c>
      <c r="M28" s="501">
        <v>1472210</v>
      </c>
      <c r="N28" s="501">
        <v>1582568</v>
      </c>
      <c r="O28" s="502">
        <v>149.16740000000001</v>
      </c>
      <c r="P28" s="502">
        <v>114.0466</v>
      </c>
      <c r="Q28" s="507">
        <v>35.120799999999996</v>
      </c>
      <c r="R28" s="505">
        <f t="shared" ref="R28:BC28" si="38">SUM(R20:R27)</f>
        <v>0</v>
      </c>
      <c r="S28" s="501">
        <f t="shared" si="38"/>
        <v>0</v>
      </c>
      <c r="T28" s="501">
        <f t="shared" si="38"/>
        <v>25128</v>
      </c>
      <c r="U28" s="501">
        <f t="shared" si="38"/>
        <v>0</v>
      </c>
      <c r="V28" s="501">
        <f t="shared" si="38"/>
        <v>0</v>
      </c>
      <c r="W28" s="501">
        <f t="shared" si="38"/>
        <v>0</v>
      </c>
      <c r="X28" s="501">
        <f t="shared" si="38"/>
        <v>25128</v>
      </c>
      <c r="Y28" s="501">
        <f t="shared" si="38"/>
        <v>0</v>
      </c>
      <c r="Z28" s="501">
        <f t="shared" si="38"/>
        <v>0</v>
      </c>
      <c r="AA28" s="501">
        <f t="shared" si="38"/>
        <v>0</v>
      </c>
      <c r="AB28" s="501">
        <f t="shared" si="38"/>
        <v>0</v>
      </c>
      <c r="AC28" s="501">
        <f t="shared" si="38"/>
        <v>25128</v>
      </c>
      <c r="AD28" s="501">
        <f t="shared" si="38"/>
        <v>8493</v>
      </c>
      <c r="AE28" s="501">
        <f t="shared" si="38"/>
        <v>503</v>
      </c>
      <c r="AF28" s="501">
        <f t="shared" si="38"/>
        <v>3250</v>
      </c>
      <c r="AG28" s="501">
        <f t="shared" si="38"/>
        <v>0</v>
      </c>
      <c r="AH28" s="501">
        <f t="shared" si="38"/>
        <v>3250</v>
      </c>
      <c r="AI28" s="501">
        <f t="shared" si="38"/>
        <v>37374</v>
      </c>
      <c r="AJ28" s="502">
        <f t="shared" si="38"/>
        <v>0</v>
      </c>
      <c r="AK28" s="502">
        <f t="shared" si="38"/>
        <v>0</v>
      </c>
      <c r="AL28" s="502">
        <f t="shared" si="38"/>
        <v>0</v>
      </c>
      <c r="AM28" s="502">
        <f t="shared" si="38"/>
        <v>0</v>
      </c>
      <c r="AN28" s="502">
        <f t="shared" si="38"/>
        <v>8.0000000000000071E-2</v>
      </c>
      <c r="AO28" s="502">
        <f t="shared" si="38"/>
        <v>0</v>
      </c>
      <c r="AP28" s="502">
        <f t="shared" si="38"/>
        <v>0</v>
      </c>
      <c r="AQ28" s="502">
        <f t="shared" si="38"/>
        <v>0</v>
      </c>
      <c r="AR28" s="502">
        <f t="shared" si="38"/>
        <v>0</v>
      </c>
      <c r="AS28" s="502">
        <f t="shared" si="38"/>
        <v>8.0000000000000071E-2</v>
      </c>
      <c r="AT28" s="109">
        <f t="shared" si="38"/>
        <v>8.0000000000000071E-2</v>
      </c>
      <c r="AU28" s="509">
        <f t="shared" si="38"/>
        <v>102627141</v>
      </c>
      <c r="AV28" s="501">
        <f t="shared" si="38"/>
        <v>73635629</v>
      </c>
      <c r="AW28" s="501">
        <f t="shared" si="38"/>
        <v>799088</v>
      </c>
      <c r="AX28" s="501">
        <f t="shared" si="38"/>
        <v>25133893</v>
      </c>
      <c r="AY28" s="501">
        <f t="shared" si="38"/>
        <v>1472713</v>
      </c>
      <c r="AZ28" s="501">
        <f t="shared" si="38"/>
        <v>1585818</v>
      </c>
      <c r="BA28" s="502">
        <f t="shared" si="38"/>
        <v>149.24740000000003</v>
      </c>
      <c r="BB28" s="502">
        <f t="shared" si="38"/>
        <v>114.0466</v>
      </c>
      <c r="BC28" s="109">
        <f t="shared" si="38"/>
        <v>35.200800000000001</v>
      </c>
    </row>
    <row r="29" spans="1:55" s="102" customFormat="1" ht="14.1" customHeight="1" x14ac:dyDescent="0.2">
      <c r="A29" s="125">
        <v>4</v>
      </c>
      <c r="B29" s="108">
        <v>2450</v>
      </c>
      <c r="C29" s="99">
        <v>600080234</v>
      </c>
      <c r="D29" s="80">
        <v>72745045</v>
      </c>
      <c r="E29" s="80" t="s">
        <v>747</v>
      </c>
      <c r="F29" s="100">
        <v>3111</v>
      </c>
      <c r="G29" s="80" t="s">
        <v>311</v>
      </c>
      <c r="H29" s="101" t="s">
        <v>277</v>
      </c>
      <c r="I29" s="477">
        <v>1361346</v>
      </c>
      <c r="J29" s="631">
        <v>961038</v>
      </c>
      <c r="K29" s="631">
        <v>37000</v>
      </c>
      <c r="L29" s="472">
        <v>337337</v>
      </c>
      <c r="M29" s="472">
        <v>19221</v>
      </c>
      <c r="N29" s="631">
        <v>6750</v>
      </c>
      <c r="O29" s="473">
        <v>2.4009</v>
      </c>
      <c r="P29" s="474">
        <v>1.94</v>
      </c>
      <c r="Q29" s="670">
        <v>0.46089999999999998</v>
      </c>
      <c r="R29" s="485">
        <f t="shared" ref="R29:R34" si="39">Y29*-1</f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ref="X29:X34" si="40">SUM(R29:W29)</f>
        <v>0</v>
      </c>
      <c r="Y29" s="475">
        <v>0</v>
      </c>
      <c r="Z29" s="475">
        <v>0</v>
      </c>
      <c r="AA29" s="475">
        <v>0</v>
      </c>
      <c r="AB29" s="475">
        <f t="shared" ref="AB29:AB34" si="41">SUM(Y29:AA29)</f>
        <v>0</v>
      </c>
      <c r="AC29" s="475">
        <f t="shared" ref="AC29:AC34" si="42">X29+AB29</f>
        <v>0</v>
      </c>
      <c r="AD29" s="70">
        <f t="shared" ref="AD29:AD34" si="43">ROUND((X29+Y29+Z29)*33.8%,0)</f>
        <v>0</v>
      </c>
      <c r="AE29" s="70">
        <f t="shared" ref="AE29:AE34" si="44">ROUND(X29*2%,0)</f>
        <v>0</v>
      </c>
      <c r="AF29" s="475">
        <v>0</v>
      </c>
      <c r="AG29" s="475">
        <v>0</v>
      </c>
      <c r="AH29" s="475">
        <f t="shared" ref="AH29:AH34" si="45">SUM(AF29:AG29)</f>
        <v>0</v>
      </c>
      <c r="AI29" s="475">
        <f t="shared" ref="AI29:AI34" si="46">AC29+AD29+AE29+AH29</f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 t="shared" si="17"/>
        <v>0</v>
      </c>
      <c r="AS29" s="476">
        <f t="shared" si="18"/>
        <v>0</v>
      </c>
      <c r="AT29" s="478">
        <f t="shared" si="19"/>
        <v>0</v>
      </c>
      <c r="AU29" s="484">
        <f t="shared" ref="AU29:AU34" si="47">I29+AI29</f>
        <v>1361346</v>
      </c>
      <c r="AV29" s="475">
        <f t="shared" ref="AV29:AV34" si="48">J29+X29</f>
        <v>961038</v>
      </c>
      <c r="AW29" s="475">
        <f t="shared" ref="AW29:AW34" si="49">K29+AB29</f>
        <v>37000</v>
      </c>
      <c r="AX29" s="475">
        <f t="shared" ref="AX29:AY34" si="50">L29+AD29</f>
        <v>337337</v>
      </c>
      <c r="AY29" s="475">
        <f t="shared" si="50"/>
        <v>19221</v>
      </c>
      <c r="AZ29" s="475">
        <f t="shared" ref="AZ29:AZ34" si="51">N29+AH29</f>
        <v>6750</v>
      </c>
      <c r="BA29" s="476">
        <f t="shared" ref="BA29:BA34" si="52">O29+AT29</f>
        <v>2.4009</v>
      </c>
      <c r="BB29" s="476">
        <f t="shared" ref="BB29:BC34" si="53">P29+AR29</f>
        <v>1.94</v>
      </c>
      <c r="BC29" s="478">
        <f t="shared" si="53"/>
        <v>0.46089999999999998</v>
      </c>
    </row>
    <row r="30" spans="1:55" s="102" customFormat="1" ht="14.1" customHeight="1" x14ac:dyDescent="0.2">
      <c r="A30" s="125">
        <v>4</v>
      </c>
      <c r="B30" s="110">
        <v>2450</v>
      </c>
      <c r="C30" s="99">
        <v>600080234</v>
      </c>
      <c r="D30" s="80">
        <v>72745045</v>
      </c>
      <c r="E30" s="110" t="s">
        <v>747</v>
      </c>
      <c r="F30" s="111">
        <v>3117</v>
      </c>
      <c r="G30" s="110" t="s">
        <v>329</v>
      </c>
      <c r="H30" s="101" t="s">
        <v>277</v>
      </c>
      <c r="I30" s="477">
        <v>2690553</v>
      </c>
      <c r="J30" s="631">
        <v>1931883</v>
      </c>
      <c r="K30" s="631">
        <v>22000</v>
      </c>
      <c r="L30" s="472">
        <v>660413</v>
      </c>
      <c r="M30" s="472">
        <v>38637</v>
      </c>
      <c r="N30" s="631">
        <v>37620</v>
      </c>
      <c r="O30" s="473">
        <v>3.6273000000000004</v>
      </c>
      <c r="P30" s="474">
        <v>2.5709000000000004</v>
      </c>
      <c r="Q30" s="670">
        <v>1.0564</v>
      </c>
      <c r="R30" s="485">
        <f t="shared" si="39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40"/>
        <v>0</v>
      </c>
      <c r="Y30" s="475">
        <v>0</v>
      </c>
      <c r="Z30" s="475">
        <v>0</v>
      </c>
      <c r="AA30" s="475">
        <v>0</v>
      </c>
      <c r="AB30" s="475">
        <f t="shared" si="41"/>
        <v>0</v>
      </c>
      <c r="AC30" s="475">
        <f t="shared" si="42"/>
        <v>0</v>
      </c>
      <c r="AD30" s="70">
        <f t="shared" si="43"/>
        <v>0</v>
      </c>
      <c r="AE30" s="70">
        <f t="shared" si="44"/>
        <v>0</v>
      </c>
      <c r="AF30" s="475">
        <v>0</v>
      </c>
      <c r="AG30" s="475">
        <v>0</v>
      </c>
      <c r="AH30" s="475">
        <f t="shared" si="45"/>
        <v>0</v>
      </c>
      <c r="AI30" s="475">
        <f t="shared" si="46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 t="shared" si="17"/>
        <v>0</v>
      </c>
      <c r="AS30" s="476">
        <f t="shared" si="18"/>
        <v>0</v>
      </c>
      <c r="AT30" s="478">
        <f t="shared" si="19"/>
        <v>0</v>
      </c>
      <c r="AU30" s="484">
        <f t="shared" si="47"/>
        <v>2690553</v>
      </c>
      <c r="AV30" s="475">
        <f t="shared" si="48"/>
        <v>1931883</v>
      </c>
      <c r="AW30" s="475">
        <f t="shared" si="49"/>
        <v>22000</v>
      </c>
      <c r="AX30" s="475">
        <f t="shared" si="50"/>
        <v>660413</v>
      </c>
      <c r="AY30" s="475">
        <f t="shared" si="50"/>
        <v>38637</v>
      </c>
      <c r="AZ30" s="475">
        <f t="shared" si="51"/>
        <v>37620</v>
      </c>
      <c r="BA30" s="476">
        <f t="shared" si="52"/>
        <v>3.6273000000000004</v>
      </c>
      <c r="BB30" s="476">
        <f t="shared" si="53"/>
        <v>2.5709000000000004</v>
      </c>
      <c r="BC30" s="478">
        <f t="shared" si="53"/>
        <v>1.0564</v>
      </c>
    </row>
    <row r="31" spans="1:55" s="102" customFormat="1" ht="14.1" customHeight="1" x14ac:dyDescent="0.2">
      <c r="A31" s="125">
        <v>4</v>
      </c>
      <c r="B31" s="108">
        <v>2450</v>
      </c>
      <c r="C31" s="99">
        <v>600080234</v>
      </c>
      <c r="D31" s="80">
        <v>72745045</v>
      </c>
      <c r="E31" s="108" t="s">
        <v>747</v>
      </c>
      <c r="F31" s="100">
        <v>3117</v>
      </c>
      <c r="G31" s="80" t="s">
        <v>312</v>
      </c>
      <c r="H31" s="101" t="s">
        <v>278</v>
      </c>
      <c r="I31" s="477">
        <v>1247730</v>
      </c>
      <c r="J31" s="472">
        <v>918800</v>
      </c>
      <c r="K31" s="472">
        <v>0</v>
      </c>
      <c r="L31" s="472">
        <v>310554</v>
      </c>
      <c r="M31" s="472">
        <v>18376</v>
      </c>
      <c r="N31" s="472">
        <v>0</v>
      </c>
      <c r="O31" s="473">
        <v>2.62</v>
      </c>
      <c r="P31" s="474">
        <v>2.62</v>
      </c>
      <c r="Q31" s="483">
        <v>0</v>
      </c>
      <c r="R31" s="485">
        <f t="shared" si="39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40"/>
        <v>0</v>
      </c>
      <c r="Y31" s="475">
        <v>0</v>
      </c>
      <c r="Z31" s="475">
        <v>0</v>
      </c>
      <c r="AA31" s="475">
        <v>0</v>
      </c>
      <c r="AB31" s="475">
        <f t="shared" si="41"/>
        <v>0</v>
      </c>
      <c r="AC31" s="475">
        <f t="shared" si="42"/>
        <v>0</v>
      </c>
      <c r="AD31" s="70">
        <f t="shared" si="43"/>
        <v>0</v>
      </c>
      <c r="AE31" s="70">
        <f t="shared" si="44"/>
        <v>0</v>
      </c>
      <c r="AF31" s="475">
        <v>0</v>
      </c>
      <c r="AG31" s="475">
        <v>0</v>
      </c>
      <c r="AH31" s="475">
        <f t="shared" si="45"/>
        <v>0</v>
      </c>
      <c r="AI31" s="475">
        <f t="shared" si="46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 t="shared" si="17"/>
        <v>0</v>
      </c>
      <c r="AS31" s="476">
        <f t="shared" si="18"/>
        <v>0</v>
      </c>
      <c r="AT31" s="478">
        <f t="shared" si="19"/>
        <v>0</v>
      </c>
      <c r="AU31" s="484">
        <f t="shared" si="47"/>
        <v>1247730</v>
      </c>
      <c r="AV31" s="475">
        <f t="shared" si="48"/>
        <v>918800</v>
      </c>
      <c r="AW31" s="475">
        <f t="shared" si="49"/>
        <v>0</v>
      </c>
      <c r="AX31" s="475">
        <f t="shared" si="50"/>
        <v>310554</v>
      </c>
      <c r="AY31" s="475">
        <f t="shared" si="50"/>
        <v>18376</v>
      </c>
      <c r="AZ31" s="475">
        <f t="shared" si="51"/>
        <v>0</v>
      </c>
      <c r="BA31" s="476">
        <f t="shared" si="52"/>
        <v>2.62</v>
      </c>
      <c r="BB31" s="476">
        <f t="shared" si="53"/>
        <v>2.62</v>
      </c>
      <c r="BC31" s="478">
        <f t="shared" si="53"/>
        <v>0</v>
      </c>
    </row>
    <row r="32" spans="1:55" s="102" customFormat="1" ht="14.1" customHeight="1" x14ac:dyDescent="0.2">
      <c r="A32" s="125">
        <v>4</v>
      </c>
      <c r="B32" s="80">
        <v>2450</v>
      </c>
      <c r="C32" s="99">
        <v>600080234</v>
      </c>
      <c r="D32" s="80">
        <v>72745045</v>
      </c>
      <c r="E32" s="80" t="s">
        <v>747</v>
      </c>
      <c r="F32" s="100">
        <v>3141</v>
      </c>
      <c r="G32" s="80" t="s">
        <v>315</v>
      </c>
      <c r="H32" s="101" t="s">
        <v>278</v>
      </c>
      <c r="I32" s="477">
        <v>522806</v>
      </c>
      <c r="J32" s="631">
        <v>366738</v>
      </c>
      <c r="K32" s="631">
        <v>17000</v>
      </c>
      <c r="L32" s="472">
        <v>129703</v>
      </c>
      <c r="M32" s="472">
        <v>7335</v>
      </c>
      <c r="N32" s="631">
        <v>2030</v>
      </c>
      <c r="O32" s="473">
        <v>1.19</v>
      </c>
      <c r="P32" s="474">
        <v>0</v>
      </c>
      <c r="Q32" s="670">
        <v>1.19</v>
      </c>
      <c r="R32" s="485">
        <f t="shared" si="39"/>
        <v>0</v>
      </c>
      <c r="S32" s="475">
        <v>0</v>
      </c>
      <c r="T32" s="755">
        <v>19051</v>
      </c>
      <c r="U32" s="475">
        <v>0</v>
      </c>
      <c r="V32" s="475">
        <v>0</v>
      </c>
      <c r="W32" s="475">
        <v>0</v>
      </c>
      <c r="X32" s="475">
        <f t="shared" si="40"/>
        <v>19051</v>
      </c>
      <c r="Y32" s="475">
        <v>0</v>
      </c>
      <c r="Z32" s="475">
        <v>0</v>
      </c>
      <c r="AA32" s="475">
        <v>0</v>
      </c>
      <c r="AB32" s="475">
        <f t="shared" si="41"/>
        <v>0</v>
      </c>
      <c r="AC32" s="475">
        <f t="shared" si="42"/>
        <v>19051</v>
      </c>
      <c r="AD32" s="70">
        <f t="shared" si="43"/>
        <v>6439</v>
      </c>
      <c r="AE32" s="70">
        <f t="shared" si="44"/>
        <v>381</v>
      </c>
      <c r="AF32" s="475">
        <v>0</v>
      </c>
      <c r="AG32" s="475">
        <v>0</v>
      </c>
      <c r="AH32" s="475">
        <f t="shared" si="45"/>
        <v>0</v>
      </c>
      <c r="AI32" s="475">
        <f t="shared" si="46"/>
        <v>25871</v>
      </c>
      <c r="AJ32" s="476">
        <v>0</v>
      </c>
      <c r="AK32" s="476">
        <v>0</v>
      </c>
      <c r="AL32" s="476">
        <v>0</v>
      </c>
      <c r="AM32" s="476">
        <v>0</v>
      </c>
      <c r="AN32" s="756">
        <v>0.06</v>
      </c>
      <c r="AO32" s="476">
        <v>0</v>
      </c>
      <c r="AP32" s="476">
        <v>0</v>
      </c>
      <c r="AQ32" s="476">
        <v>0</v>
      </c>
      <c r="AR32" s="476">
        <f t="shared" si="17"/>
        <v>0</v>
      </c>
      <c r="AS32" s="476">
        <f t="shared" si="18"/>
        <v>0.06</v>
      </c>
      <c r="AT32" s="478">
        <f t="shared" si="19"/>
        <v>0.06</v>
      </c>
      <c r="AU32" s="484">
        <f t="shared" si="47"/>
        <v>548677</v>
      </c>
      <c r="AV32" s="475">
        <f t="shared" si="48"/>
        <v>385789</v>
      </c>
      <c r="AW32" s="475">
        <f t="shared" si="49"/>
        <v>17000</v>
      </c>
      <c r="AX32" s="475">
        <f t="shared" si="50"/>
        <v>136142</v>
      </c>
      <c r="AY32" s="475">
        <f t="shared" si="50"/>
        <v>7716</v>
      </c>
      <c r="AZ32" s="475">
        <f t="shared" si="51"/>
        <v>2030</v>
      </c>
      <c r="BA32" s="476">
        <f t="shared" si="52"/>
        <v>1.25</v>
      </c>
      <c r="BB32" s="476">
        <f t="shared" si="53"/>
        <v>0</v>
      </c>
      <c r="BC32" s="478">
        <f t="shared" si="53"/>
        <v>1.25</v>
      </c>
    </row>
    <row r="33" spans="1:55" s="102" customFormat="1" ht="14.1" customHeight="1" x14ac:dyDescent="0.2">
      <c r="A33" s="125">
        <v>4</v>
      </c>
      <c r="B33" s="80">
        <v>2450</v>
      </c>
      <c r="C33" s="99">
        <v>600080234</v>
      </c>
      <c r="D33" s="80">
        <v>72745045</v>
      </c>
      <c r="E33" s="80" t="s">
        <v>747</v>
      </c>
      <c r="F33" s="100">
        <v>3143</v>
      </c>
      <c r="G33" s="80" t="s">
        <v>626</v>
      </c>
      <c r="H33" s="101" t="s">
        <v>277</v>
      </c>
      <c r="I33" s="477">
        <v>638624</v>
      </c>
      <c r="J33" s="632">
        <v>458445</v>
      </c>
      <c r="K33" s="632">
        <v>12000</v>
      </c>
      <c r="L33" s="472">
        <v>159010</v>
      </c>
      <c r="M33" s="472">
        <v>9169</v>
      </c>
      <c r="N33" s="472">
        <v>0</v>
      </c>
      <c r="O33" s="473">
        <v>1</v>
      </c>
      <c r="P33" s="13">
        <v>1</v>
      </c>
      <c r="Q33" s="483">
        <v>0</v>
      </c>
      <c r="R33" s="485">
        <f t="shared" si="39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40"/>
        <v>0</v>
      </c>
      <c r="Y33" s="475">
        <v>0</v>
      </c>
      <c r="Z33" s="475">
        <v>0</v>
      </c>
      <c r="AA33" s="475">
        <v>0</v>
      </c>
      <c r="AB33" s="475">
        <f t="shared" si="41"/>
        <v>0</v>
      </c>
      <c r="AC33" s="475">
        <f t="shared" si="42"/>
        <v>0</v>
      </c>
      <c r="AD33" s="70">
        <f t="shared" si="43"/>
        <v>0</v>
      </c>
      <c r="AE33" s="70">
        <f t="shared" si="44"/>
        <v>0</v>
      </c>
      <c r="AF33" s="475">
        <v>0</v>
      </c>
      <c r="AG33" s="475">
        <v>0</v>
      </c>
      <c r="AH33" s="475">
        <f t="shared" si="45"/>
        <v>0</v>
      </c>
      <c r="AI33" s="475">
        <f t="shared" si="46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si="17"/>
        <v>0</v>
      </c>
      <c r="AS33" s="476">
        <f t="shared" si="18"/>
        <v>0</v>
      </c>
      <c r="AT33" s="478">
        <f t="shared" si="19"/>
        <v>0</v>
      </c>
      <c r="AU33" s="484">
        <f t="shared" si="47"/>
        <v>638624</v>
      </c>
      <c r="AV33" s="475">
        <f t="shared" si="48"/>
        <v>458445</v>
      </c>
      <c r="AW33" s="475">
        <f t="shared" si="49"/>
        <v>12000</v>
      </c>
      <c r="AX33" s="475">
        <f t="shared" si="50"/>
        <v>159010</v>
      </c>
      <c r="AY33" s="475">
        <f t="shared" si="50"/>
        <v>9169</v>
      </c>
      <c r="AZ33" s="475">
        <f t="shared" si="51"/>
        <v>0</v>
      </c>
      <c r="BA33" s="476">
        <f t="shared" si="52"/>
        <v>1</v>
      </c>
      <c r="BB33" s="476">
        <f t="shared" si="53"/>
        <v>1</v>
      </c>
      <c r="BC33" s="478">
        <f t="shared" si="53"/>
        <v>0</v>
      </c>
    </row>
    <row r="34" spans="1:55" s="102" customFormat="1" ht="14.1" customHeight="1" x14ac:dyDescent="0.2">
      <c r="A34" s="125">
        <v>4</v>
      </c>
      <c r="B34" s="80">
        <v>2450</v>
      </c>
      <c r="C34" s="99">
        <v>600080234</v>
      </c>
      <c r="D34" s="80">
        <v>72745045</v>
      </c>
      <c r="E34" s="80" t="s">
        <v>747</v>
      </c>
      <c r="F34" s="100">
        <v>3143</v>
      </c>
      <c r="G34" s="80" t="s">
        <v>627</v>
      </c>
      <c r="H34" s="101" t="s">
        <v>278</v>
      </c>
      <c r="I34" s="477">
        <v>15877</v>
      </c>
      <c r="J34" s="631">
        <v>11227</v>
      </c>
      <c r="K34" s="631">
        <v>0</v>
      </c>
      <c r="L34" s="472">
        <v>3795</v>
      </c>
      <c r="M34" s="472">
        <v>225</v>
      </c>
      <c r="N34" s="631">
        <v>630</v>
      </c>
      <c r="O34" s="473">
        <v>0.04</v>
      </c>
      <c r="P34" s="474">
        <v>0</v>
      </c>
      <c r="Q34" s="670">
        <v>0.04</v>
      </c>
      <c r="R34" s="485">
        <f t="shared" si="39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40"/>
        <v>0</v>
      </c>
      <c r="Y34" s="475">
        <v>0</v>
      </c>
      <c r="Z34" s="475">
        <v>0</v>
      </c>
      <c r="AA34" s="475">
        <v>0</v>
      </c>
      <c r="AB34" s="475">
        <f t="shared" si="41"/>
        <v>0</v>
      </c>
      <c r="AC34" s="475">
        <f t="shared" si="42"/>
        <v>0</v>
      </c>
      <c r="AD34" s="70">
        <f t="shared" si="43"/>
        <v>0</v>
      </c>
      <c r="AE34" s="70">
        <f t="shared" si="44"/>
        <v>0</v>
      </c>
      <c r="AF34" s="475">
        <v>0</v>
      </c>
      <c r="AG34" s="475">
        <v>0</v>
      </c>
      <c r="AH34" s="475">
        <f t="shared" si="45"/>
        <v>0</v>
      </c>
      <c r="AI34" s="475">
        <f t="shared" si="46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 t="shared" si="17"/>
        <v>0</v>
      </c>
      <c r="AS34" s="476">
        <f t="shared" si="18"/>
        <v>0</v>
      </c>
      <c r="AT34" s="478">
        <f t="shared" si="19"/>
        <v>0</v>
      </c>
      <c r="AU34" s="484">
        <f t="shared" si="47"/>
        <v>15877</v>
      </c>
      <c r="AV34" s="475">
        <f t="shared" si="48"/>
        <v>11227</v>
      </c>
      <c r="AW34" s="475">
        <f t="shared" si="49"/>
        <v>0</v>
      </c>
      <c r="AX34" s="475">
        <f t="shared" si="50"/>
        <v>3795</v>
      </c>
      <c r="AY34" s="475">
        <f t="shared" si="50"/>
        <v>225</v>
      </c>
      <c r="AZ34" s="475">
        <f t="shared" si="51"/>
        <v>630</v>
      </c>
      <c r="BA34" s="476">
        <f t="shared" si="52"/>
        <v>0.04</v>
      </c>
      <c r="BB34" s="476">
        <f t="shared" si="53"/>
        <v>0</v>
      </c>
      <c r="BC34" s="478">
        <f t="shared" si="53"/>
        <v>0.04</v>
      </c>
    </row>
    <row r="35" spans="1:55" s="102" customFormat="1" ht="14.1" customHeight="1" x14ac:dyDescent="0.2">
      <c r="A35" s="126">
        <v>4</v>
      </c>
      <c r="B35" s="103">
        <v>2450</v>
      </c>
      <c r="C35" s="104">
        <v>600080234</v>
      </c>
      <c r="D35" s="103">
        <v>72745045</v>
      </c>
      <c r="E35" s="103" t="s">
        <v>748</v>
      </c>
      <c r="F35" s="112"/>
      <c r="G35" s="106"/>
      <c r="H35" s="107"/>
      <c r="I35" s="505">
        <v>6476936</v>
      </c>
      <c r="J35" s="501">
        <v>4648131</v>
      </c>
      <c r="K35" s="501">
        <v>88000</v>
      </c>
      <c r="L35" s="501">
        <v>1600812</v>
      </c>
      <c r="M35" s="501">
        <v>92963</v>
      </c>
      <c r="N35" s="501">
        <v>47030</v>
      </c>
      <c r="O35" s="502">
        <v>10.878199999999998</v>
      </c>
      <c r="P35" s="502">
        <v>8.1309000000000005</v>
      </c>
      <c r="Q35" s="507">
        <v>2.7473000000000001</v>
      </c>
      <c r="R35" s="505">
        <f t="shared" ref="R35:BC35" si="54">SUM(R29:R34)</f>
        <v>0</v>
      </c>
      <c r="S35" s="501">
        <f t="shared" si="54"/>
        <v>0</v>
      </c>
      <c r="T35" s="501">
        <f t="shared" si="54"/>
        <v>19051</v>
      </c>
      <c r="U35" s="501">
        <f t="shared" si="54"/>
        <v>0</v>
      </c>
      <c r="V35" s="501">
        <f t="shared" si="54"/>
        <v>0</v>
      </c>
      <c r="W35" s="501">
        <f t="shared" si="54"/>
        <v>0</v>
      </c>
      <c r="X35" s="501">
        <f t="shared" si="54"/>
        <v>19051</v>
      </c>
      <c r="Y35" s="501">
        <f t="shared" si="54"/>
        <v>0</v>
      </c>
      <c r="Z35" s="501">
        <f t="shared" si="54"/>
        <v>0</v>
      </c>
      <c r="AA35" s="501">
        <f t="shared" si="54"/>
        <v>0</v>
      </c>
      <c r="AB35" s="501">
        <f t="shared" si="54"/>
        <v>0</v>
      </c>
      <c r="AC35" s="501">
        <f t="shared" si="54"/>
        <v>19051</v>
      </c>
      <c r="AD35" s="501">
        <f t="shared" si="54"/>
        <v>6439</v>
      </c>
      <c r="AE35" s="501">
        <f t="shared" si="54"/>
        <v>381</v>
      </c>
      <c r="AF35" s="501">
        <f t="shared" si="54"/>
        <v>0</v>
      </c>
      <c r="AG35" s="501">
        <f t="shared" si="54"/>
        <v>0</v>
      </c>
      <c r="AH35" s="501">
        <f t="shared" si="54"/>
        <v>0</v>
      </c>
      <c r="AI35" s="501">
        <f t="shared" si="54"/>
        <v>25871</v>
      </c>
      <c r="AJ35" s="502">
        <f t="shared" si="54"/>
        <v>0</v>
      </c>
      <c r="AK35" s="502">
        <f t="shared" si="54"/>
        <v>0</v>
      </c>
      <c r="AL35" s="502">
        <f t="shared" si="54"/>
        <v>0</v>
      </c>
      <c r="AM35" s="502">
        <f t="shared" si="54"/>
        <v>0</v>
      </c>
      <c r="AN35" s="502">
        <f t="shared" si="54"/>
        <v>0.06</v>
      </c>
      <c r="AO35" s="502">
        <f t="shared" si="54"/>
        <v>0</v>
      </c>
      <c r="AP35" s="502">
        <f t="shared" si="54"/>
        <v>0</v>
      </c>
      <c r="AQ35" s="502">
        <f t="shared" si="54"/>
        <v>0</v>
      </c>
      <c r="AR35" s="502">
        <f t="shared" si="54"/>
        <v>0</v>
      </c>
      <c r="AS35" s="502">
        <f t="shared" si="54"/>
        <v>0.06</v>
      </c>
      <c r="AT35" s="109">
        <f t="shared" si="54"/>
        <v>0.06</v>
      </c>
      <c r="AU35" s="509">
        <f t="shared" si="54"/>
        <v>6502807</v>
      </c>
      <c r="AV35" s="501">
        <f t="shared" si="54"/>
        <v>4667182</v>
      </c>
      <c r="AW35" s="501">
        <f t="shared" si="54"/>
        <v>88000</v>
      </c>
      <c r="AX35" s="501">
        <f t="shared" si="54"/>
        <v>1607251</v>
      </c>
      <c r="AY35" s="501">
        <f t="shared" si="54"/>
        <v>93344</v>
      </c>
      <c r="AZ35" s="501">
        <f t="shared" si="54"/>
        <v>47030</v>
      </c>
      <c r="BA35" s="502">
        <f t="shared" si="54"/>
        <v>10.938199999999998</v>
      </c>
      <c r="BB35" s="502">
        <f t="shared" si="54"/>
        <v>8.1309000000000005</v>
      </c>
      <c r="BC35" s="109">
        <f t="shared" si="54"/>
        <v>2.8073000000000001</v>
      </c>
    </row>
    <row r="36" spans="1:55" s="102" customFormat="1" ht="14.1" customHeight="1" x14ac:dyDescent="0.2">
      <c r="A36" s="125">
        <v>5</v>
      </c>
      <c r="B36" s="108">
        <v>2451</v>
      </c>
      <c r="C36" s="99">
        <v>650037901</v>
      </c>
      <c r="D36" s="80">
        <v>72744880</v>
      </c>
      <c r="E36" s="80" t="s">
        <v>749</v>
      </c>
      <c r="F36" s="100">
        <v>3111</v>
      </c>
      <c r="G36" s="80" t="s">
        <v>311</v>
      </c>
      <c r="H36" s="101" t="s">
        <v>277</v>
      </c>
      <c r="I36" s="477">
        <v>1557499</v>
      </c>
      <c r="J36" s="631">
        <v>1138291</v>
      </c>
      <c r="K36" s="631">
        <v>0</v>
      </c>
      <c r="L36" s="472">
        <v>384742</v>
      </c>
      <c r="M36" s="472">
        <v>22766</v>
      </c>
      <c r="N36" s="631">
        <v>11700</v>
      </c>
      <c r="O36" s="473">
        <v>2.5108999999999999</v>
      </c>
      <c r="P36" s="474">
        <v>2</v>
      </c>
      <c r="Q36" s="670">
        <v>0.51090000000000002</v>
      </c>
      <c r="R36" s="485">
        <f t="shared" ref="R36:R41" si="55">Y36*-1</f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ref="X36:X41" si="56">SUM(R36:W36)</f>
        <v>0</v>
      </c>
      <c r="Y36" s="475">
        <v>0</v>
      </c>
      <c r="Z36" s="475">
        <v>0</v>
      </c>
      <c r="AA36" s="475">
        <v>0</v>
      </c>
      <c r="AB36" s="475">
        <f t="shared" ref="AB36:AB41" si="57">SUM(Y36:AA36)</f>
        <v>0</v>
      </c>
      <c r="AC36" s="475">
        <f t="shared" ref="AC36:AC41" si="58">X36+AB36</f>
        <v>0</v>
      </c>
      <c r="AD36" s="70">
        <f t="shared" ref="AD36:AD41" si="59">ROUND((X36+Y36+Z36)*33.8%,0)</f>
        <v>0</v>
      </c>
      <c r="AE36" s="70">
        <f t="shared" ref="AE36:AE41" si="60">ROUND(X36*2%,0)</f>
        <v>0</v>
      </c>
      <c r="AF36" s="475">
        <v>0</v>
      </c>
      <c r="AG36" s="475">
        <v>0</v>
      </c>
      <c r="AH36" s="475">
        <f t="shared" ref="AH36:AH41" si="61">SUM(AF36:AG36)</f>
        <v>0</v>
      </c>
      <c r="AI36" s="475">
        <f t="shared" ref="AI36:AI41" si="62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si="17"/>
        <v>0</v>
      </c>
      <c r="AS36" s="476">
        <f t="shared" si="18"/>
        <v>0</v>
      </c>
      <c r="AT36" s="478">
        <f t="shared" si="19"/>
        <v>0</v>
      </c>
      <c r="AU36" s="484">
        <f t="shared" ref="AU36:AU41" si="63">I36+AI36</f>
        <v>1557499</v>
      </c>
      <c r="AV36" s="475">
        <f t="shared" ref="AV36:AV41" si="64">J36+X36</f>
        <v>1138291</v>
      </c>
      <c r="AW36" s="475">
        <f t="shared" ref="AW36:AW41" si="65">K36+AB36</f>
        <v>0</v>
      </c>
      <c r="AX36" s="475">
        <f t="shared" ref="AX36:AY41" si="66">L36+AD36</f>
        <v>384742</v>
      </c>
      <c r="AY36" s="475">
        <f t="shared" si="66"/>
        <v>22766</v>
      </c>
      <c r="AZ36" s="475">
        <f t="shared" ref="AZ36:AZ41" si="67">N36+AH36</f>
        <v>11700</v>
      </c>
      <c r="BA36" s="476">
        <f t="shared" ref="BA36:BA41" si="68">O36+AT36</f>
        <v>2.5108999999999999</v>
      </c>
      <c r="BB36" s="476">
        <f t="shared" ref="BB36:BC41" si="69">P36+AR36</f>
        <v>2</v>
      </c>
      <c r="BC36" s="478">
        <f t="shared" si="69"/>
        <v>0.51090000000000002</v>
      </c>
    </row>
    <row r="37" spans="1:55" s="102" customFormat="1" ht="14.1" customHeight="1" x14ac:dyDescent="0.2">
      <c r="A37" s="125">
        <v>5</v>
      </c>
      <c r="B37" s="110">
        <v>2451</v>
      </c>
      <c r="C37" s="99">
        <v>650037901</v>
      </c>
      <c r="D37" s="80">
        <v>72744880</v>
      </c>
      <c r="E37" s="110" t="s">
        <v>749</v>
      </c>
      <c r="F37" s="111">
        <v>3117</v>
      </c>
      <c r="G37" s="110" t="s">
        <v>329</v>
      </c>
      <c r="H37" s="101" t="s">
        <v>277</v>
      </c>
      <c r="I37" s="477">
        <v>4184721</v>
      </c>
      <c r="J37" s="631">
        <v>3023609</v>
      </c>
      <c r="K37" s="631">
        <v>0</v>
      </c>
      <c r="L37" s="472">
        <v>1021980</v>
      </c>
      <c r="M37" s="472">
        <v>60472</v>
      </c>
      <c r="N37" s="631">
        <v>78660</v>
      </c>
      <c r="O37" s="473">
        <v>6.0573999999999995</v>
      </c>
      <c r="P37" s="474">
        <v>4</v>
      </c>
      <c r="Q37" s="670">
        <v>2.0573999999999999</v>
      </c>
      <c r="R37" s="485">
        <f t="shared" si="55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56"/>
        <v>0</v>
      </c>
      <c r="Y37" s="475">
        <v>0</v>
      </c>
      <c r="Z37" s="475">
        <v>0</v>
      </c>
      <c r="AA37" s="475">
        <v>0</v>
      </c>
      <c r="AB37" s="475">
        <f t="shared" si="57"/>
        <v>0</v>
      </c>
      <c r="AC37" s="475">
        <f t="shared" si="58"/>
        <v>0</v>
      </c>
      <c r="AD37" s="70">
        <f t="shared" si="59"/>
        <v>0</v>
      </c>
      <c r="AE37" s="70">
        <f t="shared" si="60"/>
        <v>0</v>
      </c>
      <c r="AF37" s="475">
        <v>0</v>
      </c>
      <c r="AG37" s="475">
        <v>0</v>
      </c>
      <c r="AH37" s="475">
        <f t="shared" si="61"/>
        <v>0</v>
      </c>
      <c r="AI37" s="475">
        <f t="shared" si="62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 t="shared" si="17"/>
        <v>0</v>
      </c>
      <c r="AS37" s="476">
        <f t="shared" si="18"/>
        <v>0</v>
      </c>
      <c r="AT37" s="478">
        <f t="shared" si="19"/>
        <v>0</v>
      </c>
      <c r="AU37" s="484">
        <f t="shared" si="63"/>
        <v>4184721</v>
      </c>
      <c r="AV37" s="475">
        <f t="shared" si="64"/>
        <v>3023609</v>
      </c>
      <c r="AW37" s="475">
        <f t="shared" si="65"/>
        <v>0</v>
      </c>
      <c r="AX37" s="475">
        <f t="shared" si="66"/>
        <v>1021980</v>
      </c>
      <c r="AY37" s="475">
        <f t="shared" si="66"/>
        <v>60472</v>
      </c>
      <c r="AZ37" s="475">
        <f t="shared" si="67"/>
        <v>78660</v>
      </c>
      <c r="BA37" s="476">
        <f t="shared" si="68"/>
        <v>6.0573999999999995</v>
      </c>
      <c r="BB37" s="476">
        <f t="shared" si="69"/>
        <v>4</v>
      </c>
      <c r="BC37" s="478">
        <f t="shared" si="69"/>
        <v>2.0573999999999999</v>
      </c>
    </row>
    <row r="38" spans="1:55" s="102" customFormat="1" ht="14.1" customHeight="1" x14ac:dyDescent="0.2">
      <c r="A38" s="125">
        <v>5</v>
      </c>
      <c r="B38" s="108">
        <v>2451</v>
      </c>
      <c r="C38" s="99">
        <v>650037901</v>
      </c>
      <c r="D38" s="80">
        <v>72744880</v>
      </c>
      <c r="E38" s="108" t="s">
        <v>749</v>
      </c>
      <c r="F38" s="100">
        <v>3117</v>
      </c>
      <c r="G38" s="80" t="s">
        <v>312</v>
      </c>
      <c r="H38" s="101" t="s">
        <v>278</v>
      </c>
      <c r="I38" s="477">
        <v>1435572</v>
      </c>
      <c r="J38" s="472">
        <v>1053625</v>
      </c>
      <c r="K38" s="472">
        <v>0</v>
      </c>
      <c r="L38" s="472">
        <v>356125</v>
      </c>
      <c r="M38" s="472">
        <v>21072</v>
      </c>
      <c r="N38" s="472">
        <v>4750</v>
      </c>
      <c r="O38" s="473">
        <v>2.6799999999999997</v>
      </c>
      <c r="P38" s="474">
        <v>2.6799999999999997</v>
      </c>
      <c r="Q38" s="483">
        <v>0</v>
      </c>
      <c r="R38" s="485">
        <f t="shared" si="55"/>
        <v>0</v>
      </c>
      <c r="S38" s="475">
        <v>-69309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56"/>
        <v>-69309</v>
      </c>
      <c r="Y38" s="475">
        <v>0</v>
      </c>
      <c r="Z38" s="475">
        <v>0</v>
      </c>
      <c r="AA38" s="475">
        <v>0</v>
      </c>
      <c r="AB38" s="475">
        <f t="shared" si="57"/>
        <v>0</v>
      </c>
      <c r="AC38" s="475">
        <f t="shared" si="58"/>
        <v>-69309</v>
      </c>
      <c r="AD38" s="70">
        <f t="shared" si="59"/>
        <v>-23426</v>
      </c>
      <c r="AE38" s="70">
        <f t="shared" si="60"/>
        <v>-1386</v>
      </c>
      <c r="AF38" s="475">
        <v>0</v>
      </c>
      <c r="AG38" s="475">
        <v>0</v>
      </c>
      <c r="AH38" s="475">
        <f t="shared" si="61"/>
        <v>0</v>
      </c>
      <c r="AI38" s="475">
        <f t="shared" si="62"/>
        <v>-94121</v>
      </c>
      <c r="AJ38" s="476">
        <v>0</v>
      </c>
      <c r="AK38" s="476">
        <v>0</v>
      </c>
      <c r="AL38" s="476">
        <v>-0.19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 t="shared" si="17"/>
        <v>-0.19</v>
      </c>
      <c r="AS38" s="476">
        <f t="shared" si="18"/>
        <v>0</v>
      </c>
      <c r="AT38" s="478">
        <f t="shared" si="19"/>
        <v>-0.19</v>
      </c>
      <c r="AU38" s="484">
        <f t="shared" si="63"/>
        <v>1341451</v>
      </c>
      <c r="AV38" s="475">
        <f t="shared" si="64"/>
        <v>984316</v>
      </c>
      <c r="AW38" s="475">
        <f t="shared" si="65"/>
        <v>0</v>
      </c>
      <c r="AX38" s="475">
        <f t="shared" si="66"/>
        <v>332699</v>
      </c>
      <c r="AY38" s="475">
        <f t="shared" si="66"/>
        <v>19686</v>
      </c>
      <c r="AZ38" s="475">
        <f t="shared" si="67"/>
        <v>4750</v>
      </c>
      <c r="BA38" s="476">
        <f t="shared" si="68"/>
        <v>2.4899999999999998</v>
      </c>
      <c r="BB38" s="476">
        <f t="shared" si="69"/>
        <v>2.4899999999999998</v>
      </c>
      <c r="BC38" s="478">
        <f t="shared" si="69"/>
        <v>0</v>
      </c>
    </row>
    <row r="39" spans="1:55" s="102" customFormat="1" ht="14.1" customHeight="1" x14ac:dyDescent="0.2">
      <c r="A39" s="125">
        <v>5</v>
      </c>
      <c r="B39" s="80">
        <v>2451</v>
      </c>
      <c r="C39" s="99">
        <v>650037901</v>
      </c>
      <c r="D39" s="80">
        <v>72744880</v>
      </c>
      <c r="E39" s="80" t="s">
        <v>749</v>
      </c>
      <c r="F39" s="100">
        <v>3141</v>
      </c>
      <c r="G39" s="80" t="s">
        <v>315</v>
      </c>
      <c r="H39" s="101" t="s">
        <v>278</v>
      </c>
      <c r="I39" s="477">
        <v>854680</v>
      </c>
      <c r="J39" s="631">
        <v>626676</v>
      </c>
      <c r="K39" s="631">
        <v>0</v>
      </c>
      <c r="L39" s="472">
        <v>211816</v>
      </c>
      <c r="M39" s="472">
        <v>12534</v>
      </c>
      <c r="N39" s="631">
        <v>3654</v>
      </c>
      <c r="O39" s="473">
        <v>1.97</v>
      </c>
      <c r="P39" s="474">
        <v>0</v>
      </c>
      <c r="Q39" s="670">
        <v>1.97</v>
      </c>
      <c r="R39" s="485">
        <f t="shared" si="55"/>
        <v>0</v>
      </c>
      <c r="S39" s="475">
        <v>0</v>
      </c>
      <c r="T39" s="755">
        <v>-6288</v>
      </c>
      <c r="U39" s="475">
        <v>0</v>
      </c>
      <c r="V39" s="475">
        <v>0</v>
      </c>
      <c r="W39" s="475">
        <v>0</v>
      </c>
      <c r="X39" s="475">
        <f t="shared" si="56"/>
        <v>-6288</v>
      </c>
      <c r="Y39" s="475">
        <v>0</v>
      </c>
      <c r="Z39" s="475">
        <v>0</v>
      </c>
      <c r="AA39" s="475">
        <v>0</v>
      </c>
      <c r="AB39" s="475">
        <f t="shared" si="57"/>
        <v>0</v>
      </c>
      <c r="AC39" s="475">
        <f t="shared" si="58"/>
        <v>-6288</v>
      </c>
      <c r="AD39" s="70">
        <f t="shared" si="59"/>
        <v>-2125</v>
      </c>
      <c r="AE39" s="70">
        <f t="shared" si="60"/>
        <v>-126</v>
      </c>
      <c r="AF39" s="475">
        <v>0</v>
      </c>
      <c r="AG39" s="475">
        <v>0</v>
      </c>
      <c r="AH39" s="475">
        <f t="shared" si="61"/>
        <v>0</v>
      </c>
      <c r="AI39" s="475">
        <f t="shared" si="62"/>
        <v>-8539</v>
      </c>
      <c r="AJ39" s="476">
        <v>0</v>
      </c>
      <c r="AK39" s="476">
        <v>0</v>
      </c>
      <c r="AL39" s="476">
        <v>0</v>
      </c>
      <c r="AM39" s="476">
        <v>0</v>
      </c>
      <c r="AN39" s="756">
        <v>-2.0000000000000018E-2</v>
      </c>
      <c r="AO39" s="476">
        <v>0</v>
      </c>
      <c r="AP39" s="476">
        <v>0</v>
      </c>
      <c r="AQ39" s="476">
        <v>0</v>
      </c>
      <c r="AR39" s="476">
        <f t="shared" si="17"/>
        <v>0</v>
      </c>
      <c r="AS39" s="476">
        <f t="shared" si="18"/>
        <v>-2.0000000000000018E-2</v>
      </c>
      <c r="AT39" s="478">
        <f t="shared" si="19"/>
        <v>-2.0000000000000018E-2</v>
      </c>
      <c r="AU39" s="484">
        <f t="shared" si="63"/>
        <v>846141</v>
      </c>
      <c r="AV39" s="475">
        <f t="shared" si="64"/>
        <v>620388</v>
      </c>
      <c r="AW39" s="475">
        <f t="shared" si="65"/>
        <v>0</v>
      </c>
      <c r="AX39" s="475">
        <f t="shared" si="66"/>
        <v>209691</v>
      </c>
      <c r="AY39" s="475">
        <f t="shared" si="66"/>
        <v>12408</v>
      </c>
      <c r="AZ39" s="475">
        <f t="shared" si="67"/>
        <v>3654</v>
      </c>
      <c r="BA39" s="476">
        <f t="shared" si="68"/>
        <v>1.95</v>
      </c>
      <c r="BB39" s="476">
        <f t="shared" si="69"/>
        <v>0</v>
      </c>
      <c r="BC39" s="478">
        <f t="shared" si="69"/>
        <v>1.95</v>
      </c>
    </row>
    <row r="40" spans="1:55" s="102" customFormat="1" ht="14.1" customHeight="1" x14ac:dyDescent="0.2">
      <c r="A40" s="125">
        <v>5</v>
      </c>
      <c r="B40" s="80">
        <v>2451</v>
      </c>
      <c r="C40" s="99">
        <v>650037901</v>
      </c>
      <c r="D40" s="80">
        <v>72744880</v>
      </c>
      <c r="E40" s="80" t="s">
        <v>749</v>
      </c>
      <c r="F40" s="100">
        <v>3143</v>
      </c>
      <c r="G40" s="80" t="s">
        <v>626</v>
      </c>
      <c r="H40" s="101" t="s">
        <v>277</v>
      </c>
      <c r="I40" s="477">
        <v>600417</v>
      </c>
      <c r="J40" s="632">
        <v>442133</v>
      </c>
      <c r="K40" s="632">
        <v>0</v>
      </c>
      <c r="L40" s="472">
        <v>149441</v>
      </c>
      <c r="M40" s="472">
        <v>8843</v>
      </c>
      <c r="N40" s="472">
        <v>0</v>
      </c>
      <c r="O40" s="473">
        <v>1</v>
      </c>
      <c r="P40" s="13">
        <v>1</v>
      </c>
      <c r="Q40" s="483">
        <v>0</v>
      </c>
      <c r="R40" s="485">
        <f t="shared" si="55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56"/>
        <v>0</v>
      </c>
      <c r="Y40" s="475">
        <v>0</v>
      </c>
      <c r="Z40" s="475">
        <v>0</v>
      </c>
      <c r="AA40" s="475">
        <v>0</v>
      </c>
      <c r="AB40" s="475">
        <f t="shared" si="57"/>
        <v>0</v>
      </c>
      <c r="AC40" s="475">
        <f t="shared" si="58"/>
        <v>0</v>
      </c>
      <c r="AD40" s="70">
        <f t="shared" si="59"/>
        <v>0</v>
      </c>
      <c r="AE40" s="70">
        <f t="shared" si="60"/>
        <v>0</v>
      </c>
      <c r="AF40" s="475">
        <v>0</v>
      </c>
      <c r="AG40" s="475">
        <v>0</v>
      </c>
      <c r="AH40" s="475">
        <f t="shared" si="61"/>
        <v>0</v>
      </c>
      <c r="AI40" s="475">
        <f t="shared" si="62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 t="shared" si="17"/>
        <v>0</v>
      </c>
      <c r="AS40" s="476">
        <f t="shared" si="18"/>
        <v>0</v>
      </c>
      <c r="AT40" s="478">
        <f t="shared" si="19"/>
        <v>0</v>
      </c>
      <c r="AU40" s="484">
        <f t="shared" si="63"/>
        <v>600417</v>
      </c>
      <c r="AV40" s="475">
        <f t="shared" si="64"/>
        <v>442133</v>
      </c>
      <c r="AW40" s="475">
        <f t="shared" si="65"/>
        <v>0</v>
      </c>
      <c r="AX40" s="475">
        <f t="shared" si="66"/>
        <v>149441</v>
      </c>
      <c r="AY40" s="475">
        <f t="shared" si="66"/>
        <v>8843</v>
      </c>
      <c r="AZ40" s="475">
        <f t="shared" si="67"/>
        <v>0</v>
      </c>
      <c r="BA40" s="476">
        <f t="shared" si="68"/>
        <v>1</v>
      </c>
      <c r="BB40" s="476">
        <f t="shared" si="69"/>
        <v>1</v>
      </c>
      <c r="BC40" s="478">
        <f t="shared" si="69"/>
        <v>0</v>
      </c>
    </row>
    <row r="41" spans="1:55" s="102" customFormat="1" ht="14.1" customHeight="1" x14ac:dyDescent="0.2">
      <c r="A41" s="125">
        <v>5</v>
      </c>
      <c r="B41" s="80">
        <v>2451</v>
      </c>
      <c r="C41" s="99">
        <v>650037901</v>
      </c>
      <c r="D41" s="80">
        <v>72744880</v>
      </c>
      <c r="E41" s="80" t="s">
        <v>749</v>
      </c>
      <c r="F41" s="100">
        <v>3143</v>
      </c>
      <c r="G41" s="80" t="s">
        <v>627</v>
      </c>
      <c r="H41" s="101" t="s">
        <v>278</v>
      </c>
      <c r="I41" s="477">
        <v>22680</v>
      </c>
      <c r="J41" s="631">
        <v>16038</v>
      </c>
      <c r="K41" s="631">
        <v>0</v>
      </c>
      <c r="L41" s="472">
        <v>5421</v>
      </c>
      <c r="M41" s="472">
        <v>321</v>
      </c>
      <c r="N41" s="631">
        <v>900</v>
      </c>
      <c r="O41" s="473">
        <v>0.06</v>
      </c>
      <c r="P41" s="474">
        <v>0</v>
      </c>
      <c r="Q41" s="670">
        <v>0.06</v>
      </c>
      <c r="R41" s="485">
        <f t="shared" si="55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56"/>
        <v>0</v>
      </c>
      <c r="Y41" s="475">
        <v>0</v>
      </c>
      <c r="Z41" s="475">
        <v>0</v>
      </c>
      <c r="AA41" s="475">
        <v>0</v>
      </c>
      <c r="AB41" s="475">
        <f t="shared" si="57"/>
        <v>0</v>
      </c>
      <c r="AC41" s="475">
        <f t="shared" si="58"/>
        <v>0</v>
      </c>
      <c r="AD41" s="70">
        <f t="shared" si="59"/>
        <v>0</v>
      </c>
      <c r="AE41" s="70">
        <f t="shared" si="60"/>
        <v>0</v>
      </c>
      <c r="AF41" s="475">
        <v>0</v>
      </c>
      <c r="AG41" s="475">
        <v>0</v>
      </c>
      <c r="AH41" s="475">
        <f t="shared" si="61"/>
        <v>0</v>
      </c>
      <c r="AI41" s="475">
        <f t="shared" si="62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 t="shared" si="17"/>
        <v>0</v>
      </c>
      <c r="AS41" s="476">
        <f t="shared" si="18"/>
        <v>0</v>
      </c>
      <c r="AT41" s="478">
        <f t="shared" si="19"/>
        <v>0</v>
      </c>
      <c r="AU41" s="484">
        <f t="shared" si="63"/>
        <v>22680</v>
      </c>
      <c r="AV41" s="475">
        <f t="shared" si="64"/>
        <v>16038</v>
      </c>
      <c r="AW41" s="475">
        <f t="shared" si="65"/>
        <v>0</v>
      </c>
      <c r="AX41" s="475">
        <f t="shared" si="66"/>
        <v>5421</v>
      </c>
      <c r="AY41" s="475">
        <f t="shared" si="66"/>
        <v>321</v>
      </c>
      <c r="AZ41" s="475">
        <f t="shared" si="67"/>
        <v>900</v>
      </c>
      <c r="BA41" s="476">
        <f t="shared" si="68"/>
        <v>0.06</v>
      </c>
      <c r="BB41" s="476">
        <f t="shared" si="69"/>
        <v>0</v>
      </c>
      <c r="BC41" s="478">
        <f t="shared" si="69"/>
        <v>0.06</v>
      </c>
    </row>
    <row r="42" spans="1:55" s="102" customFormat="1" ht="14.1" customHeight="1" x14ac:dyDescent="0.2">
      <c r="A42" s="126">
        <v>5</v>
      </c>
      <c r="B42" s="103">
        <v>2451</v>
      </c>
      <c r="C42" s="104">
        <v>650037901</v>
      </c>
      <c r="D42" s="103">
        <v>72744880</v>
      </c>
      <c r="E42" s="103" t="s">
        <v>750</v>
      </c>
      <c r="F42" s="112"/>
      <c r="G42" s="106"/>
      <c r="H42" s="107"/>
      <c r="I42" s="505">
        <v>8655569</v>
      </c>
      <c r="J42" s="501">
        <v>6300372</v>
      </c>
      <c r="K42" s="501">
        <v>0</v>
      </c>
      <c r="L42" s="501">
        <v>2129525</v>
      </c>
      <c r="M42" s="501">
        <v>126008</v>
      </c>
      <c r="N42" s="501">
        <v>99664</v>
      </c>
      <c r="O42" s="502">
        <v>14.2783</v>
      </c>
      <c r="P42" s="502">
        <v>9.68</v>
      </c>
      <c r="Q42" s="507">
        <v>4.5982999999999992</v>
      </c>
      <c r="R42" s="505">
        <f t="shared" ref="R42:BC42" si="70">SUM(R36:R41)</f>
        <v>0</v>
      </c>
      <c r="S42" s="501">
        <f t="shared" si="70"/>
        <v>-69309</v>
      </c>
      <c r="T42" s="501">
        <f t="shared" si="70"/>
        <v>-6288</v>
      </c>
      <c r="U42" s="501">
        <f t="shared" si="70"/>
        <v>0</v>
      </c>
      <c r="V42" s="501">
        <f t="shared" si="70"/>
        <v>0</v>
      </c>
      <c r="W42" s="501">
        <f t="shared" si="70"/>
        <v>0</v>
      </c>
      <c r="X42" s="501">
        <f t="shared" si="70"/>
        <v>-75597</v>
      </c>
      <c r="Y42" s="501">
        <f t="shared" si="70"/>
        <v>0</v>
      </c>
      <c r="Z42" s="501">
        <f t="shared" si="70"/>
        <v>0</v>
      </c>
      <c r="AA42" s="501">
        <f t="shared" si="70"/>
        <v>0</v>
      </c>
      <c r="AB42" s="501">
        <f t="shared" si="70"/>
        <v>0</v>
      </c>
      <c r="AC42" s="501">
        <f t="shared" si="70"/>
        <v>-75597</v>
      </c>
      <c r="AD42" s="501">
        <f t="shared" si="70"/>
        <v>-25551</v>
      </c>
      <c r="AE42" s="501">
        <f t="shared" si="70"/>
        <v>-1512</v>
      </c>
      <c r="AF42" s="501">
        <f t="shared" si="70"/>
        <v>0</v>
      </c>
      <c r="AG42" s="501">
        <f t="shared" si="70"/>
        <v>0</v>
      </c>
      <c r="AH42" s="501">
        <f t="shared" si="70"/>
        <v>0</v>
      </c>
      <c r="AI42" s="501">
        <f t="shared" si="70"/>
        <v>-102660</v>
      </c>
      <c r="AJ42" s="502">
        <f t="shared" si="70"/>
        <v>0</v>
      </c>
      <c r="AK42" s="502">
        <f t="shared" si="70"/>
        <v>0</v>
      </c>
      <c r="AL42" s="502">
        <f t="shared" si="70"/>
        <v>-0.19</v>
      </c>
      <c r="AM42" s="502">
        <f t="shared" si="70"/>
        <v>0</v>
      </c>
      <c r="AN42" s="502">
        <f t="shared" si="70"/>
        <v>-2.0000000000000018E-2</v>
      </c>
      <c r="AO42" s="502">
        <f t="shared" si="70"/>
        <v>0</v>
      </c>
      <c r="AP42" s="502">
        <f t="shared" si="70"/>
        <v>0</v>
      </c>
      <c r="AQ42" s="502">
        <f t="shared" si="70"/>
        <v>0</v>
      </c>
      <c r="AR42" s="502">
        <f t="shared" si="70"/>
        <v>-0.19</v>
      </c>
      <c r="AS42" s="502">
        <f t="shared" si="70"/>
        <v>-2.0000000000000018E-2</v>
      </c>
      <c r="AT42" s="109">
        <f t="shared" si="70"/>
        <v>-0.21000000000000002</v>
      </c>
      <c r="AU42" s="509">
        <f t="shared" si="70"/>
        <v>8552909</v>
      </c>
      <c r="AV42" s="501">
        <f t="shared" si="70"/>
        <v>6224775</v>
      </c>
      <c r="AW42" s="501">
        <f t="shared" si="70"/>
        <v>0</v>
      </c>
      <c r="AX42" s="501">
        <f t="shared" si="70"/>
        <v>2103974</v>
      </c>
      <c r="AY42" s="501">
        <f t="shared" si="70"/>
        <v>124496</v>
      </c>
      <c r="AZ42" s="501">
        <f t="shared" si="70"/>
        <v>99664</v>
      </c>
      <c r="BA42" s="502">
        <f t="shared" si="70"/>
        <v>14.068299999999999</v>
      </c>
      <c r="BB42" s="502">
        <f t="shared" si="70"/>
        <v>9.49</v>
      </c>
      <c r="BC42" s="109">
        <f t="shared" si="70"/>
        <v>4.5782999999999996</v>
      </c>
    </row>
    <row r="43" spans="1:55" s="102" customFormat="1" ht="14.1" customHeight="1" x14ac:dyDescent="0.2">
      <c r="A43" s="125">
        <v>6</v>
      </c>
      <c r="B43" s="108">
        <v>2453</v>
      </c>
      <c r="C43" s="99">
        <v>600079686</v>
      </c>
      <c r="D43" s="80">
        <v>72743603</v>
      </c>
      <c r="E43" s="80" t="s">
        <v>751</v>
      </c>
      <c r="F43" s="100">
        <v>3111</v>
      </c>
      <c r="G43" s="80" t="s">
        <v>311</v>
      </c>
      <c r="H43" s="101" t="s">
        <v>277</v>
      </c>
      <c r="I43" s="477">
        <v>3314288</v>
      </c>
      <c r="J43" s="631">
        <v>2424660</v>
      </c>
      <c r="K43" s="631">
        <v>0</v>
      </c>
      <c r="L43" s="472">
        <v>819535</v>
      </c>
      <c r="M43" s="472">
        <v>48493</v>
      </c>
      <c r="N43" s="631">
        <v>21600</v>
      </c>
      <c r="O43" s="473">
        <v>5.2153</v>
      </c>
      <c r="P43" s="474">
        <v>4.1935000000000002</v>
      </c>
      <c r="Q43" s="670">
        <v>1.0218</v>
      </c>
      <c r="R43" s="485">
        <f t="shared" ref="R43:R48" si="71">Y43*-1</f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ref="X43:X48" si="72">SUM(R43:W43)</f>
        <v>0</v>
      </c>
      <c r="Y43" s="475">
        <v>0</v>
      </c>
      <c r="Z43" s="475">
        <v>0</v>
      </c>
      <c r="AA43" s="475">
        <v>0</v>
      </c>
      <c r="AB43" s="475">
        <f t="shared" ref="AB43:AB48" si="73">SUM(Y43:AA43)</f>
        <v>0</v>
      </c>
      <c r="AC43" s="475">
        <f t="shared" ref="AC43:AC48" si="74">X43+AB43</f>
        <v>0</v>
      </c>
      <c r="AD43" s="70">
        <f t="shared" ref="AD43:AD48" si="75">ROUND((X43+Y43+Z43)*33.8%,0)</f>
        <v>0</v>
      </c>
      <c r="AE43" s="70">
        <f t="shared" ref="AE43:AE48" si="76">ROUND(X43*2%,0)</f>
        <v>0</v>
      </c>
      <c r="AF43" s="475">
        <v>0</v>
      </c>
      <c r="AG43" s="475">
        <v>0</v>
      </c>
      <c r="AH43" s="475">
        <f t="shared" ref="AH43:AH48" si="77">SUM(AF43:AG43)</f>
        <v>0</v>
      </c>
      <c r="AI43" s="475">
        <f t="shared" ref="AI43:AI48" si="78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si="17"/>
        <v>0</v>
      </c>
      <c r="AS43" s="476">
        <f t="shared" si="18"/>
        <v>0</v>
      </c>
      <c r="AT43" s="478">
        <f t="shared" si="19"/>
        <v>0</v>
      </c>
      <c r="AU43" s="484">
        <f t="shared" ref="AU43:AU48" si="79">I43+AI43</f>
        <v>3314288</v>
      </c>
      <c r="AV43" s="475">
        <f t="shared" ref="AV43:AV48" si="80">J43+X43</f>
        <v>2424660</v>
      </c>
      <c r="AW43" s="475">
        <f t="shared" ref="AW43:AW48" si="81">K43+AB43</f>
        <v>0</v>
      </c>
      <c r="AX43" s="475">
        <f t="shared" ref="AX43:AY48" si="82">L43+AD43</f>
        <v>819535</v>
      </c>
      <c r="AY43" s="475">
        <f t="shared" si="82"/>
        <v>48493</v>
      </c>
      <c r="AZ43" s="475">
        <f t="shared" ref="AZ43:AZ48" si="83">N43+AH43</f>
        <v>21600</v>
      </c>
      <c r="BA43" s="476">
        <f t="shared" ref="BA43:BA48" si="84">O43+AT43</f>
        <v>5.2153</v>
      </c>
      <c r="BB43" s="476">
        <f t="shared" ref="BB43:BC48" si="85">P43+AR43</f>
        <v>4.1935000000000002</v>
      </c>
      <c r="BC43" s="478">
        <f t="shared" si="85"/>
        <v>1.0218</v>
      </c>
    </row>
    <row r="44" spans="1:55" s="102" customFormat="1" ht="14.1" customHeight="1" x14ac:dyDescent="0.2">
      <c r="A44" s="125">
        <v>6</v>
      </c>
      <c r="B44" s="110">
        <v>2453</v>
      </c>
      <c r="C44" s="99">
        <v>600079686</v>
      </c>
      <c r="D44" s="80">
        <v>72743603</v>
      </c>
      <c r="E44" s="110" t="s">
        <v>751</v>
      </c>
      <c r="F44" s="111">
        <v>3117</v>
      </c>
      <c r="G44" s="110" t="s">
        <v>329</v>
      </c>
      <c r="H44" s="101" t="s">
        <v>277</v>
      </c>
      <c r="I44" s="477">
        <v>5467654</v>
      </c>
      <c r="J44" s="631">
        <v>3897440</v>
      </c>
      <c r="K44" s="631">
        <v>40000</v>
      </c>
      <c r="L44" s="472">
        <v>1330855</v>
      </c>
      <c r="M44" s="472">
        <v>77949</v>
      </c>
      <c r="N44" s="631">
        <v>121410</v>
      </c>
      <c r="O44" s="473">
        <v>7.7885</v>
      </c>
      <c r="P44" s="474">
        <v>5.1718000000000002</v>
      </c>
      <c r="Q44" s="670">
        <v>2.6166999999999998</v>
      </c>
      <c r="R44" s="485">
        <f t="shared" si="71"/>
        <v>-10000</v>
      </c>
      <c r="S44" s="475">
        <v>0</v>
      </c>
      <c r="T44" s="475">
        <v>167353</v>
      </c>
      <c r="U44" s="475">
        <v>0</v>
      </c>
      <c r="V44" s="475">
        <v>0</v>
      </c>
      <c r="W44" s="475">
        <v>0</v>
      </c>
      <c r="X44" s="475">
        <f t="shared" si="72"/>
        <v>157353</v>
      </c>
      <c r="Y44" s="475">
        <v>10000</v>
      </c>
      <c r="Z44" s="475">
        <v>0</v>
      </c>
      <c r="AA44" s="475">
        <v>0</v>
      </c>
      <c r="AB44" s="475">
        <f t="shared" si="73"/>
        <v>10000</v>
      </c>
      <c r="AC44" s="475">
        <f t="shared" si="74"/>
        <v>167353</v>
      </c>
      <c r="AD44" s="70">
        <f t="shared" si="75"/>
        <v>56565</v>
      </c>
      <c r="AE44" s="70">
        <f t="shared" si="76"/>
        <v>3147</v>
      </c>
      <c r="AF44" s="475">
        <v>0</v>
      </c>
      <c r="AG44" s="475">
        <v>0</v>
      </c>
      <c r="AH44" s="475">
        <f t="shared" si="77"/>
        <v>0</v>
      </c>
      <c r="AI44" s="475">
        <f t="shared" si="78"/>
        <v>227065</v>
      </c>
      <c r="AJ44" s="476">
        <v>-0.02</v>
      </c>
      <c r="AK44" s="476">
        <v>0</v>
      </c>
      <c r="AL44" s="476">
        <v>0</v>
      </c>
      <c r="AM44" s="476">
        <v>0.28999999999999998</v>
      </c>
      <c r="AN44" s="476">
        <v>0</v>
      </c>
      <c r="AO44" s="476">
        <v>0</v>
      </c>
      <c r="AP44" s="476">
        <v>0</v>
      </c>
      <c r="AQ44" s="476">
        <v>0</v>
      </c>
      <c r="AR44" s="476">
        <f t="shared" si="17"/>
        <v>0.26999999999999996</v>
      </c>
      <c r="AS44" s="476">
        <f t="shared" si="18"/>
        <v>0</v>
      </c>
      <c r="AT44" s="478">
        <f t="shared" si="19"/>
        <v>0.26999999999999996</v>
      </c>
      <c r="AU44" s="484">
        <f t="shared" si="79"/>
        <v>5694719</v>
      </c>
      <c r="AV44" s="475">
        <f t="shared" si="80"/>
        <v>4054793</v>
      </c>
      <c r="AW44" s="475">
        <f t="shared" si="81"/>
        <v>50000</v>
      </c>
      <c r="AX44" s="475">
        <f t="shared" si="82"/>
        <v>1387420</v>
      </c>
      <c r="AY44" s="475">
        <f t="shared" si="82"/>
        <v>81096</v>
      </c>
      <c r="AZ44" s="475">
        <f t="shared" si="83"/>
        <v>121410</v>
      </c>
      <c r="BA44" s="476">
        <f t="shared" si="84"/>
        <v>8.0585000000000004</v>
      </c>
      <c r="BB44" s="476">
        <f t="shared" si="85"/>
        <v>5.4417999999999997</v>
      </c>
      <c r="BC44" s="478">
        <f t="shared" si="85"/>
        <v>2.6166999999999998</v>
      </c>
    </row>
    <row r="45" spans="1:55" s="102" customFormat="1" ht="14.1" customHeight="1" x14ac:dyDescent="0.2">
      <c r="A45" s="125">
        <v>6</v>
      </c>
      <c r="B45" s="108">
        <v>2453</v>
      </c>
      <c r="C45" s="99">
        <v>600079686</v>
      </c>
      <c r="D45" s="80">
        <v>72743603</v>
      </c>
      <c r="E45" s="108" t="s">
        <v>751</v>
      </c>
      <c r="F45" s="100">
        <v>3117</v>
      </c>
      <c r="G45" s="80" t="s">
        <v>312</v>
      </c>
      <c r="H45" s="101" t="s">
        <v>278</v>
      </c>
      <c r="I45" s="477">
        <v>1539004</v>
      </c>
      <c r="J45" s="472">
        <v>1133287</v>
      </c>
      <c r="K45" s="472">
        <v>0</v>
      </c>
      <c r="L45" s="472">
        <v>383051</v>
      </c>
      <c r="M45" s="472">
        <v>22666</v>
      </c>
      <c r="N45" s="472">
        <v>0</v>
      </c>
      <c r="O45" s="473">
        <v>3.7300000000000004</v>
      </c>
      <c r="P45" s="474">
        <v>3.7300000000000004</v>
      </c>
      <c r="Q45" s="483">
        <v>0</v>
      </c>
      <c r="R45" s="485">
        <f t="shared" si="71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72"/>
        <v>0</v>
      </c>
      <c r="Y45" s="475">
        <v>0</v>
      </c>
      <c r="Z45" s="475">
        <v>0</v>
      </c>
      <c r="AA45" s="475">
        <v>0</v>
      </c>
      <c r="AB45" s="475">
        <f t="shared" si="73"/>
        <v>0</v>
      </c>
      <c r="AC45" s="475">
        <f t="shared" si="74"/>
        <v>0</v>
      </c>
      <c r="AD45" s="70">
        <f t="shared" si="75"/>
        <v>0</v>
      </c>
      <c r="AE45" s="70">
        <f t="shared" si="76"/>
        <v>0</v>
      </c>
      <c r="AF45" s="475">
        <v>0</v>
      </c>
      <c r="AG45" s="475">
        <v>0</v>
      </c>
      <c r="AH45" s="475">
        <f t="shared" si="77"/>
        <v>0</v>
      </c>
      <c r="AI45" s="475">
        <f t="shared" si="78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 t="shared" si="17"/>
        <v>0</v>
      </c>
      <c r="AS45" s="476">
        <f t="shared" si="18"/>
        <v>0</v>
      </c>
      <c r="AT45" s="478">
        <f t="shared" si="19"/>
        <v>0</v>
      </c>
      <c r="AU45" s="484">
        <f t="shared" si="79"/>
        <v>1539004</v>
      </c>
      <c r="AV45" s="475">
        <f t="shared" si="80"/>
        <v>1133287</v>
      </c>
      <c r="AW45" s="475">
        <f t="shared" si="81"/>
        <v>0</v>
      </c>
      <c r="AX45" s="475">
        <f t="shared" si="82"/>
        <v>383051</v>
      </c>
      <c r="AY45" s="475">
        <f t="shared" si="82"/>
        <v>22666</v>
      </c>
      <c r="AZ45" s="475">
        <f t="shared" si="83"/>
        <v>0</v>
      </c>
      <c r="BA45" s="476">
        <f t="shared" si="84"/>
        <v>3.7300000000000004</v>
      </c>
      <c r="BB45" s="476">
        <f t="shared" si="85"/>
        <v>3.7300000000000004</v>
      </c>
      <c r="BC45" s="478">
        <f t="shared" si="85"/>
        <v>0</v>
      </c>
    </row>
    <row r="46" spans="1:55" s="102" customFormat="1" ht="14.1" customHeight="1" x14ac:dyDescent="0.2">
      <c r="A46" s="125">
        <v>6</v>
      </c>
      <c r="B46" s="80">
        <v>2453</v>
      </c>
      <c r="C46" s="99">
        <v>600079686</v>
      </c>
      <c r="D46" s="80">
        <v>72743603</v>
      </c>
      <c r="E46" s="80" t="s">
        <v>751</v>
      </c>
      <c r="F46" s="100">
        <v>3141</v>
      </c>
      <c r="G46" s="80" t="s">
        <v>315</v>
      </c>
      <c r="H46" s="101" t="s">
        <v>278</v>
      </c>
      <c r="I46" s="477">
        <v>530238</v>
      </c>
      <c r="J46" s="631">
        <v>387237</v>
      </c>
      <c r="K46" s="631">
        <v>0</v>
      </c>
      <c r="L46" s="472">
        <v>130886</v>
      </c>
      <c r="M46" s="472">
        <v>7745</v>
      </c>
      <c r="N46" s="631">
        <v>4370</v>
      </c>
      <c r="O46" s="473">
        <v>1.22</v>
      </c>
      <c r="P46" s="474">
        <v>0</v>
      </c>
      <c r="Q46" s="670">
        <v>1.22</v>
      </c>
      <c r="R46" s="485">
        <f t="shared" si="71"/>
        <v>0</v>
      </c>
      <c r="S46" s="475">
        <v>0</v>
      </c>
      <c r="T46" s="755">
        <v>2810</v>
      </c>
      <c r="U46" s="475">
        <v>0</v>
      </c>
      <c r="V46" s="475">
        <v>0</v>
      </c>
      <c r="W46" s="475">
        <v>0</v>
      </c>
      <c r="X46" s="475">
        <f t="shared" si="72"/>
        <v>2810</v>
      </c>
      <c r="Y46" s="475">
        <v>0</v>
      </c>
      <c r="Z46" s="475">
        <v>0</v>
      </c>
      <c r="AA46" s="475">
        <v>0</v>
      </c>
      <c r="AB46" s="475">
        <f t="shared" si="73"/>
        <v>0</v>
      </c>
      <c r="AC46" s="475">
        <f t="shared" si="74"/>
        <v>2810</v>
      </c>
      <c r="AD46" s="70">
        <f t="shared" si="75"/>
        <v>950</v>
      </c>
      <c r="AE46" s="70">
        <f t="shared" si="76"/>
        <v>56</v>
      </c>
      <c r="AF46" s="475">
        <v>0</v>
      </c>
      <c r="AG46" s="475">
        <v>0</v>
      </c>
      <c r="AH46" s="475">
        <f t="shared" si="77"/>
        <v>0</v>
      </c>
      <c r="AI46" s="475">
        <f t="shared" si="78"/>
        <v>3816</v>
      </c>
      <c r="AJ46" s="476">
        <v>0</v>
      </c>
      <c r="AK46" s="476">
        <v>0</v>
      </c>
      <c r="AL46" s="476">
        <v>0</v>
      </c>
      <c r="AM46" s="476">
        <v>0</v>
      </c>
      <c r="AN46" s="756">
        <v>1.0000000000000009E-2</v>
      </c>
      <c r="AO46" s="476">
        <v>0</v>
      </c>
      <c r="AP46" s="476">
        <v>0</v>
      </c>
      <c r="AQ46" s="476">
        <v>0</v>
      </c>
      <c r="AR46" s="476">
        <f t="shared" si="17"/>
        <v>0</v>
      </c>
      <c r="AS46" s="476">
        <f t="shared" si="18"/>
        <v>1.0000000000000009E-2</v>
      </c>
      <c r="AT46" s="478">
        <f t="shared" si="19"/>
        <v>1.0000000000000009E-2</v>
      </c>
      <c r="AU46" s="484">
        <f t="shared" si="79"/>
        <v>534054</v>
      </c>
      <c r="AV46" s="475">
        <f t="shared" si="80"/>
        <v>390047</v>
      </c>
      <c r="AW46" s="475">
        <f t="shared" si="81"/>
        <v>0</v>
      </c>
      <c r="AX46" s="475">
        <f t="shared" si="82"/>
        <v>131836</v>
      </c>
      <c r="AY46" s="475">
        <f t="shared" si="82"/>
        <v>7801</v>
      </c>
      <c r="AZ46" s="475">
        <f t="shared" si="83"/>
        <v>4370</v>
      </c>
      <c r="BA46" s="476">
        <f t="shared" si="84"/>
        <v>1.23</v>
      </c>
      <c r="BB46" s="476">
        <f t="shared" si="85"/>
        <v>0</v>
      </c>
      <c r="BC46" s="478">
        <f t="shared" si="85"/>
        <v>1.23</v>
      </c>
    </row>
    <row r="47" spans="1:55" s="102" customFormat="1" ht="14.1" customHeight="1" x14ac:dyDescent="0.2">
      <c r="A47" s="125">
        <v>6</v>
      </c>
      <c r="B47" s="80">
        <v>2453</v>
      </c>
      <c r="C47" s="99">
        <v>600079686</v>
      </c>
      <c r="D47" s="80">
        <v>72743603</v>
      </c>
      <c r="E47" s="80" t="s">
        <v>751</v>
      </c>
      <c r="F47" s="100">
        <v>3143</v>
      </c>
      <c r="G47" s="80" t="s">
        <v>626</v>
      </c>
      <c r="H47" s="101" t="s">
        <v>277</v>
      </c>
      <c r="I47" s="477">
        <v>1260862</v>
      </c>
      <c r="J47" s="632">
        <v>928470</v>
      </c>
      <c r="K47" s="632">
        <v>0</v>
      </c>
      <c r="L47" s="472">
        <v>313823</v>
      </c>
      <c r="M47" s="472">
        <v>18569</v>
      </c>
      <c r="N47" s="472">
        <v>0</v>
      </c>
      <c r="O47" s="473">
        <v>1.8213999999999999</v>
      </c>
      <c r="P47" s="13">
        <v>1.8213999999999999</v>
      </c>
      <c r="Q47" s="483">
        <v>0</v>
      </c>
      <c r="R47" s="485">
        <f t="shared" si="71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72"/>
        <v>0</v>
      </c>
      <c r="Y47" s="475">
        <v>0</v>
      </c>
      <c r="Z47" s="475">
        <v>0</v>
      </c>
      <c r="AA47" s="475">
        <v>0</v>
      </c>
      <c r="AB47" s="475">
        <f t="shared" si="73"/>
        <v>0</v>
      </c>
      <c r="AC47" s="475">
        <f t="shared" si="74"/>
        <v>0</v>
      </c>
      <c r="AD47" s="70">
        <f t="shared" si="75"/>
        <v>0</v>
      </c>
      <c r="AE47" s="70">
        <f t="shared" si="76"/>
        <v>0</v>
      </c>
      <c r="AF47" s="475">
        <v>0</v>
      </c>
      <c r="AG47" s="475">
        <v>0</v>
      </c>
      <c r="AH47" s="475">
        <f t="shared" si="77"/>
        <v>0</v>
      </c>
      <c r="AI47" s="475">
        <f t="shared" si="78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 t="shared" si="17"/>
        <v>0</v>
      </c>
      <c r="AS47" s="476">
        <f t="shared" si="18"/>
        <v>0</v>
      </c>
      <c r="AT47" s="478">
        <f t="shared" si="19"/>
        <v>0</v>
      </c>
      <c r="AU47" s="484">
        <f t="shared" si="79"/>
        <v>1260862</v>
      </c>
      <c r="AV47" s="475">
        <f t="shared" si="80"/>
        <v>928470</v>
      </c>
      <c r="AW47" s="475">
        <f t="shared" si="81"/>
        <v>0</v>
      </c>
      <c r="AX47" s="475">
        <f t="shared" si="82"/>
        <v>313823</v>
      </c>
      <c r="AY47" s="475">
        <f t="shared" si="82"/>
        <v>18569</v>
      </c>
      <c r="AZ47" s="475">
        <f t="shared" si="83"/>
        <v>0</v>
      </c>
      <c r="BA47" s="476">
        <f t="shared" si="84"/>
        <v>1.8213999999999999</v>
      </c>
      <c r="BB47" s="476">
        <f t="shared" si="85"/>
        <v>1.8213999999999999</v>
      </c>
      <c r="BC47" s="478">
        <f t="shared" si="85"/>
        <v>0</v>
      </c>
    </row>
    <row r="48" spans="1:55" s="102" customFormat="1" ht="14.1" customHeight="1" x14ac:dyDescent="0.2">
      <c r="A48" s="125">
        <v>6</v>
      </c>
      <c r="B48" s="80">
        <v>2453</v>
      </c>
      <c r="C48" s="99">
        <v>600079686</v>
      </c>
      <c r="D48" s="80">
        <v>72743603</v>
      </c>
      <c r="E48" s="80" t="s">
        <v>751</v>
      </c>
      <c r="F48" s="100">
        <v>3143</v>
      </c>
      <c r="G48" s="80" t="s">
        <v>627</v>
      </c>
      <c r="H48" s="101" t="s">
        <v>278</v>
      </c>
      <c r="I48" s="477">
        <v>45361</v>
      </c>
      <c r="J48" s="631">
        <v>32077</v>
      </c>
      <c r="K48" s="631">
        <v>0</v>
      </c>
      <c r="L48" s="472">
        <v>10842</v>
      </c>
      <c r="M48" s="472">
        <v>642</v>
      </c>
      <c r="N48" s="631">
        <v>1800</v>
      </c>
      <c r="O48" s="473">
        <v>0.13</v>
      </c>
      <c r="P48" s="474">
        <v>0</v>
      </c>
      <c r="Q48" s="670">
        <v>0.13</v>
      </c>
      <c r="R48" s="485">
        <f t="shared" si="71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72"/>
        <v>0</v>
      </c>
      <c r="Y48" s="475">
        <v>0</v>
      </c>
      <c r="Z48" s="475">
        <v>0</v>
      </c>
      <c r="AA48" s="475">
        <v>0</v>
      </c>
      <c r="AB48" s="475">
        <f t="shared" si="73"/>
        <v>0</v>
      </c>
      <c r="AC48" s="475">
        <f t="shared" si="74"/>
        <v>0</v>
      </c>
      <c r="AD48" s="70">
        <f t="shared" si="75"/>
        <v>0</v>
      </c>
      <c r="AE48" s="70">
        <f t="shared" si="76"/>
        <v>0</v>
      </c>
      <c r="AF48" s="475">
        <v>0</v>
      </c>
      <c r="AG48" s="475">
        <v>0</v>
      </c>
      <c r="AH48" s="475">
        <f t="shared" si="77"/>
        <v>0</v>
      </c>
      <c r="AI48" s="475">
        <f t="shared" si="78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si="17"/>
        <v>0</v>
      </c>
      <c r="AS48" s="476">
        <f t="shared" si="18"/>
        <v>0</v>
      </c>
      <c r="AT48" s="478">
        <f t="shared" si="19"/>
        <v>0</v>
      </c>
      <c r="AU48" s="484">
        <f t="shared" si="79"/>
        <v>45361</v>
      </c>
      <c r="AV48" s="475">
        <f t="shared" si="80"/>
        <v>32077</v>
      </c>
      <c r="AW48" s="475">
        <f t="shared" si="81"/>
        <v>0</v>
      </c>
      <c r="AX48" s="475">
        <f t="shared" si="82"/>
        <v>10842</v>
      </c>
      <c r="AY48" s="475">
        <f t="shared" si="82"/>
        <v>642</v>
      </c>
      <c r="AZ48" s="475">
        <f t="shared" si="83"/>
        <v>1800</v>
      </c>
      <c r="BA48" s="476">
        <f t="shared" si="84"/>
        <v>0.13</v>
      </c>
      <c r="BB48" s="476">
        <f t="shared" si="85"/>
        <v>0</v>
      </c>
      <c r="BC48" s="478">
        <f t="shared" si="85"/>
        <v>0.13</v>
      </c>
    </row>
    <row r="49" spans="1:55" s="102" customFormat="1" ht="14.1" customHeight="1" x14ac:dyDescent="0.2">
      <c r="A49" s="126">
        <v>6</v>
      </c>
      <c r="B49" s="103">
        <v>2453</v>
      </c>
      <c r="C49" s="104">
        <v>600079686</v>
      </c>
      <c r="D49" s="103">
        <v>72743603</v>
      </c>
      <c r="E49" s="103" t="s">
        <v>752</v>
      </c>
      <c r="F49" s="112"/>
      <c r="G49" s="106"/>
      <c r="H49" s="107"/>
      <c r="I49" s="505">
        <v>12157407</v>
      </c>
      <c r="J49" s="501">
        <v>8803171</v>
      </c>
      <c r="K49" s="501">
        <v>40000</v>
      </c>
      <c r="L49" s="501">
        <v>2988992</v>
      </c>
      <c r="M49" s="501">
        <v>176064</v>
      </c>
      <c r="N49" s="501">
        <v>149180</v>
      </c>
      <c r="O49" s="502">
        <v>19.905200000000001</v>
      </c>
      <c r="P49" s="502">
        <v>14.916700000000002</v>
      </c>
      <c r="Q49" s="507">
        <v>4.9884999999999993</v>
      </c>
      <c r="R49" s="505">
        <f t="shared" ref="R49:BC49" si="86">SUM(R43:R48)</f>
        <v>-10000</v>
      </c>
      <c r="S49" s="501">
        <f t="shared" si="86"/>
        <v>0</v>
      </c>
      <c r="T49" s="501">
        <f t="shared" si="86"/>
        <v>170163</v>
      </c>
      <c r="U49" s="501">
        <f t="shared" si="86"/>
        <v>0</v>
      </c>
      <c r="V49" s="501">
        <f t="shared" si="86"/>
        <v>0</v>
      </c>
      <c r="W49" s="501">
        <f t="shared" si="86"/>
        <v>0</v>
      </c>
      <c r="X49" s="501">
        <f t="shared" si="86"/>
        <v>160163</v>
      </c>
      <c r="Y49" s="501">
        <f t="shared" si="86"/>
        <v>10000</v>
      </c>
      <c r="Z49" s="501">
        <f t="shared" si="86"/>
        <v>0</v>
      </c>
      <c r="AA49" s="501">
        <f t="shared" si="86"/>
        <v>0</v>
      </c>
      <c r="AB49" s="501">
        <f t="shared" si="86"/>
        <v>10000</v>
      </c>
      <c r="AC49" s="501">
        <f t="shared" si="86"/>
        <v>170163</v>
      </c>
      <c r="AD49" s="501">
        <f t="shared" si="86"/>
        <v>57515</v>
      </c>
      <c r="AE49" s="501">
        <f t="shared" si="86"/>
        <v>3203</v>
      </c>
      <c r="AF49" s="501">
        <f t="shared" si="86"/>
        <v>0</v>
      </c>
      <c r="AG49" s="501">
        <f t="shared" si="86"/>
        <v>0</v>
      </c>
      <c r="AH49" s="501">
        <f t="shared" si="86"/>
        <v>0</v>
      </c>
      <c r="AI49" s="501">
        <f t="shared" si="86"/>
        <v>230881</v>
      </c>
      <c r="AJ49" s="502">
        <f t="shared" si="86"/>
        <v>-0.02</v>
      </c>
      <c r="AK49" s="502">
        <f t="shared" si="86"/>
        <v>0</v>
      </c>
      <c r="AL49" s="502">
        <f t="shared" si="86"/>
        <v>0</v>
      </c>
      <c r="AM49" s="502">
        <f t="shared" si="86"/>
        <v>0.28999999999999998</v>
      </c>
      <c r="AN49" s="502">
        <f t="shared" si="86"/>
        <v>1.0000000000000009E-2</v>
      </c>
      <c r="AO49" s="502">
        <f t="shared" si="86"/>
        <v>0</v>
      </c>
      <c r="AP49" s="502">
        <f t="shared" si="86"/>
        <v>0</v>
      </c>
      <c r="AQ49" s="502">
        <f t="shared" si="86"/>
        <v>0</v>
      </c>
      <c r="AR49" s="502">
        <f t="shared" si="86"/>
        <v>0.26999999999999996</v>
      </c>
      <c r="AS49" s="502">
        <f t="shared" si="86"/>
        <v>1.0000000000000009E-2</v>
      </c>
      <c r="AT49" s="109">
        <f t="shared" si="86"/>
        <v>0.27999999999999997</v>
      </c>
      <c r="AU49" s="509">
        <f t="shared" si="86"/>
        <v>12388288</v>
      </c>
      <c r="AV49" s="501">
        <f t="shared" si="86"/>
        <v>8963334</v>
      </c>
      <c r="AW49" s="501">
        <f t="shared" si="86"/>
        <v>50000</v>
      </c>
      <c r="AX49" s="501">
        <f t="shared" si="86"/>
        <v>3046507</v>
      </c>
      <c r="AY49" s="501">
        <f t="shared" si="86"/>
        <v>179267</v>
      </c>
      <c r="AZ49" s="501">
        <f t="shared" si="86"/>
        <v>149180</v>
      </c>
      <c r="BA49" s="502">
        <f t="shared" si="86"/>
        <v>20.185200000000002</v>
      </c>
      <c r="BB49" s="502">
        <f t="shared" si="86"/>
        <v>15.186700000000002</v>
      </c>
      <c r="BC49" s="109">
        <f t="shared" si="86"/>
        <v>4.9984999999999991</v>
      </c>
    </row>
    <row r="50" spans="1:55" s="102" customFormat="1" ht="14.1" customHeight="1" x14ac:dyDescent="0.2">
      <c r="A50" s="125">
        <v>7</v>
      </c>
      <c r="B50" s="108">
        <v>2320</v>
      </c>
      <c r="C50" s="99">
        <v>650034180</v>
      </c>
      <c r="D50" s="80">
        <v>72755369</v>
      </c>
      <c r="E50" s="80" t="s">
        <v>753</v>
      </c>
      <c r="F50" s="100">
        <v>3111</v>
      </c>
      <c r="G50" s="80" t="s">
        <v>311</v>
      </c>
      <c r="H50" s="101" t="s">
        <v>277</v>
      </c>
      <c r="I50" s="477">
        <v>3009156</v>
      </c>
      <c r="J50" s="631">
        <v>2162876</v>
      </c>
      <c r="K50" s="631">
        <v>40000</v>
      </c>
      <c r="L50" s="472">
        <v>744572</v>
      </c>
      <c r="M50" s="472">
        <v>43258</v>
      </c>
      <c r="N50" s="631">
        <v>18450</v>
      </c>
      <c r="O50" s="473">
        <v>4.8218000000000005</v>
      </c>
      <c r="P50" s="474">
        <v>4</v>
      </c>
      <c r="Q50" s="670">
        <v>0.82179999999999986</v>
      </c>
      <c r="R50" s="485">
        <f t="shared" ref="R50:R55" si="87">Y50*-1</f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ref="X50:X55" si="88">SUM(R50:W50)</f>
        <v>0</v>
      </c>
      <c r="Y50" s="475">
        <v>0</v>
      </c>
      <c r="Z50" s="475">
        <v>0</v>
      </c>
      <c r="AA50" s="475">
        <v>0</v>
      </c>
      <c r="AB50" s="475">
        <f t="shared" ref="AB50:AB55" si="89">SUM(Y50:AA50)</f>
        <v>0</v>
      </c>
      <c r="AC50" s="475">
        <f t="shared" ref="AC50:AC55" si="90">X50+AB50</f>
        <v>0</v>
      </c>
      <c r="AD50" s="70">
        <f t="shared" ref="AD50:AD55" si="91">ROUND((X50+Y50+Z50)*33.8%,0)</f>
        <v>0</v>
      </c>
      <c r="AE50" s="70">
        <f t="shared" ref="AE50:AE55" si="92">ROUND(X50*2%,0)</f>
        <v>0</v>
      </c>
      <c r="AF50" s="475">
        <v>0</v>
      </c>
      <c r="AG50" s="475">
        <v>0</v>
      </c>
      <c r="AH50" s="475">
        <f t="shared" ref="AH50:AH55" si="93">SUM(AF50:AG50)</f>
        <v>0</v>
      </c>
      <c r="AI50" s="475">
        <f t="shared" ref="AI50:AI55" si="94">AC50+AD50+AE50+AH50</f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si="17"/>
        <v>0</v>
      </c>
      <c r="AS50" s="476">
        <f t="shared" si="18"/>
        <v>0</v>
      </c>
      <c r="AT50" s="478">
        <f t="shared" si="19"/>
        <v>0</v>
      </c>
      <c r="AU50" s="484">
        <f t="shared" ref="AU50:AU55" si="95">I50+AI50</f>
        <v>3009156</v>
      </c>
      <c r="AV50" s="475">
        <f t="shared" ref="AV50:AV55" si="96">J50+X50</f>
        <v>2162876</v>
      </c>
      <c r="AW50" s="475">
        <f t="shared" ref="AW50:AW55" si="97">K50+AB50</f>
        <v>40000</v>
      </c>
      <c r="AX50" s="475">
        <f t="shared" ref="AX50:AY55" si="98">L50+AD50</f>
        <v>744572</v>
      </c>
      <c r="AY50" s="475">
        <f t="shared" si="98"/>
        <v>43258</v>
      </c>
      <c r="AZ50" s="475">
        <f t="shared" ref="AZ50:AZ55" si="99">N50+AH50</f>
        <v>18450</v>
      </c>
      <c r="BA50" s="476">
        <f t="shared" ref="BA50:BA55" si="100">O50+AT50</f>
        <v>4.8218000000000005</v>
      </c>
      <c r="BB50" s="476">
        <f t="shared" ref="BB50:BC55" si="101">P50+AR50</f>
        <v>4</v>
      </c>
      <c r="BC50" s="478">
        <f t="shared" si="101"/>
        <v>0.82179999999999986</v>
      </c>
    </row>
    <row r="51" spans="1:55" s="102" customFormat="1" ht="14.1" customHeight="1" x14ac:dyDescent="0.2">
      <c r="A51" s="125">
        <v>7</v>
      </c>
      <c r="B51" s="110">
        <v>2320</v>
      </c>
      <c r="C51" s="99">
        <v>650034180</v>
      </c>
      <c r="D51" s="80">
        <v>72755369</v>
      </c>
      <c r="E51" s="110" t="s">
        <v>753</v>
      </c>
      <c r="F51" s="111">
        <v>3117</v>
      </c>
      <c r="G51" s="110" t="s">
        <v>314</v>
      </c>
      <c r="H51" s="101" t="s">
        <v>277</v>
      </c>
      <c r="I51" s="477">
        <v>4493827</v>
      </c>
      <c r="J51" s="631">
        <v>3215595</v>
      </c>
      <c r="K51" s="631">
        <v>40000</v>
      </c>
      <c r="L51" s="472">
        <v>1100391</v>
      </c>
      <c r="M51" s="472">
        <v>64311</v>
      </c>
      <c r="N51" s="631">
        <v>73530</v>
      </c>
      <c r="O51" s="473">
        <v>6.3223000000000003</v>
      </c>
      <c r="P51" s="474">
        <v>4.1818</v>
      </c>
      <c r="Q51" s="670">
        <v>2.1404999999999998</v>
      </c>
      <c r="R51" s="485">
        <f t="shared" si="87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88"/>
        <v>0</v>
      </c>
      <c r="Y51" s="475">
        <v>0</v>
      </c>
      <c r="Z51" s="475">
        <v>0</v>
      </c>
      <c r="AA51" s="475">
        <v>0</v>
      </c>
      <c r="AB51" s="475">
        <f t="shared" si="89"/>
        <v>0</v>
      </c>
      <c r="AC51" s="475">
        <f t="shared" si="90"/>
        <v>0</v>
      </c>
      <c r="AD51" s="70">
        <f t="shared" si="91"/>
        <v>0</v>
      </c>
      <c r="AE51" s="70">
        <f t="shared" si="92"/>
        <v>0</v>
      </c>
      <c r="AF51" s="475">
        <v>0</v>
      </c>
      <c r="AG51" s="475">
        <v>0</v>
      </c>
      <c r="AH51" s="475">
        <f t="shared" si="93"/>
        <v>0</v>
      </c>
      <c r="AI51" s="475">
        <f t="shared" si="94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 t="shared" si="17"/>
        <v>0</v>
      </c>
      <c r="AS51" s="476">
        <f t="shared" si="18"/>
        <v>0</v>
      </c>
      <c r="AT51" s="478">
        <f t="shared" si="19"/>
        <v>0</v>
      </c>
      <c r="AU51" s="484">
        <f t="shared" si="95"/>
        <v>4493827</v>
      </c>
      <c r="AV51" s="475">
        <f t="shared" si="96"/>
        <v>3215595</v>
      </c>
      <c r="AW51" s="475">
        <f t="shared" si="97"/>
        <v>40000</v>
      </c>
      <c r="AX51" s="475">
        <f t="shared" si="98"/>
        <v>1100391</v>
      </c>
      <c r="AY51" s="475">
        <f t="shared" si="98"/>
        <v>64311</v>
      </c>
      <c r="AZ51" s="475">
        <f t="shared" si="99"/>
        <v>73530</v>
      </c>
      <c r="BA51" s="476">
        <f t="shared" si="100"/>
        <v>6.3223000000000003</v>
      </c>
      <c r="BB51" s="476">
        <f t="shared" si="101"/>
        <v>4.1818</v>
      </c>
      <c r="BC51" s="478">
        <f t="shared" si="101"/>
        <v>2.1404999999999998</v>
      </c>
    </row>
    <row r="52" spans="1:55" s="102" customFormat="1" ht="14.1" customHeight="1" x14ac:dyDescent="0.2">
      <c r="A52" s="125">
        <v>7</v>
      </c>
      <c r="B52" s="108">
        <v>2320</v>
      </c>
      <c r="C52" s="99">
        <v>650034180</v>
      </c>
      <c r="D52" s="80">
        <v>72755369</v>
      </c>
      <c r="E52" s="108" t="s">
        <v>753</v>
      </c>
      <c r="F52" s="100">
        <v>3117</v>
      </c>
      <c r="G52" s="80" t="s">
        <v>312</v>
      </c>
      <c r="H52" s="101" t="s">
        <v>278</v>
      </c>
      <c r="I52" s="477">
        <v>283252</v>
      </c>
      <c r="J52" s="472">
        <v>208580</v>
      </c>
      <c r="K52" s="472">
        <v>0</v>
      </c>
      <c r="L52" s="472">
        <v>70500</v>
      </c>
      <c r="M52" s="472">
        <v>4172</v>
      </c>
      <c r="N52" s="472">
        <v>0</v>
      </c>
      <c r="O52" s="473">
        <v>0.74</v>
      </c>
      <c r="P52" s="474">
        <v>0.74</v>
      </c>
      <c r="Q52" s="483">
        <v>0</v>
      </c>
      <c r="R52" s="485">
        <f t="shared" si="87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88"/>
        <v>0</v>
      </c>
      <c r="Y52" s="475">
        <v>0</v>
      </c>
      <c r="Z52" s="475">
        <v>0</v>
      </c>
      <c r="AA52" s="475">
        <v>0</v>
      </c>
      <c r="AB52" s="475">
        <f t="shared" si="89"/>
        <v>0</v>
      </c>
      <c r="AC52" s="475">
        <f t="shared" si="90"/>
        <v>0</v>
      </c>
      <c r="AD52" s="70">
        <f t="shared" si="91"/>
        <v>0</v>
      </c>
      <c r="AE52" s="70">
        <f t="shared" si="92"/>
        <v>0</v>
      </c>
      <c r="AF52" s="475">
        <v>0</v>
      </c>
      <c r="AG52" s="475">
        <v>0</v>
      </c>
      <c r="AH52" s="475">
        <f t="shared" si="93"/>
        <v>0</v>
      </c>
      <c r="AI52" s="475">
        <f t="shared" si="94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 t="shared" si="17"/>
        <v>0</v>
      </c>
      <c r="AS52" s="476">
        <f t="shared" si="18"/>
        <v>0</v>
      </c>
      <c r="AT52" s="478">
        <f t="shared" si="19"/>
        <v>0</v>
      </c>
      <c r="AU52" s="484">
        <f t="shared" si="95"/>
        <v>283252</v>
      </c>
      <c r="AV52" s="475">
        <f t="shared" si="96"/>
        <v>208580</v>
      </c>
      <c r="AW52" s="475">
        <f t="shared" si="97"/>
        <v>0</v>
      </c>
      <c r="AX52" s="475">
        <f t="shared" si="98"/>
        <v>70500</v>
      </c>
      <c r="AY52" s="475">
        <f t="shared" si="98"/>
        <v>4172</v>
      </c>
      <c r="AZ52" s="475">
        <f t="shared" si="99"/>
        <v>0</v>
      </c>
      <c r="BA52" s="476">
        <f t="shared" si="100"/>
        <v>0.74</v>
      </c>
      <c r="BB52" s="476">
        <f t="shared" si="101"/>
        <v>0.74</v>
      </c>
      <c r="BC52" s="478">
        <f t="shared" si="101"/>
        <v>0</v>
      </c>
    </row>
    <row r="53" spans="1:55" s="102" customFormat="1" ht="14.1" customHeight="1" x14ac:dyDescent="0.2">
      <c r="A53" s="125">
        <v>7</v>
      </c>
      <c r="B53" s="80">
        <v>2320</v>
      </c>
      <c r="C53" s="99">
        <v>650034180</v>
      </c>
      <c r="D53" s="80">
        <v>72755369</v>
      </c>
      <c r="E53" s="80" t="s">
        <v>753</v>
      </c>
      <c r="F53" s="100">
        <v>3141</v>
      </c>
      <c r="G53" s="80" t="s">
        <v>315</v>
      </c>
      <c r="H53" s="101" t="s">
        <v>278</v>
      </c>
      <c r="I53" s="477">
        <v>1066062</v>
      </c>
      <c r="J53" s="631">
        <v>781478</v>
      </c>
      <c r="K53" s="631">
        <v>0</v>
      </c>
      <c r="L53" s="472">
        <v>264140</v>
      </c>
      <c r="M53" s="472">
        <v>15630</v>
      </c>
      <c r="N53" s="631">
        <v>4814</v>
      </c>
      <c r="O53" s="473">
        <v>2.46</v>
      </c>
      <c r="P53" s="474">
        <v>0</v>
      </c>
      <c r="Q53" s="670">
        <v>2.46</v>
      </c>
      <c r="R53" s="485">
        <f t="shared" si="87"/>
        <v>0</v>
      </c>
      <c r="S53" s="475">
        <v>0</v>
      </c>
      <c r="T53" s="755">
        <v>5045</v>
      </c>
      <c r="U53" s="475">
        <v>0</v>
      </c>
      <c r="V53" s="475">
        <v>0</v>
      </c>
      <c r="W53" s="475">
        <v>0</v>
      </c>
      <c r="X53" s="475">
        <f t="shared" si="88"/>
        <v>5045</v>
      </c>
      <c r="Y53" s="475">
        <v>0</v>
      </c>
      <c r="Z53" s="475">
        <v>0</v>
      </c>
      <c r="AA53" s="475">
        <v>0</v>
      </c>
      <c r="AB53" s="475">
        <f t="shared" si="89"/>
        <v>0</v>
      </c>
      <c r="AC53" s="475">
        <f t="shared" si="90"/>
        <v>5045</v>
      </c>
      <c r="AD53" s="70">
        <f t="shared" si="91"/>
        <v>1705</v>
      </c>
      <c r="AE53" s="70">
        <f t="shared" si="92"/>
        <v>101</v>
      </c>
      <c r="AF53" s="475">
        <v>0</v>
      </c>
      <c r="AG53" s="475">
        <v>0</v>
      </c>
      <c r="AH53" s="475">
        <f t="shared" si="93"/>
        <v>0</v>
      </c>
      <c r="AI53" s="475">
        <f t="shared" si="94"/>
        <v>6851</v>
      </c>
      <c r="AJ53" s="476">
        <v>0</v>
      </c>
      <c r="AK53" s="476">
        <v>0</v>
      </c>
      <c r="AL53" s="476">
        <v>0</v>
      </c>
      <c r="AM53" s="476">
        <v>0</v>
      </c>
      <c r="AN53" s="756">
        <v>2.0000000000000073E-2</v>
      </c>
      <c r="AO53" s="476">
        <v>0</v>
      </c>
      <c r="AP53" s="476">
        <v>0</v>
      </c>
      <c r="AQ53" s="476">
        <v>0</v>
      </c>
      <c r="AR53" s="476">
        <f t="shared" si="17"/>
        <v>0</v>
      </c>
      <c r="AS53" s="476">
        <f t="shared" si="18"/>
        <v>2.0000000000000073E-2</v>
      </c>
      <c r="AT53" s="478">
        <f t="shared" si="19"/>
        <v>2.0000000000000073E-2</v>
      </c>
      <c r="AU53" s="484">
        <f t="shared" si="95"/>
        <v>1072913</v>
      </c>
      <c r="AV53" s="475">
        <f t="shared" si="96"/>
        <v>786523</v>
      </c>
      <c r="AW53" s="475">
        <f t="shared" si="97"/>
        <v>0</v>
      </c>
      <c r="AX53" s="475">
        <f t="shared" si="98"/>
        <v>265845</v>
      </c>
      <c r="AY53" s="475">
        <f t="shared" si="98"/>
        <v>15731</v>
      </c>
      <c r="AZ53" s="475">
        <f t="shared" si="99"/>
        <v>4814</v>
      </c>
      <c r="BA53" s="476">
        <f t="shared" si="100"/>
        <v>2.48</v>
      </c>
      <c r="BB53" s="476">
        <f t="shared" si="101"/>
        <v>0</v>
      </c>
      <c r="BC53" s="478">
        <f t="shared" si="101"/>
        <v>2.48</v>
      </c>
    </row>
    <row r="54" spans="1:55" s="102" customFormat="1" ht="14.1" customHeight="1" x14ac:dyDescent="0.2">
      <c r="A54" s="125">
        <v>7</v>
      </c>
      <c r="B54" s="80">
        <v>2320</v>
      </c>
      <c r="C54" s="99">
        <v>650034180</v>
      </c>
      <c r="D54" s="80">
        <v>72755369</v>
      </c>
      <c r="E54" s="80" t="s">
        <v>753</v>
      </c>
      <c r="F54" s="100">
        <v>3143</v>
      </c>
      <c r="G54" s="80" t="s">
        <v>626</v>
      </c>
      <c r="H54" s="101" t="s">
        <v>277</v>
      </c>
      <c r="I54" s="477">
        <v>836045</v>
      </c>
      <c r="J54" s="632">
        <v>615644</v>
      </c>
      <c r="K54" s="632">
        <v>0</v>
      </c>
      <c r="L54" s="472">
        <v>208088</v>
      </c>
      <c r="M54" s="472">
        <v>12313</v>
      </c>
      <c r="N54" s="472">
        <v>0</v>
      </c>
      <c r="O54" s="473">
        <v>1.4016999999999999</v>
      </c>
      <c r="P54" s="13">
        <v>1.4016999999999999</v>
      </c>
      <c r="Q54" s="483">
        <v>0</v>
      </c>
      <c r="R54" s="485">
        <f t="shared" si="87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88"/>
        <v>0</v>
      </c>
      <c r="Y54" s="475">
        <v>0</v>
      </c>
      <c r="Z54" s="475">
        <v>0</v>
      </c>
      <c r="AA54" s="475">
        <v>0</v>
      </c>
      <c r="AB54" s="475">
        <f t="shared" si="89"/>
        <v>0</v>
      </c>
      <c r="AC54" s="475">
        <f t="shared" si="90"/>
        <v>0</v>
      </c>
      <c r="AD54" s="70">
        <f t="shared" si="91"/>
        <v>0</v>
      </c>
      <c r="AE54" s="70">
        <f t="shared" si="92"/>
        <v>0</v>
      </c>
      <c r="AF54" s="475">
        <v>0</v>
      </c>
      <c r="AG54" s="475">
        <v>0</v>
      </c>
      <c r="AH54" s="475">
        <f t="shared" si="93"/>
        <v>0</v>
      </c>
      <c r="AI54" s="475">
        <f t="shared" si="94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 t="shared" si="17"/>
        <v>0</v>
      </c>
      <c r="AS54" s="476">
        <f t="shared" si="18"/>
        <v>0</v>
      </c>
      <c r="AT54" s="478">
        <f t="shared" si="19"/>
        <v>0</v>
      </c>
      <c r="AU54" s="484">
        <f t="shared" si="95"/>
        <v>836045</v>
      </c>
      <c r="AV54" s="475">
        <f t="shared" si="96"/>
        <v>615644</v>
      </c>
      <c r="AW54" s="475">
        <f t="shared" si="97"/>
        <v>0</v>
      </c>
      <c r="AX54" s="475">
        <f t="shared" si="98"/>
        <v>208088</v>
      </c>
      <c r="AY54" s="475">
        <f t="shared" si="98"/>
        <v>12313</v>
      </c>
      <c r="AZ54" s="475">
        <f t="shared" si="99"/>
        <v>0</v>
      </c>
      <c r="BA54" s="476">
        <f t="shared" si="100"/>
        <v>1.4016999999999999</v>
      </c>
      <c r="BB54" s="476">
        <f t="shared" si="101"/>
        <v>1.4016999999999999</v>
      </c>
      <c r="BC54" s="478">
        <f t="shared" si="101"/>
        <v>0</v>
      </c>
    </row>
    <row r="55" spans="1:55" s="102" customFormat="1" ht="14.1" customHeight="1" x14ac:dyDescent="0.2">
      <c r="A55" s="125">
        <v>7</v>
      </c>
      <c r="B55" s="80">
        <v>2320</v>
      </c>
      <c r="C55" s="99">
        <v>650034180</v>
      </c>
      <c r="D55" s="80">
        <v>72755369</v>
      </c>
      <c r="E55" s="80" t="s">
        <v>753</v>
      </c>
      <c r="F55" s="100">
        <v>3143</v>
      </c>
      <c r="G55" s="80" t="s">
        <v>627</v>
      </c>
      <c r="H55" s="101" t="s">
        <v>278</v>
      </c>
      <c r="I55" s="477">
        <v>30240</v>
      </c>
      <c r="J55" s="631">
        <v>21384</v>
      </c>
      <c r="K55" s="631">
        <v>0</v>
      </c>
      <c r="L55" s="472">
        <v>7228</v>
      </c>
      <c r="M55" s="472">
        <v>428</v>
      </c>
      <c r="N55" s="631">
        <v>1200</v>
      </c>
      <c r="O55" s="473">
        <v>0.08</v>
      </c>
      <c r="P55" s="474">
        <v>0</v>
      </c>
      <c r="Q55" s="670">
        <v>0.08</v>
      </c>
      <c r="R55" s="485">
        <f t="shared" si="87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88"/>
        <v>0</v>
      </c>
      <c r="Y55" s="475">
        <v>0</v>
      </c>
      <c r="Z55" s="475">
        <v>0</v>
      </c>
      <c r="AA55" s="475">
        <v>0</v>
      </c>
      <c r="AB55" s="475">
        <f t="shared" si="89"/>
        <v>0</v>
      </c>
      <c r="AC55" s="475">
        <f t="shared" si="90"/>
        <v>0</v>
      </c>
      <c r="AD55" s="70">
        <f t="shared" si="91"/>
        <v>0</v>
      </c>
      <c r="AE55" s="70">
        <f t="shared" si="92"/>
        <v>0</v>
      </c>
      <c r="AF55" s="475">
        <v>0</v>
      </c>
      <c r="AG55" s="475">
        <v>0</v>
      </c>
      <c r="AH55" s="475">
        <f t="shared" si="93"/>
        <v>0</v>
      </c>
      <c r="AI55" s="475">
        <f t="shared" si="94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 t="shared" si="17"/>
        <v>0</v>
      </c>
      <c r="AS55" s="476">
        <f t="shared" si="18"/>
        <v>0</v>
      </c>
      <c r="AT55" s="478">
        <f t="shared" si="19"/>
        <v>0</v>
      </c>
      <c r="AU55" s="484">
        <f t="shared" si="95"/>
        <v>30240</v>
      </c>
      <c r="AV55" s="475">
        <f t="shared" si="96"/>
        <v>21384</v>
      </c>
      <c r="AW55" s="475">
        <f t="shared" si="97"/>
        <v>0</v>
      </c>
      <c r="AX55" s="475">
        <f t="shared" si="98"/>
        <v>7228</v>
      </c>
      <c r="AY55" s="475">
        <f t="shared" si="98"/>
        <v>428</v>
      </c>
      <c r="AZ55" s="475">
        <f t="shared" si="99"/>
        <v>1200</v>
      </c>
      <c r="BA55" s="476">
        <f t="shared" si="100"/>
        <v>0.08</v>
      </c>
      <c r="BB55" s="476">
        <f t="shared" si="101"/>
        <v>0</v>
      </c>
      <c r="BC55" s="478">
        <f t="shared" si="101"/>
        <v>0.08</v>
      </c>
    </row>
    <row r="56" spans="1:55" s="102" customFormat="1" ht="14.1" customHeight="1" x14ac:dyDescent="0.2">
      <c r="A56" s="126">
        <v>7</v>
      </c>
      <c r="B56" s="103">
        <v>2320</v>
      </c>
      <c r="C56" s="104">
        <v>650034180</v>
      </c>
      <c r="D56" s="103">
        <v>72755369</v>
      </c>
      <c r="E56" s="103" t="s">
        <v>754</v>
      </c>
      <c r="F56" s="112"/>
      <c r="G56" s="106"/>
      <c r="H56" s="107"/>
      <c r="I56" s="505">
        <v>9718582</v>
      </c>
      <c r="J56" s="501">
        <v>7005557</v>
      </c>
      <c r="K56" s="501">
        <v>80000</v>
      </c>
      <c r="L56" s="501">
        <v>2394919</v>
      </c>
      <c r="M56" s="501">
        <v>140112</v>
      </c>
      <c r="N56" s="501">
        <v>97994</v>
      </c>
      <c r="O56" s="502">
        <v>15.825800000000001</v>
      </c>
      <c r="P56" s="502">
        <v>10.323499999999999</v>
      </c>
      <c r="Q56" s="507">
        <v>5.5023</v>
      </c>
      <c r="R56" s="505">
        <f t="shared" ref="R56:BC56" si="102">SUM(R50:R55)</f>
        <v>0</v>
      </c>
      <c r="S56" s="501">
        <f t="shared" si="102"/>
        <v>0</v>
      </c>
      <c r="T56" s="501">
        <f t="shared" si="102"/>
        <v>5045</v>
      </c>
      <c r="U56" s="501">
        <f t="shared" si="102"/>
        <v>0</v>
      </c>
      <c r="V56" s="501">
        <f t="shared" si="102"/>
        <v>0</v>
      </c>
      <c r="W56" s="501">
        <f t="shared" si="102"/>
        <v>0</v>
      </c>
      <c r="X56" s="501">
        <f t="shared" si="102"/>
        <v>5045</v>
      </c>
      <c r="Y56" s="501">
        <f t="shared" si="102"/>
        <v>0</v>
      </c>
      <c r="Z56" s="501">
        <f t="shared" si="102"/>
        <v>0</v>
      </c>
      <c r="AA56" s="501">
        <f t="shared" si="102"/>
        <v>0</v>
      </c>
      <c r="AB56" s="501">
        <f t="shared" si="102"/>
        <v>0</v>
      </c>
      <c r="AC56" s="501">
        <f t="shared" si="102"/>
        <v>5045</v>
      </c>
      <c r="AD56" s="501">
        <f t="shared" si="102"/>
        <v>1705</v>
      </c>
      <c r="AE56" s="501">
        <f t="shared" si="102"/>
        <v>101</v>
      </c>
      <c r="AF56" s="501">
        <f t="shared" si="102"/>
        <v>0</v>
      </c>
      <c r="AG56" s="501">
        <f t="shared" si="102"/>
        <v>0</v>
      </c>
      <c r="AH56" s="501">
        <f t="shared" si="102"/>
        <v>0</v>
      </c>
      <c r="AI56" s="501">
        <f t="shared" si="102"/>
        <v>6851</v>
      </c>
      <c r="AJ56" s="502">
        <f t="shared" si="102"/>
        <v>0</v>
      </c>
      <c r="AK56" s="502">
        <f t="shared" si="102"/>
        <v>0</v>
      </c>
      <c r="AL56" s="502">
        <f t="shared" si="102"/>
        <v>0</v>
      </c>
      <c r="AM56" s="502">
        <f t="shared" si="102"/>
        <v>0</v>
      </c>
      <c r="AN56" s="502">
        <f t="shared" si="102"/>
        <v>2.0000000000000073E-2</v>
      </c>
      <c r="AO56" s="502">
        <f t="shared" si="102"/>
        <v>0</v>
      </c>
      <c r="AP56" s="502">
        <f t="shared" si="102"/>
        <v>0</v>
      </c>
      <c r="AQ56" s="502">
        <f t="shared" si="102"/>
        <v>0</v>
      </c>
      <c r="AR56" s="502">
        <f t="shared" si="102"/>
        <v>0</v>
      </c>
      <c r="AS56" s="502">
        <f t="shared" si="102"/>
        <v>2.0000000000000073E-2</v>
      </c>
      <c r="AT56" s="109">
        <f t="shared" si="102"/>
        <v>2.0000000000000073E-2</v>
      </c>
      <c r="AU56" s="509">
        <f t="shared" si="102"/>
        <v>9725433</v>
      </c>
      <c r="AV56" s="501">
        <f t="shared" si="102"/>
        <v>7010602</v>
      </c>
      <c r="AW56" s="501">
        <f t="shared" si="102"/>
        <v>80000</v>
      </c>
      <c r="AX56" s="501">
        <f t="shared" si="102"/>
        <v>2396624</v>
      </c>
      <c r="AY56" s="501">
        <f t="shared" si="102"/>
        <v>140213</v>
      </c>
      <c r="AZ56" s="501">
        <f t="shared" si="102"/>
        <v>97994</v>
      </c>
      <c r="BA56" s="502">
        <f t="shared" si="102"/>
        <v>15.845800000000002</v>
      </c>
      <c r="BB56" s="502">
        <f t="shared" si="102"/>
        <v>10.323499999999999</v>
      </c>
      <c r="BC56" s="109">
        <f t="shared" si="102"/>
        <v>5.5222999999999995</v>
      </c>
    </row>
    <row r="57" spans="1:55" s="102" customFormat="1" ht="14.1" customHeight="1" x14ac:dyDescent="0.2">
      <c r="A57" s="125">
        <v>8</v>
      </c>
      <c r="B57" s="108">
        <v>2455</v>
      </c>
      <c r="C57" s="99">
        <v>600080145</v>
      </c>
      <c r="D57" s="80">
        <v>72741601</v>
      </c>
      <c r="E57" s="80" t="s">
        <v>755</v>
      </c>
      <c r="F57" s="100">
        <v>3111</v>
      </c>
      <c r="G57" s="80" t="s">
        <v>311</v>
      </c>
      <c r="H57" s="101" t="s">
        <v>277</v>
      </c>
      <c r="I57" s="477">
        <v>1496242</v>
      </c>
      <c r="J57" s="631">
        <v>1096165</v>
      </c>
      <c r="K57" s="631">
        <v>0</v>
      </c>
      <c r="L57" s="472">
        <v>370504</v>
      </c>
      <c r="M57" s="472">
        <v>21923</v>
      </c>
      <c r="N57" s="631">
        <v>7650</v>
      </c>
      <c r="O57" s="473">
        <v>2.4609000000000001</v>
      </c>
      <c r="P57" s="474">
        <v>2</v>
      </c>
      <c r="Q57" s="670">
        <v>0.46089999999999998</v>
      </c>
      <c r="R57" s="485">
        <f t="shared" ref="R57:R62" si="103">Y57*-1</f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ref="X57:X62" si="104">SUM(R57:W57)</f>
        <v>0</v>
      </c>
      <c r="Y57" s="475">
        <v>0</v>
      </c>
      <c r="Z57" s="475">
        <v>0</v>
      </c>
      <c r="AA57" s="475">
        <v>0</v>
      </c>
      <c r="AB57" s="475">
        <f t="shared" ref="AB57:AB62" si="105">SUM(Y57:AA57)</f>
        <v>0</v>
      </c>
      <c r="AC57" s="475">
        <f t="shared" ref="AC57:AC62" si="106">X57+AB57</f>
        <v>0</v>
      </c>
      <c r="AD57" s="70">
        <f t="shared" ref="AD57:AD62" si="107">ROUND((X57+Y57+Z57)*33.8%,0)</f>
        <v>0</v>
      </c>
      <c r="AE57" s="70">
        <f t="shared" ref="AE57:AE62" si="108">ROUND(X57*2%,0)</f>
        <v>0</v>
      </c>
      <c r="AF57" s="475">
        <v>0</v>
      </c>
      <c r="AG57" s="475">
        <v>0</v>
      </c>
      <c r="AH57" s="475">
        <f t="shared" ref="AH57:AH62" si="109">SUM(AF57:AG57)</f>
        <v>0</v>
      </c>
      <c r="AI57" s="475">
        <f t="shared" ref="AI57:AI62" si="110">AC57+AD57+AE57+AH57</f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si="17"/>
        <v>0</v>
      </c>
      <c r="AS57" s="476">
        <f t="shared" si="18"/>
        <v>0</v>
      </c>
      <c r="AT57" s="478">
        <f t="shared" si="19"/>
        <v>0</v>
      </c>
      <c r="AU57" s="484">
        <f t="shared" ref="AU57:AU62" si="111">I57+AI57</f>
        <v>1496242</v>
      </c>
      <c r="AV57" s="475">
        <f t="shared" ref="AV57:AV62" si="112">J57+X57</f>
        <v>1096165</v>
      </c>
      <c r="AW57" s="475">
        <f t="shared" ref="AW57:AW62" si="113">K57+AB57</f>
        <v>0</v>
      </c>
      <c r="AX57" s="475">
        <f t="shared" ref="AX57:AY62" si="114">L57+AD57</f>
        <v>370504</v>
      </c>
      <c r="AY57" s="475">
        <f t="shared" si="114"/>
        <v>21923</v>
      </c>
      <c r="AZ57" s="475">
        <f t="shared" ref="AZ57:AZ62" si="115">N57+AH57</f>
        <v>7650</v>
      </c>
      <c r="BA57" s="476">
        <f t="shared" ref="BA57:BA62" si="116">O57+AT57</f>
        <v>2.4609000000000001</v>
      </c>
      <c r="BB57" s="476">
        <f t="shared" ref="BB57:BC62" si="117">P57+AR57</f>
        <v>2</v>
      </c>
      <c r="BC57" s="478">
        <f t="shared" si="117"/>
        <v>0.46089999999999998</v>
      </c>
    </row>
    <row r="58" spans="1:55" s="102" customFormat="1" ht="14.1" customHeight="1" x14ac:dyDescent="0.2">
      <c r="A58" s="125">
        <v>8</v>
      </c>
      <c r="B58" s="110">
        <v>2455</v>
      </c>
      <c r="C58" s="99">
        <v>600080145</v>
      </c>
      <c r="D58" s="80">
        <v>72741601</v>
      </c>
      <c r="E58" s="110" t="s">
        <v>755</v>
      </c>
      <c r="F58" s="111">
        <v>3117</v>
      </c>
      <c r="G58" s="110" t="s">
        <v>329</v>
      </c>
      <c r="H58" s="101" t="s">
        <v>277</v>
      </c>
      <c r="I58" s="477">
        <v>3398886</v>
      </c>
      <c r="J58" s="631">
        <v>2415866</v>
      </c>
      <c r="K58" s="631">
        <v>0</v>
      </c>
      <c r="L58" s="472">
        <v>816563</v>
      </c>
      <c r="M58" s="472">
        <v>48317</v>
      </c>
      <c r="N58" s="631">
        <v>118140</v>
      </c>
      <c r="O58" s="473">
        <v>4.7469999999999999</v>
      </c>
      <c r="P58" s="474">
        <v>3.3182</v>
      </c>
      <c r="Q58" s="670">
        <v>1.4288000000000001</v>
      </c>
      <c r="R58" s="485">
        <f t="shared" si="103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04"/>
        <v>0</v>
      </c>
      <c r="Y58" s="475">
        <v>0</v>
      </c>
      <c r="Z58" s="475">
        <v>0</v>
      </c>
      <c r="AA58" s="475">
        <v>0</v>
      </c>
      <c r="AB58" s="475">
        <f t="shared" si="105"/>
        <v>0</v>
      </c>
      <c r="AC58" s="475">
        <f t="shared" si="106"/>
        <v>0</v>
      </c>
      <c r="AD58" s="70">
        <f t="shared" si="107"/>
        <v>0</v>
      </c>
      <c r="AE58" s="70">
        <f t="shared" si="108"/>
        <v>0</v>
      </c>
      <c r="AF58" s="475">
        <v>0</v>
      </c>
      <c r="AG58" s="475">
        <v>0</v>
      </c>
      <c r="AH58" s="475">
        <f t="shared" si="109"/>
        <v>0</v>
      </c>
      <c r="AI58" s="475">
        <f t="shared" si="110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 t="shared" si="17"/>
        <v>0</v>
      </c>
      <c r="AS58" s="476">
        <f t="shared" si="18"/>
        <v>0</v>
      </c>
      <c r="AT58" s="478">
        <f t="shared" si="19"/>
        <v>0</v>
      </c>
      <c r="AU58" s="484">
        <f t="shared" si="111"/>
        <v>3398886</v>
      </c>
      <c r="AV58" s="475">
        <f t="shared" si="112"/>
        <v>2415866</v>
      </c>
      <c r="AW58" s="475">
        <f t="shared" si="113"/>
        <v>0</v>
      </c>
      <c r="AX58" s="475">
        <f t="shared" si="114"/>
        <v>816563</v>
      </c>
      <c r="AY58" s="475">
        <f t="shared" si="114"/>
        <v>48317</v>
      </c>
      <c r="AZ58" s="475">
        <f t="shared" si="115"/>
        <v>118140</v>
      </c>
      <c r="BA58" s="476">
        <f t="shared" si="116"/>
        <v>4.7469999999999999</v>
      </c>
      <c r="BB58" s="476">
        <f t="shared" si="117"/>
        <v>3.3182</v>
      </c>
      <c r="BC58" s="478">
        <f t="shared" si="117"/>
        <v>1.4288000000000001</v>
      </c>
    </row>
    <row r="59" spans="1:55" s="102" customFormat="1" ht="14.1" customHeight="1" x14ac:dyDescent="0.2">
      <c r="A59" s="125">
        <v>8</v>
      </c>
      <c r="B59" s="108">
        <v>2455</v>
      </c>
      <c r="C59" s="99">
        <v>600080145</v>
      </c>
      <c r="D59" s="80">
        <v>72741601</v>
      </c>
      <c r="E59" s="108" t="s">
        <v>755</v>
      </c>
      <c r="F59" s="100">
        <v>3117</v>
      </c>
      <c r="G59" s="80" t="s">
        <v>312</v>
      </c>
      <c r="H59" s="101" t="s">
        <v>278</v>
      </c>
      <c r="I59" s="477">
        <v>267154</v>
      </c>
      <c r="J59" s="472">
        <v>196358</v>
      </c>
      <c r="K59" s="472">
        <v>0</v>
      </c>
      <c r="L59" s="472">
        <v>66369</v>
      </c>
      <c r="M59" s="472">
        <v>3927</v>
      </c>
      <c r="N59" s="472">
        <v>500</v>
      </c>
      <c r="O59" s="473">
        <v>0.55000000000000004</v>
      </c>
      <c r="P59" s="474">
        <v>0.55000000000000004</v>
      </c>
      <c r="Q59" s="483">
        <v>0</v>
      </c>
      <c r="R59" s="485">
        <f t="shared" si="103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04"/>
        <v>0</v>
      </c>
      <c r="Y59" s="475">
        <v>0</v>
      </c>
      <c r="Z59" s="475">
        <v>0</v>
      </c>
      <c r="AA59" s="475">
        <v>0</v>
      </c>
      <c r="AB59" s="475">
        <f t="shared" si="105"/>
        <v>0</v>
      </c>
      <c r="AC59" s="475">
        <f t="shared" si="106"/>
        <v>0</v>
      </c>
      <c r="AD59" s="70">
        <f t="shared" si="107"/>
        <v>0</v>
      </c>
      <c r="AE59" s="70">
        <f t="shared" si="108"/>
        <v>0</v>
      </c>
      <c r="AF59" s="475">
        <v>0</v>
      </c>
      <c r="AG59" s="475">
        <v>0</v>
      </c>
      <c r="AH59" s="475">
        <f t="shared" si="109"/>
        <v>0</v>
      </c>
      <c r="AI59" s="475">
        <f t="shared" si="110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7"/>
        <v>0</v>
      </c>
      <c r="AS59" s="476">
        <f t="shared" si="18"/>
        <v>0</v>
      </c>
      <c r="AT59" s="478">
        <f t="shared" si="19"/>
        <v>0</v>
      </c>
      <c r="AU59" s="484">
        <f t="shared" si="111"/>
        <v>267154</v>
      </c>
      <c r="AV59" s="475">
        <f t="shared" si="112"/>
        <v>196358</v>
      </c>
      <c r="AW59" s="475">
        <f t="shared" si="113"/>
        <v>0</v>
      </c>
      <c r="AX59" s="475">
        <f t="shared" si="114"/>
        <v>66369</v>
      </c>
      <c r="AY59" s="475">
        <f t="shared" si="114"/>
        <v>3927</v>
      </c>
      <c r="AZ59" s="475">
        <f t="shared" si="115"/>
        <v>500</v>
      </c>
      <c r="BA59" s="476">
        <f t="shared" si="116"/>
        <v>0.55000000000000004</v>
      </c>
      <c r="BB59" s="476">
        <f t="shared" si="117"/>
        <v>0.55000000000000004</v>
      </c>
      <c r="BC59" s="478">
        <f t="shared" si="117"/>
        <v>0</v>
      </c>
    </row>
    <row r="60" spans="1:55" s="102" customFormat="1" ht="14.1" customHeight="1" x14ac:dyDescent="0.2">
      <c r="A60" s="125">
        <v>8</v>
      </c>
      <c r="B60" s="80">
        <v>2455</v>
      </c>
      <c r="C60" s="99">
        <v>600080145</v>
      </c>
      <c r="D60" s="80">
        <v>72741601</v>
      </c>
      <c r="E60" s="80" t="s">
        <v>755</v>
      </c>
      <c r="F60" s="100">
        <v>3141</v>
      </c>
      <c r="G60" s="80" t="s">
        <v>315</v>
      </c>
      <c r="H60" s="101" t="s">
        <v>278</v>
      </c>
      <c r="I60" s="477">
        <v>708087</v>
      </c>
      <c r="J60" s="631">
        <v>519241</v>
      </c>
      <c r="K60" s="631">
        <v>0</v>
      </c>
      <c r="L60" s="472">
        <v>175503</v>
      </c>
      <c r="M60" s="472">
        <v>10385</v>
      </c>
      <c r="N60" s="631">
        <v>2958</v>
      </c>
      <c r="O60" s="473">
        <v>1.64</v>
      </c>
      <c r="P60" s="474">
        <v>0</v>
      </c>
      <c r="Q60" s="670">
        <v>1.64</v>
      </c>
      <c r="R60" s="485">
        <f t="shared" si="103"/>
        <v>0</v>
      </c>
      <c r="S60" s="475">
        <v>0</v>
      </c>
      <c r="T60" s="755">
        <v>7540</v>
      </c>
      <c r="U60" s="475">
        <v>0</v>
      </c>
      <c r="V60" s="475">
        <v>0</v>
      </c>
      <c r="W60" s="475">
        <v>0</v>
      </c>
      <c r="X60" s="475">
        <f t="shared" si="104"/>
        <v>7540</v>
      </c>
      <c r="Y60" s="475">
        <v>0</v>
      </c>
      <c r="Z60" s="475">
        <v>0</v>
      </c>
      <c r="AA60" s="475">
        <v>0</v>
      </c>
      <c r="AB60" s="475">
        <f t="shared" si="105"/>
        <v>0</v>
      </c>
      <c r="AC60" s="475">
        <f t="shared" si="106"/>
        <v>7540</v>
      </c>
      <c r="AD60" s="70">
        <f t="shared" si="107"/>
        <v>2549</v>
      </c>
      <c r="AE60" s="70">
        <f t="shared" si="108"/>
        <v>151</v>
      </c>
      <c r="AF60" s="475">
        <v>0</v>
      </c>
      <c r="AG60" s="475">
        <v>0</v>
      </c>
      <c r="AH60" s="475">
        <f t="shared" si="109"/>
        <v>0</v>
      </c>
      <c r="AI60" s="475">
        <f t="shared" si="110"/>
        <v>10240</v>
      </c>
      <c r="AJ60" s="476">
        <v>0</v>
      </c>
      <c r="AK60" s="476">
        <v>0</v>
      </c>
      <c r="AL60" s="476">
        <v>0</v>
      </c>
      <c r="AM60" s="476">
        <v>0</v>
      </c>
      <c r="AN60" s="756">
        <v>1.9999999999999907E-2</v>
      </c>
      <c r="AO60" s="476">
        <v>0</v>
      </c>
      <c r="AP60" s="476">
        <v>0</v>
      </c>
      <c r="AQ60" s="476">
        <v>0</v>
      </c>
      <c r="AR60" s="476">
        <f t="shared" si="17"/>
        <v>0</v>
      </c>
      <c r="AS60" s="476">
        <f t="shared" si="18"/>
        <v>1.9999999999999907E-2</v>
      </c>
      <c r="AT60" s="478">
        <f t="shared" si="19"/>
        <v>1.9999999999999907E-2</v>
      </c>
      <c r="AU60" s="484">
        <f t="shared" si="111"/>
        <v>718327</v>
      </c>
      <c r="AV60" s="475">
        <f t="shared" si="112"/>
        <v>526781</v>
      </c>
      <c r="AW60" s="475">
        <f t="shared" si="113"/>
        <v>0</v>
      </c>
      <c r="AX60" s="475">
        <f t="shared" si="114"/>
        <v>178052</v>
      </c>
      <c r="AY60" s="475">
        <f t="shared" si="114"/>
        <v>10536</v>
      </c>
      <c r="AZ60" s="475">
        <f t="shared" si="115"/>
        <v>2958</v>
      </c>
      <c r="BA60" s="476">
        <f t="shared" si="116"/>
        <v>1.6599999999999997</v>
      </c>
      <c r="BB60" s="476">
        <f t="shared" si="117"/>
        <v>0</v>
      </c>
      <c r="BC60" s="478">
        <f t="shared" si="117"/>
        <v>1.6599999999999997</v>
      </c>
    </row>
    <row r="61" spans="1:55" s="102" customFormat="1" ht="14.1" customHeight="1" x14ac:dyDescent="0.2">
      <c r="A61" s="125">
        <v>8</v>
      </c>
      <c r="B61" s="80">
        <v>2455</v>
      </c>
      <c r="C61" s="99">
        <v>600080145</v>
      </c>
      <c r="D61" s="80">
        <v>72741601</v>
      </c>
      <c r="E61" s="80" t="s">
        <v>755</v>
      </c>
      <c r="F61" s="100">
        <v>3143</v>
      </c>
      <c r="G61" s="80" t="s">
        <v>626</v>
      </c>
      <c r="H61" s="101" t="s">
        <v>277</v>
      </c>
      <c r="I61" s="477">
        <v>824583</v>
      </c>
      <c r="J61" s="632">
        <v>607204</v>
      </c>
      <c r="K61" s="632">
        <v>0</v>
      </c>
      <c r="L61" s="472">
        <v>205235</v>
      </c>
      <c r="M61" s="472">
        <v>12144</v>
      </c>
      <c r="N61" s="472">
        <v>0</v>
      </c>
      <c r="O61" s="473">
        <v>1.3572</v>
      </c>
      <c r="P61" s="13">
        <v>1.3572</v>
      </c>
      <c r="Q61" s="483">
        <v>0</v>
      </c>
      <c r="R61" s="485">
        <f t="shared" si="103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04"/>
        <v>0</v>
      </c>
      <c r="Y61" s="475">
        <v>0</v>
      </c>
      <c r="Z61" s="475">
        <v>0</v>
      </c>
      <c r="AA61" s="475">
        <v>0</v>
      </c>
      <c r="AB61" s="475">
        <f t="shared" si="105"/>
        <v>0</v>
      </c>
      <c r="AC61" s="475">
        <f t="shared" si="106"/>
        <v>0</v>
      </c>
      <c r="AD61" s="70">
        <f t="shared" si="107"/>
        <v>0</v>
      </c>
      <c r="AE61" s="70">
        <f t="shared" si="108"/>
        <v>0</v>
      </c>
      <c r="AF61" s="475">
        <v>0</v>
      </c>
      <c r="AG61" s="475">
        <v>0</v>
      </c>
      <c r="AH61" s="475">
        <f t="shared" si="109"/>
        <v>0</v>
      </c>
      <c r="AI61" s="475">
        <f t="shared" si="110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7"/>
        <v>0</v>
      </c>
      <c r="AS61" s="476">
        <f t="shared" si="18"/>
        <v>0</v>
      </c>
      <c r="AT61" s="478">
        <f t="shared" si="19"/>
        <v>0</v>
      </c>
      <c r="AU61" s="484">
        <f t="shared" si="111"/>
        <v>824583</v>
      </c>
      <c r="AV61" s="475">
        <f t="shared" si="112"/>
        <v>607204</v>
      </c>
      <c r="AW61" s="475">
        <f t="shared" si="113"/>
        <v>0</v>
      </c>
      <c r="AX61" s="475">
        <f t="shared" si="114"/>
        <v>205235</v>
      </c>
      <c r="AY61" s="475">
        <f t="shared" si="114"/>
        <v>12144</v>
      </c>
      <c r="AZ61" s="475">
        <f t="shared" si="115"/>
        <v>0</v>
      </c>
      <c r="BA61" s="476">
        <f t="shared" si="116"/>
        <v>1.3572</v>
      </c>
      <c r="BB61" s="476">
        <f t="shared" si="117"/>
        <v>1.3572</v>
      </c>
      <c r="BC61" s="478">
        <f t="shared" si="117"/>
        <v>0</v>
      </c>
    </row>
    <row r="62" spans="1:55" s="102" customFormat="1" ht="14.1" customHeight="1" x14ac:dyDescent="0.2">
      <c r="A62" s="125">
        <v>8</v>
      </c>
      <c r="B62" s="80">
        <v>2455</v>
      </c>
      <c r="C62" s="99">
        <v>600080145</v>
      </c>
      <c r="D62" s="80">
        <v>72741601</v>
      </c>
      <c r="E62" s="80" t="s">
        <v>755</v>
      </c>
      <c r="F62" s="100">
        <v>3143</v>
      </c>
      <c r="G62" s="80" t="s">
        <v>627</v>
      </c>
      <c r="H62" s="101" t="s">
        <v>278</v>
      </c>
      <c r="I62" s="477">
        <v>24948</v>
      </c>
      <c r="J62" s="631">
        <v>17642</v>
      </c>
      <c r="K62" s="631">
        <v>0</v>
      </c>
      <c r="L62" s="472">
        <v>5963</v>
      </c>
      <c r="M62" s="472">
        <v>353</v>
      </c>
      <c r="N62" s="631">
        <v>990</v>
      </c>
      <c r="O62" s="473">
        <v>7.0000000000000007E-2</v>
      </c>
      <c r="P62" s="474">
        <v>0</v>
      </c>
      <c r="Q62" s="670">
        <v>7.0000000000000007E-2</v>
      </c>
      <c r="R62" s="485">
        <f t="shared" si="103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04"/>
        <v>0</v>
      </c>
      <c r="Y62" s="475">
        <v>0</v>
      </c>
      <c r="Z62" s="475">
        <v>0</v>
      </c>
      <c r="AA62" s="475">
        <v>0</v>
      </c>
      <c r="AB62" s="475">
        <f t="shared" si="105"/>
        <v>0</v>
      </c>
      <c r="AC62" s="475">
        <f t="shared" si="106"/>
        <v>0</v>
      </c>
      <c r="AD62" s="70">
        <f t="shared" si="107"/>
        <v>0</v>
      </c>
      <c r="AE62" s="70">
        <f t="shared" si="108"/>
        <v>0</v>
      </c>
      <c r="AF62" s="475">
        <v>0</v>
      </c>
      <c r="AG62" s="475">
        <v>0</v>
      </c>
      <c r="AH62" s="475">
        <f t="shared" si="109"/>
        <v>0</v>
      </c>
      <c r="AI62" s="475">
        <f t="shared" si="110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7"/>
        <v>0</v>
      </c>
      <c r="AS62" s="476">
        <f t="shared" si="18"/>
        <v>0</v>
      </c>
      <c r="AT62" s="478">
        <f t="shared" si="19"/>
        <v>0</v>
      </c>
      <c r="AU62" s="484">
        <f t="shared" si="111"/>
        <v>24948</v>
      </c>
      <c r="AV62" s="475">
        <f t="shared" si="112"/>
        <v>17642</v>
      </c>
      <c r="AW62" s="475">
        <f t="shared" si="113"/>
        <v>0</v>
      </c>
      <c r="AX62" s="475">
        <f t="shared" si="114"/>
        <v>5963</v>
      </c>
      <c r="AY62" s="475">
        <f t="shared" si="114"/>
        <v>353</v>
      </c>
      <c r="AZ62" s="475">
        <f t="shared" si="115"/>
        <v>990</v>
      </c>
      <c r="BA62" s="476">
        <f t="shared" si="116"/>
        <v>7.0000000000000007E-2</v>
      </c>
      <c r="BB62" s="476">
        <f t="shared" si="117"/>
        <v>0</v>
      </c>
      <c r="BC62" s="478">
        <f t="shared" si="117"/>
        <v>7.0000000000000007E-2</v>
      </c>
    </row>
    <row r="63" spans="1:55" s="102" customFormat="1" ht="14.1" customHeight="1" x14ac:dyDescent="0.2">
      <c r="A63" s="126">
        <v>8</v>
      </c>
      <c r="B63" s="103">
        <v>2455</v>
      </c>
      <c r="C63" s="104">
        <v>600080145</v>
      </c>
      <c r="D63" s="103">
        <v>72741601</v>
      </c>
      <c r="E63" s="103" t="s">
        <v>756</v>
      </c>
      <c r="F63" s="112"/>
      <c r="G63" s="106"/>
      <c r="H63" s="107"/>
      <c r="I63" s="505">
        <v>6719900</v>
      </c>
      <c r="J63" s="501">
        <v>4852476</v>
      </c>
      <c r="K63" s="501">
        <v>0</v>
      </c>
      <c r="L63" s="501">
        <v>1640137</v>
      </c>
      <c r="M63" s="501">
        <v>97049</v>
      </c>
      <c r="N63" s="501">
        <v>130238</v>
      </c>
      <c r="O63" s="502">
        <v>10.825100000000001</v>
      </c>
      <c r="P63" s="502">
        <v>7.2253999999999996</v>
      </c>
      <c r="Q63" s="507">
        <v>3.5996999999999999</v>
      </c>
      <c r="R63" s="505">
        <f t="shared" ref="R63:BC63" si="118">SUM(R57:R62)</f>
        <v>0</v>
      </c>
      <c r="S63" s="501">
        <f t="shared" si="118"/>
        <v>0</v>
      </c>
      <c r="T63" s="501">
        <f t="shared" si="118"/>
        <v>7540</v>
      </c>
      <c r="U63" s="501">
        <f t="shared" si="118"/>
        <v>0</v>
      </c>
      <c r="V63" s="501">
        <f t="shared" si="118"/>
        <v>0</v>
      </c>
      <c r="W63" s="501">
        <f t="shared" si="118"/>
        <v>0</v>
      </c>
      <c r="X63" s="501">
        <f t="shared" si="118"/>
        <v>7540</v>
      </c>
      <c r="Y63" s="501">
        <f t="shared" si="118"/>
        <v>0</v>
      </c>
      <c r="Z63" s="501">
        <f t="shared" si="118"/>
        <v>0</v>
      </c>
      <c r="AA63" s="501">
        <f t="shared" si="118"/>
        <v>0</v>
      </c>
      <c r="AB63" s="501">
        <f t="shared" si="118"/>
        <v>0</v>
      </c>
      <c r="AC63" s="501">
        <f t="shared" si="118"/>
        <v>7540</v>
      </c>
      <c r="AD63" s="501">
        <f t="shared" si="118"/>
        <v>2549</v>
      </c>
      <c r="AE63" s="501">
        <f t="shared" si="118"/>
        <v>151</v>
      </c>
      <c r="AF63" s="501">
        <f t="shared" si="118"/>
        <v>0</v>
      </c>
      <c r="AG63" s="501">
        <f t="shared" si="118"/>
        <v>0</v>
      </c>
      <c r="AH63" s="501">
        <f t="shared" si="118"/>
        <v>0</v>
      </c>
      <c r="AI63" s="501">
        <f t="shared" si="118"/>
        <v>10240</v>
      </c>
      <c r="AJ63" s="502">
        <f t="shared" si="118"/>
        <v>0</v>
      </c>
      <c r="AK63" s="502">
        <f t="shared" si="118"/>
        <v>0</v>
      </c>
      <c r="AL63" s="502">
        <f t="shared" si="118"/>
        <v>0</v>
      </c>
      <c r="AM63" s="502">
        <f t="shared" si="118"/>
        <v>0</v>
      </c>
      <c r="AN63" s="502">
        <f t="shared" si="118"/>
        <v>1.9999999999999907E-2</v>
      </c>
      <c r="AO63" s="502">
        <f t="shared" si="118"/>
        <v>0</v>
      </c>
      <c r="AP63" s="502">
        <f t="shared" si="118"/>
        <v>0</v>
      </c>
      <c r="AQ63" s="502">
        <f t="shared" si="118"/>
        <v>0</v>
      </c>
      <c r="AR63" s="502">
        <f t="shared" si="118"/>
        <v>0</v>
      </c>
      <c r="AS63" s="502">
        <f t="shared" si="118"/>
        <v>1.9999999999999907E-2</v>
      </c>
      <c r="AT63" s="109">
        <f t="shared" si="118"/>
        <v>1.9999999999999907E-2</v>
      </c>
      <c r="AU63" s="509">
        <f t="shared" si="118"/>
        <v>6730140</v>
      </c>
      <c r="AV63" s="501">
        <f t="shared" si="118"/>
        <v>4860016</v>
      </c>
      <c r="AW63" s="501">
        <f t="shared" si="118"/>
        <v>0</v>
      </c>
      <c r="AX63" s="501">
        <f t="shared" si="118"/>
        <v>1642686</v>
      </c>
      <c r="AY63" s="501">
        <f t="shared" si="118"/>
        <v>97200</v>
      </c>
      <c r="AZ63" s="501">
        <f t="shared" si="118"/>
        <v>130238</v>
      </c>
      <c r="BA63" s="502">
        <f t="shared" si="118"/>
        <v>10.8451</v>
      </c>
      <c r="BB63" s="502">
        <f t="shared" si="118"/>
        <v>7.2253999999999996</v>
      </c>
      <c r="BC63" s="109">
        <f t="shared" si="118"/>
        <v>3.6196999999999995</v>
      </c>
    </row>
    <row r="64" spans="1:55" s="102" customFormat="1" ht="14.1" customHeight="1" x14ac:dyDescent="0.2">
      <c r="A64" s="125">
        <v>9</v>
      </c>
      <c r="B64" s="108">
        <v>2456</v>
      </c>
      <c r="C64" s="99">
        <v>600079732</v>
      </c>
      <c r="D64" s="80">
        <v>70695911</v>
      </c>
      <c r="E64" s="80" t="s">
        <v>757</v>
      </c>
      <c r="F64" s="100">
        <v>3111</v>
      </c>
      <c r="G64" s="80" t="s">
        <v>311</v>
      </c>
      <c r="H64" s="101" t="s">
        <v>277</v>
      </c>
      <c r="I64" s="477">
        <v>8918498</v>
      </c>
      <c r="J64" s="631">
        <v>6519085</v>
      </c>
      <c r="K64" s="631">
        <v>10000</v>
      </c>
      <c r="L64" s="472">
        <v>2206831</v>
      </c>
      <c r="M64" s="472">
        <v>130382</v>
      </c>
      <c r="N64" s="631">
        <v>52200</v>
      </c>
      <c r="O64" s="473">
        <v>14.598799999999999</v>
      </c>
      <c r="P64" s="474">
        <v>11.833299999999999</v>
      </c>
      <c r="Q64" s="670">
        <v>2.7654999999999998</v>
      </c>
      <c r="R64" s="485">
        <f t="shared" ref="R64:R69" si="119">Y64*-1</f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ref="X64:X69" si="120">SUM(R64:W64)</f>
        <v>0</v>
      </c>
      <c r="Y64" s="475">
        <v>0</v>
      </c>
      <c r="Z64" s="475">
        <v>0</v>
      </c>
      <c r="AA64" s="475">
        <v>0</v>
      </c>
      <c r="AB64" s="475">
        <f t="shared" ref="AB64:AB69" si="121">SUM(Y64:AA64)</f>
        <v>0</v>
      </c>
      <c r="AC64" s="475">
        <f t="shared" ref="AC64:AC69" si="122">X64+AB64</f>
        <v>0</v>
      </c>
      <c r="AD64" s="70">
        <f t="shared" ref="AD64:AD69" si="123">ROUND((X64+Y64+Z64)*33.8%,0)</f>
        <v>0</v>
      </c>
      <c r="AE64" s="70">
        <f t="shared" ref="AE64:AE69" si="124">ROUND(X64*2%,0)</f>
        <v>0</v>
      </c>
      <c r="AF64" s="475">
        <v>0</v>
      </c>
      <c r="AG64" s="475">
        <v>0</v>
      </c>
      <c r="AH64" s="475">
        <f t="shared" ref="AH64:AH69" si="125">SUM(AF64:AG64)</f>
        <v>0</v>
      </c>
      <c r="AI64" s="475">
        <f t="shared" ref="AI64:AI69" si="126">AC64+AD64+AE64+AH64</f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si="17"/>
        <v>0</v>
      </c>
      <c r="AS64" s="476">
        <f t="shared" si="18"/>
        <v>0</v>
      </c>
      <c r="AT64" s="478">
        <f t="shared" si="19"/>
        <v>0</v>
      </c>
      <c r="AU64" s="484">
        <f t="shared" ref="AU64:AU69" si="127">I64+AI64</f>
        <v>8918498</v>
      </c>
      <c r="AV64" s="475">
        <f t="shared" ref="AV64:AV69" si="128">J64+X64</f>
        <v>6519085</v>
      </c>
      <c r="AW64" s="475">
        <f t="shared" ref="AW64:AW69" si="129">K64+AB64</f>
        <v>10000</v>
      </c>
      <c r="AX64" s="475">
        <f t="shared" ref="AX64:AY69" si="130">L64+AD64</f>
        <v>2206831</v>
      </c>
      <c r="AY64" s="475">
        <f t="shared" si="130"/>
        <v>130382</v>
      </c>
      <c r="AZ64" s="475">
        <f t="shared" ref="AZ64:AZ69" si="131">N64+AH64</f>
        <v>52200</v>
      </c>
      <c r="BA64" s="476">
        <f t="shared" ref="BA64:BA69" si="132">O64+AT64</f>
        <v>14.598799999999999</v>
      </c>
      <c r="BB64" s="476">
        <f t="shared" ref="BB64:BC69" si="133">P64+AR64</f>
        <v>11.833299999999999</v>
      </c>
      <c r="BC64" s="478">
        <f t="shared" si="133"/>
        <v>2.7654999999999998</v>
      </c>
    </row>
    <row r="65" spans="1:55" s="102" customFormat="1" ht="14.1" customHeight="1" x14ac:dyDescent="0.2">
      <c r="A65" s="125">
        <v>9</v>
      </c>
      <c r="B65" s="80">
        <v>2456</v>
      </c>
      <c r="C65" s="99">
        <v>600079732</v>
      </c>
      <c r="D65" s="80">
        <v>70695911</v>
      </c>
      <c r="E65" s="80" t="s">
        <v>757</v>
      </c>
      <c r="F65" s="100">
        <v>3113</v>
      </c>
      <c r="G65" s="80" t="s">
        <v>314</v>
      </c>
      <c r="H65" s="101" t="s">
        <v>277</v>
      </c>
      <c r="I65" s="477">
        <v>23761366</v>
      </c>
      <c r="J65" s="631">
        <v>16985712</v>
      </c>
      <c r="K65" s="631">
        <v>130000</v>
      </c>
      <c r="L65" s="472">
        <v>5785110</v>
      </c>
      <c r="M65" s="472">
        <v>339714</v>
      </c>
      <c r="N65" s="631">
        <v>520830</v>
      </c>
      <c r="O65" s="473">
        <v>31.155799999999999</v>
      </c>
      <c r="P65" s="474">
        <v>22.55</v>
      </c>
      <c r="Q65" s="670">
        <v>8.6058000000000003</v>
      </c>
      <c r="R65" s="485">
        <f t="shared" si="119"/>
        <v>0</v>
      </c>
      <c r="S65" s="475">
        <v>0</v>
      </c>
      <c r="T65" s="475">
        <v>375311</v>
      </c>
      <c r="U65" s="475">
        <v>0</v>
      </c>
      <c r="V65" s="475">
        <v>0</v>
      </c>
      <c r="W65" s="475">
        <v>0</v>
      </c>
      <c r="X65" s="475">
        <f t="shared" si="120"/>
        <v>375311</v>
      </c>
      <c r="Y65" s="475">
        <v>0</v>
      </c>
      <c r="Z65" s="475">
        <v>0</v>
      </c>
      <c r="AA65" s="475">
        <v>0</v>
      </c>
      <c r="AB65" s="475">
        <f t="shared" si="121"/>
        <v>0</v>
      </c>
      <c r="AC65" s="475">
        <f t="shared" si="122"/>
        <v>375311</v>
      </c>
      <c r="AD65" s="70">
        <f t="shared" si="123"/>
        <v>126855</v>
      </c>
      <c r="AE65" s="70">
        <f t="shared" si="124"/>
        <v>7506</v>
      </c>
      <c r="AF65" s="475">
        <v>0</v>
      </c>
      <c r="AG65" s="475">
        <v>0</v>
      </c>
      <c r="AH65" s="475">
        <f t="shared" si="125"/>
        <v>0</v>
      </c>
      <c r="AI65" s="475">
        <f t="shared" si="126"/>
        <v>509672</v>
      </c>
      <c r="AJ65" s="476">
        <v>0</v>
      </c>
      <c r="AK65" s="476">
        <v>0</v>
      </c>
      <c r="AL65" s="476">
        <v>0</v>
      </c>
      <c r="AM65" s="476">
        <v>0.59</v>
      </c>
      <c r="AN65" s="476">
        <v>0</v>
      </c>
      <c r="AO65" s="476">
        <v>0</v>
      </c>
      <c r="AP65" s="476">
        <v>0</v>
      </c>
      <c r="AQ65" s="476">
        <v>0</v>
      </c>
      <c r="AR65" s="476">
        <f t="shared" si="17"/>
        <v>0.59</v>
      </c>
      <c r="AS65" s="476">
        <f t="shared" si="18"/>
        <v>0</v>
      </c>
      <c r="AT65" s="478">
        <f t="shared" si="19"/>
        <v>0.59</v>
      </c>
      <c r="AU65" s="484">
        <f t="shared" si="127"/>
        <v>24271038</v>
      </c>
      <c r="AV65" s="475">
        <f t="shared" si="128"/>
        <v>17361023</v>
      </c>
      <c r="AW65" s="475">
        <f t="shared" si="129"/>
        <v>130000</v>
      </c>
      <c r="AX65" s="475">
        <f t="shared" si="130"/>
        <v>5911965</v>
      </c>
      <c r="AY65" s="475">
        <f t="shared" si="130"/>
        <v>347220</v>
      </c>
      <c r="AZ65" s="475">
        <f t="shared" si="131"/>
        <v>520830</v>
      </c>
      <c r="BA65" s="476">
        <f t="shared" si="132"/>
        <v>31.745799999999999</v>
      </c>
      <c r="BB65" s="476">
        <f t="shared" si="133"/>
        <v>23.14</v>
      </c>
      <c r="BC65" s="478">
        <f t="shared" si="133"/>
        <v>8.6058000000000003</v>
      </c>
    </row>
    <row r="66" spans="1:55" s="102" customFormat="1" ht="14.1" customHeight="1" x14ac:dyDescent="0.2">
      <c r="A66" s="125">
        <v>9</v>
      </c>
      <c r="B66" s="108">
        <v>2456</v>
      </c>
      <c r="C66" s="99">
        <v>600079732</v>
      </c>
      <c r="D66" s="80">
        <v>70695911</v>
      </c>
      <c r="E66" s="108" t="s">
        <v>757</v>
      </c>
      <c r="F66" s="100">
        <v>3113</v>
      </c>
      <c r="G66" s="80" t="s">
        <v>312</v>
      </c>
      <c r="H66" s="101" t="s">
        <v>278</v>
      </c>
      <c r="I66" s="477">
        <v>3269424</v>
      </c>
      <c r="J66" s="472">
        <v>2403478</v>
      </c>
      <c r="K66" s="472">
        <v>0</v>
      </c>
      <c r="L66" s="472">
        <v>812376</v>
      </c>
      <c r="M66" s="472">
        <v>48070</v>
      </c>
      <c r="N66" s="472">
        <v>5500</v>
      </c>
      <c r="O66" s="473">
        <v>7.4099999999999993</v>
      </c>
      <c r="P66" s="474">
        <v>7.4099999999999993</v>
      </c>
      <c r="Q66" s="483">
        <v>0</v>
      </c>
      <c r="R66" s="485">
        <f t="shared" si="119"/>
        <v>0</v>
      </c>
      <c r="S66" s="475">
        <v>43306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20"/>
        <v>43306</v>
      </c>
      <c r="Y66" s="475">
        <v>0</v>
      </c>
      <c r="Z66" s="475">
        <v>0</v>
      </c>
      <c r="AA66" s="475">
        <v>0</v>
      </c>
      <c r="AB66" s="475">
        <f t="shared" si="121"/>
        <v>0</v>
      </c>
      <c r="AC66" s="475">
        <f t="shared" si="122"/>
        <v>43306</v>
      </c>
      <c r="AD66" s="70">
        <f t="shared" si="123"/>
        <v>14637</v>
      </c>
      <c r="AE66" s="70">
        <f t="shared" si="124"/>
        <v>866</v>
      </c>
      <c r="AF66" s="475">
        <v>0</v>
      </c>
      <c r="AG66" s="475">
        <v>0</v>
      </c>
      <c r="AH66" s="475">
        <f t="shared" si="125"/>
        <v>0</v>
      </c>
      <c r="AI66" s="475">
        <f t="shared" si="126"/>
        <v>58809</v>
      </c>
      <c r="AJ66" s="476">
        <v>0</v>
      </c>
      <c r="AK66" s="476">
        <v>0</v>
      </c>
      <c r="AL66" s="476">
        <v>0.13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si="17"/>
        <v>0.13</v>
      </c>
      <c r="AS66" s="476">
        <f t="shared" si="18"/>
        <v>0</v>
      </c>
      <c r="AT66" s="478">
        <f t="shared" si="19"/>
        <v>0.13</v>
      </c>
      <c r="AU66" s="484">
        <f t="shared" si="127"/>
        <v>3328233</v>
      </c>
      <c r="AV66" s="475">
        <f t="shared" si="128"/>
        <v>2446784</v>
      </c>
      <c r="AW66" s="475">
        <f t="shared" si="129"/>
        <v>0</v>
      </c>
      <c r="AX66" s="475">
        <f t="shared" si="130"/>
        <v>827013</v>
      </c>
      <c r="AY66" s="475">
        <f t="shared" si="130"/>
        <v>48936</v>
      </c>
      <c r="AZ66" s="475">
        <f t="shared" si="131"/>
        <v>5500</v>
      </c>
      <c r="BA66" s="476">
        <f t="shared" si="132"/>
        <v>7.5399999999999991</v>
      </c>
      <c r="BB66" s="476">
        <f t="shared" si="133"/>
        <v>7.5399999999999991</v>
      </c>
      <c r="BC66" s="478">
        <f t="shared" si="133"/>
        <v>0</v>
      </c>
    </row>
    <row r="67" spans="1:55" s="102" customFormat="1" ht="14.1" customHeight="1" x14ac:dyDescent="0.2">
      <c r="A67" s="125">
        <v>9</v>
      </c>
      <c r="B67" s="80">
        <v>2456</v>
      </c>
      <c r="C67" s="99">
        <v>600079732</v>
      </c>
      <c r="D67" s="80">
        <v>70695911</v>
      </c>
      <c r="E67" s="80" t="s">
        <v>757</v>
      </c>
      <c r="F67" s="100">
        <v>3141</v>
      </c>
      <c r="G67" s="80" t="s">
        <v>315</v>
      </c>
      <c r="H67" s="101" t="s">
        <v>278</v>
      </c>
      <c r="I67" s="477">
        <v>3568545</v>
      </c>
      <c r="J67" s="631">
        <v>2600004</v>
      </c>
      <c r="K67" s="631">
        <v>10000</v>
      </c>
      <c r="L67" s="472">
        <v>882181</v>
      </c>
      <c r="M67" s="472">
        <v>52000</v>
      </c>
      <c r="N67" s="631">
        <v>24360</v>
      </c>
      <c r="O67" s="473">
        <v>8.2199999999999989</v>
      </c>
      <c r="P67" s="474">
        <v>0</v>
      </c>
      <c r="Q67" s="670">
        <v>8.2199999999999989</v>
      </c>
      <c r="R67" s="485">
        <f t="shared" si="119"/>
        <v>0</v>
      </c>
      <c r="S67" s="475">
        <v>0</v>
      </c>
      <c r="T67" s="755">
        <v>-138246</v>
      </c>
      <c r="U67" s="475">
        <v>0</v>
      </c>
      <c r="V67" s="475">
        <v>0</v>
      </c>
      <c r="W67" s="475">
        <v>0</v>
      </c>
      <c r="X67" s="475">
        <f t="shared" si="120"/>
        <v>-138246</v>
      </c>
      <c r="Y67" s="475">
        <v>0</v>
      </c>
      <c r="Z67" s="475">
        <v>0</v>
      </c>
      <c r="AA67" s="475">
        <v>0</v>
      </c>
      <c r="AB67" s="475">
        <f t="shared" si="121"/>
        <v>0</v>
      </c>
      <c r="AC67" s="475">
        <f t="shared" si="122"/>
        <v>-138246</v>
      </c>
      <c r="AD67" s="70">
        <f t="shared" si="123"/>
        <v>-46727</v>
      </c>
      <c r="AE67" s="70">
        <f t="shared" si="124"/>
        <v>-2765</v>
      </c>
      <c r="AF67" s="475">
        <v>0</v>
      </c>
      <c r="AG67" s="475">
        <v>0</v>
      </c>
      <c r="AH67" s="475">
        <f t="shared" si="125"/>
        <v>0</v>
      </c>
      <c r="AI67" s="475">
        <f t="shared" si="126"/>
        <v>-187738</v>
      </c>
      <c r="AJ67" s="476">
        <v>0</v>
      </c>
      <c r="AK67" s="476">
        <v>0</v>
      </c>
      <c r="AL67" s="476">
        <v>0</v>
      </c>
      <c r="AM67" s="476">
        <v>0</v>
      </c>
      <c r="AN67" s="756">
        <v>-0.43</v>
      </c>
      <c r="AO67" s="476">
        <v>0</v>
      </c>
      <c r="AP67" s="476">
        <v>0</v>
      </c>
      <c r="AQ67" s="476">
        <v>0</v>
      </c>
      <c r="AR67" s="476">
        <f t="shared" si="17"/>
        <v>0</v>
      </c>
      <c r="AS67" s="476">
        <f t="shared" si="18"/>
        <v>-0.43</v>
      </c>
      <c r="AT67" s="478">
        <f t="shared" si="19"/>
        <v>-0.43</v>
      </c>
      <c r="AU67" s="484">
        <f t="shared" si="127"/>
        <v>3380807</v>
      </c>
      <c r="AV67" s="475">
        <f t="shared" si="128"/>
        <v>2461758</v>
      </c>
      <c r="AW67" s="475">
        <f t="shared" si="129"/>
        <v>10000</v>
      </c>
      <c r="AX67" s="475">
        <f t="shared" si="130"/>
        <v>835454</v>
      </c>
      <c r="AY67" s="475">
        <f t="shared" si="130"/>
        <v>49235</v>
      </c>
      <c r="AZ67" s="475">
        <f t="shared" si="131"/>
        <v>24360</v>
      </c>
      <c r="BA67" s="476">
        <f t="shared" si="132"/>
        <v>7.7899999999999991</v>
      </c>
      <c r="BB67" s="476">
        <f t="shared" si="133"/>
        <v>0</v>
      </c>
      <c r="BC67" s="478">
        <f t="shared" si="133"/>
        <v>7.7899999999999991</v>
      </c>
    </row>
    <row r="68" spans="1:55" s="102" customFormat="1" ht="14.1" customHeight="1" x14ac:dyDescent="0.2">
      <c r="A68" s="125">
        <v>9</v>
      </c>
      <c r="B68" s="80">
        <v>2456</v>
      </c>
      <c r="C68" s="99">
        <v>600079732</v>
      </c>
      <c r="D68" s="80">
        <v>70695911</v>
      </c>
      <c r="E68" s="80" t="s">
        <v>757</v>
      </c>
      <c r="F68" s="100">
        <v>3143</v>
      </c>
      <c r="G68" s="80" t="s">
        <v>626</v>
      </c>
      <c r="H68" s="101" t="s">
        <v>277</v>
      </c>
      <c r="I68" s="477">
        <v>1991907</v>
      </c>
      <c r="J68" s="632">
        <v>1447089</v>
      </c>
      <c r="K68" s="632">
        <v>20000</v>
      </c>
      <c r="L68" s="472">
        <v>495876</v>
      </c>
      <c r="M68" s="472">
        <v>28942</v>
      </c>
      <c r="N68" s="472">
        <v>0</v>
      </c>
      <c r="O68" s="473">
        <v>2.7273000000000001</v>
      </c>
      <c r="P68" s="13">
        <v>2.7273000000000001</v>
      </c>
      <c r="Q68" s="483">
        <v>0</v>
      </c>
      <c r="R68" s="485">
        <f t="shared" si="119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20"/>
        <v>0</v>
      </c>
      <c r="Y68" s="475">
        <v>0</v>
      </c>
      <c r="Z68" s="475">
        <v>0</v>
      </c>
      <c r="AA68" s="475">
        <v>0</v>
      </c>
      <c r="AB68" s="475">
        <f t="shared" si="121"/>
        <v>0</v>
      </c>
      <c r="AC68" s="475">
        <f t="shared" si="122"/>
        <v>0</v>
      </c>
      <c r="AD68" s="70">
        <f t="shared" si="123"/>
        <v>0</v>
      </c>
      <c r="AE68" s="70">
        <f t="shared" si="124"/>
        <v>0</v>
      </c>
      <c r="AF68" s="475">
        <v>0</v>
      </c>
      <c r="AG68" s="475">
        <v>0</v>
      </c>
      <c r="AH68" s="475">
        <f t="shared" si="125"/>
        <v>0</v>
      </c>
      <c r="AI68" s="475">
        <f t="shared" si="126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si="17"/>
        <v>0</v>
      </c>
      <c r="AS68" s="476">
        <f t="shared" si="18"/>
        <v>0</v>
      </c>
      <c r="AT68" s="478">
        <f t="shared" si="19"/>
        <v>0</v>
      </c>
      <c r="AU68" s="484">
        <f t="shared" si="127"/>
        <v>1991907</v>
      </c>
      <c r="AV68" s="475">
        <f t="shared" si="128"/>
        <v>1447089</v>
      </c>
      <c r="AW68" s="475">
        <f t="shared" si="129"/>
        <v>20000</v>
      </c>
      <c r="AX68" s="475">
        <f t="shared" si="130"/>
        <v>495876</v>
      </c>
      <c r="AY68" s="475">
        <f t="shared" si="130"/>
        <v>28942</v>
      </c>
      <c r="AZ68" s="475">
        <f t="shared" si="131"/>
        <v>0</v>
      </c>
      <c r="BA68" s="476">
        <f t="shared" si="132"/>
        <v>2.7273000000000001</v>
      </c>
      <c r="BB68" s="476">
        <f t="shared" si="133"/>
        <v>2.7273000000000001</v>
      </c>
      <c r="BC68" s="478">
        <f t="shared" si="133"/>
        <v>0</v>
      </c>
    </row>
    <row r="69" spans="1:55" s="102" customFormat="1" ht="14.1" customHeight="1" x14ac:dyDescent="0.2">
      <c r="A69" s="125">
        <v>9</v>
      </c>
      <c r="B69" s="80">
        <v>2456</v>
      </c>
      <c r="C69" s="99">
        <v>600079732</v>
      </c>
      <c r="D69" s="80">
        <v>70695911</v>
      </c>
      <c r="E69" s="80" t="s">
        <v>757</v>
      </c>
      <c r="F69" s="100">
        <v>3143</v>
      </c>
      <c r="G69" s="80" t="s">
        <v>627</v>
      </c>
      <c r="H69" s="101" t="s">
        <v>278</v>
      </c>
      <c r="I69" s="477">
        <v>76357</v>
      </c>
      <c r="J69" s="631">
        <v>53996</v>
      </c>
      <c r="K69" s="631">
        <v>0</v>
      </c>
      <c r="L69" s="472">
        <v>18251</v>
      </c>
      <c r="M69" s="472">
        <v>1080</v>
      </c>
      <c r="N69" s="631">
        <v>3030</v>
      </c>
      <c r="O69" s="473">
        <v>0.21</v>
      </c>
      <c r="P69" s="474">
        <v>0</v>
      </c>
      <c r="Q69" s="670">
        <v>0.21</v>
      </c>
      <c r="R69" s="485">
        <f t="shared" si="119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20"/>
        <v>0</v>
      </c>
      <c r="Y69" s="475">
        <v>0</v>
      </c>
      <c r="Z69" s="475">
        <v>0</v>
      </c>
      <c r="AA69" s="475">
        <v>0</v>
      </c>
      <c r="AB69" s="475">
        <f t="shared" si="121"/>
        <v>0</v>
      </c>
      <c r="AC69" s="475">
        <f t="shared" si="122"/>
        <v>0</v>
      </c>
      <c r="AD69" s="70">
        <f t="shared" si="123"/>
        <v>0</v>
      </c>
      <c r="AE69" s="70">
        <f t="shared" si="124"/>
        <v>0</v>
      </c>
      <c r="AF69" s="475">
        <v>0</v>
      </c>
      <c r="AG69" s="475">
        <v>0</v>
      </c>
      <c r="AH69" s="475">
        <f t="shared" si="125"/>
        <v>0</v>
      </c>
      <c r="AI69" s="475">
        <f t="shared" si="126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 t="shared" si="17"/>
        <v>0</v>
      </c>
      <c r="AS69" s="476">
        <f t="shared" si="18"/>
        <v>0</v>
      </c>
      <c r="AT69" s="478">
        <f t="shared" si="19"/>
        <v>0</v>
      </c>
      <c r="AU69" s="484">
        <f t="shared" si="127"/>
        <v>76357</v>
      </c>
      <c r="AV69" s="475">
        <f t="shared" si="128"/>
        <v>53996</v>
      </c>
      <c r="AW69" s="475">
        <f t="shared" si="129"/>
        <v>0</v>
      </c>
      <c r="AX69" s="475">
        <f t="shared" si="130"/>
        <v>18251</v>
      </c>
      <c r="AY69" s="475">
        <f t="shared" si="130"/>
        <v>1080</v>
      </c>
      <c r="AZ69" s="475">
        <f t="shared" si="131"/>
        <v>3030</v>
      </c>
      <c r="BA69" s="476">
        <f t="shared" si="132"/>
        <v>0.21</v>
      </c>
      <c r="BB69" s="476">
        <f t="shared" si="133"/>
        <v>0</v>
      </c>
      <c r="BC69" s="478">
        <f t="shared" si="133"/>
        <v>0.21</v>
      </c>
    </row>
    <row r="70" spans="1:55" s="102" customFormat="1" ht="14.1" customHeight="1" x14ac:dyDescent="0.2">
      <c r="A70" s="126">
        <v>9</v>
      </c>
      <c r="B70" s="103">
        <v>2456</v>
      </c>
      <c r="C70" s="104">
        <v>600079732</v>
      </c>
      <c r="D70" s="103">
        <v>70695911</v>
      </c>
      <c r="E70" s="103" t="s">
        <v>758</v>
      </c>
      <c r="F70" s="105"/>
      <c r="G70" s="106"/>
      <c r="H70" s="107"/>
      <c r="I70" s="505">
        <v>41586097</v>
      </c>
      <c r="J70" s="501">
        <v>30009364</v>
      </c>
      <c r="K70" s="501">
        <v>170000</v>
      </c>
      <c r="L70" s="501">
        <v>10200625</v>
      </c>
      <c r="M70" s="501">
        <v>600188</v>
      </c>
      <c r="N70" s="501">
        <v>605920</v>
      </c>
      <c r="O70" s="502">
        <v>64.321899999999985</v>
      </c>
      <c r="P70" s="502">
        <v>44.520599999999995</v>
      </c>
      <c r="Q70" s="507">
        <v>19.801299999999998</v>
      </c>
      <c r="R70" s="505">
        <f t="shared" ref="R70:BC70" si="134">SUM(R64:R69)</f>
        <v>0</v>
      </c>
      <c r="S70" s="501">
        <f t="shared" si="134"/>
        <v>43306</v>
      </c>
      <c r="T70" s="501">
        <f t="shared" si="134"/>
        <v>237065</v>
      </c>
      <c r="U70" s="501">
        <f t="shared" si="134"/>
        <v>0</v>
      </c>
      <c r="V70" s="501">
        <f t="shared" si="134"/>
        <v>0</v>
      </c>
      <c r="W70" s="501">
        <f t="shared" si="134"/>
        <v>0</v>
      </c>
      <c r="X70" s="501">
        <f t="shared" si="134"/>
        <v>280371</v>
      </c>
      <c r="Y70" s="501">
        <f t="shared" si="134"/>
        <v>0</v>
      </c>
      <c r="Z70" s="501">
        <f t="shared" si="134"/>
        <v>0</v>
      </c>
      <c r="AA70" s="501">
        <f t="shared" si="134"/>
        <v>0</v>
      </c>
      <c r="AB70" s="501">
        <f t="shared" si="134"/>
        <v>0</v>
      </c>
      <c r="AC70" s="501">
        <f t="shared" si="134"/>
        <v>280371</v>
      </c>
      <c r="AD70" s="501">
        <f t="shared" si="134"/>
        <v>94765</v>
      </c>
      <c r="AE70" s="501">
        <f t="shared" si="134"/>
        <v>5607</v>
      </c>
      <c r="AF70" s="501">
        <f t="shared" si="134"/>
        <v>0</v>
      </c>
      <c r="AG70" s="501">
        <f t="shared" si="134"/>
        <v>0</v>
      </c>
      <c r="AH70" s="501">
        <f t="shared" si="134"/>
        <v>0</v>
      </c>
      <c r="AI70" s="501">
        <f t="shared" si="134"/>
        <v>380743</v>
      </c>
      <c r="AJ70" s="502">
        <f t="shared" si="134"/>
        <v>0</v>
      </c>
      <c r="AK70" s="502">
        <f t="shared" si="134"/>
        <v>0</v>
      </c>
      <c r="AL70" s="502">
        <f t="shared" si="134"/>
        <v>0.13</v>
      </c>
      <c r="AM70" s="502">
        <f t="shared" si="134"/>
        <v>0.59</v>
      </c>
      <c r="AN70" s="502">
        <f t="shared" si="134"/>
        <v>-0.43</v>
      </c>
      <c r="AO70" s="502">
        <f t="shared" si="134"/>
        <v>0</v>
      </c>
      <c r="AP70" s="502">
        <f t="shared" si="134"/>
        <v>0</v>
      </c>
      <c r="AQ70" s="502">
        <f t="shared" si="134"/>
        <v>0</v>
      </c>
      <c r="AR70" s="502">
        <f t="shared" si="134"/>
        <v>0.72</v>
      </c>
      <c r="AS70" s="502">
        <f t="shared" si="134"/>
        <v>-0.43</v>
      </c>
      <c r="AT70" s="109">
        <f t="shared" si="134"/>
        <v>0.28999999999999998</v>
      </c>
      <c r="AU70" s="509">
        <f t="shared" si="134"/>
        <v>41966840</v>
      </c>
      <c r="AV70" s="501">
        <f t="shared" si="134"/>
        <v>30289735</v>
      </c>
      <c r="AW70" s="501">
        <f t="shared" si="134"/>
        <v>170000</v>
      </c>
      <c r="AX70" s="501">
        <f t="shared" si="134"/>
        <v>10295390</v>
      </c>
      <c r="AY70" s="501">
        <f t="shared" si="134"/>
        <v>605795</v>
      </c>
      <c r="AZ70" s="501">
        <f t="shared" si="134"/>
        <v>605920</v>
      </c>
      <c r="BA70" s="502">
        <f t="shared" si="134"/>
        <v>64.611899999999991</v>
      </c>
      <c r="BB70" s="502">
        <f t="shared" si="134"/>
        <v>45.240600000000001</v>
      </c>
      <c r="BC70" s="109">
        <f t="shared" si="134"/>
        <v>19.371299999999998</v>
      </c>
    </row>
    <row r="71" spans="1:55" s="102" customFormat="1" ht="14.1" customHeight="1" x14ac:dyDescent="0.2">
      <c r="A71" s="125">
        <v>10</v>
      </c>
      <c r="B71" s="108">
        <v>2462</v>
      </c>
      <c r="C71" s="99">
        <v>600079813</v>
      </c>
      <c r="D71" s="80">
        <v>72744600</v>
      </c>
      <c r="E71" s="80" t="s">
        <v>759</v>
      </c>
      <c r="F71" s="100">
        <v>3111</v>
      </c>
      <c r="G71" s="80" t="s">
        <v>311</v>
      </c>
      <c r="H71" s="101" t="s">
        <v>277</v>
      </c>
      <c r="I71" s="477">
        <v>1388543</v>
      </c>
      <c r="J71" s="631">
        <v>1012899</v>
      </c>
      <c r="K71" s="631">
        <v>2000</v>
      </c>
      <c r="L71" s="472">
        <v>343036</v>
      </c>
      <c r="M71" s="472">
        <v>20258</v>
      </c>
      <c r="N71" s="631">
        <v>10350</v>
      </c>
      <c r="O71" s="473">
        <v>2.2044000000000001</v>
      </c>
      <c r="P71" s="474">
        <v>1.6935</v>
      </c>
      <c r="Q71" s="670">
        <v>0.51090000000000002</v>
      </c>
      <c r="R71" s="485">
        <f t="shared" ref="R71:R76" si="135">Y71*-1</f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ref="X71:X76" si="136">SUM(R71:W71)</f>
        <v>0</v>
      </c>
      <c r="Y71" s="475">
        <v>0</v>
      </c>
      <c r="Z71" s="475">
        <v>0</v>
      </c>
      <c r="AA71" s="475">
        <v>0</v>
      </c>
      <c r="AB71" s="475">
        <f t="shared" ref="AB71:AB76" si="137">SUM(Y71:AA71)</f>
        <v>0</v>
      </c>
      <c r="AC71" s="475">
        <f t="shared" ref="AC71:AC76" si="138">X71+AB71</f>
        <v>0</v>
      </c>
      <c r="AD71" s="70">
        <f t="shared" ref="AD71:AD76" si="139">ROUND((X71+Y71+Z71)*33.8%,0)</f>
        <v>0</v>
      </c>
      <c r="AE71" s="70">
        <f t="shared" ref="AE71:AE76" si="140">ROUND(X71*2%,0)</f>
        <v>0</v>
      </c>
      <c r="AF71" s="475">
        <v>0</v>
      </c>
      <c r="AG71" s="475">
        <v>0</v>
      </c>
      <c r="AH71" s="475">
        <f t="shared" ref="AH71:AH76" si="141">SUM(AF71:AG71)</f>
        <v>0</v>
      </c>
      <c r="AI71" s="475">
        <f t="shared" ref="AI71:AI76" si="142">AC71+AD71+AE71+AH71</f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si="17"/>
        <v>0</v>
      </c>
      <c r="AS71" s="476">
        <f t="shared" si="18"/>
        <v>0</v>
      </c>
      <c r="AT71" s="478">
        <f t="shared" si="19"/>
        <v>0</v>
      </c>
      <c r="AU71" s="484">
        <f t="shared" ref="AU71:AU76" si="143">I71+AI71</f>
        <v>1388543</v>
      </c>
      <c r="AV71" s="475">
        <f t="shared" ref="AV71:AV76" si="144">J71+X71</f>
        <v>1012899</v>
      </c>
      <c r="AW71" s="475">
        <f t="shared" ref="AW71:AW76" si="145">K71+AB71</f>
        <v>2000</v>
      </c>
      <c r="AX71" s="475">
        <f t="shared" ref="AX71:AY76" si="146">L71+AD71</f>
        <v>343036</v>
      </c>
      <c r="AY71" s="475">
        <f t="shared" si="146"/>
        <v>20258</v>
      </c>
      <c r="AZ71" s="475">
        <f t="shared" ref="AZ71:AZ76" si="147">N71+AH71</f>
        <v>10350</v>
      </c>
      <c r="BA71" s="476">
        <f t="shared" ref="BA71:BA76" si="148">O71+AT71</f>
        <v>2.2044000000000001</v>
      </c>
      <c r="BB71" s="476">
        <f t="shared" ref="BB71:BC76" si="149">P71+AR71</f>
        <v>1.6935</v>
      </c>
      <c r="BC71" s="478">
        <f t="shared" si="149"/>
        <v>0.51090000000000002</v>
      </c>
    </row>
    <row r="72" spans="1:55" s="102" customFormat="1" ht="14.1" customHeight="1" x14ac:dyDescent="0.2">
      <c r="A72" s="125">
        <v>10</v>
      </c>
      <c r="B72" s="110">
        <v>2462</v>
      </c>
      <c r="C72" s="99">
        <v>600079813</v>
      </c>
      <c r="D72" s="80">
        <v>72744600</v>
      </c>
      <c r="E72" s="110" t="s">
        <v>759</v>
      </c>
      <c r="F72" s="111">
        <v>3117</v>
      </c>
      <c r="G72" s="110" t="s">
        <v>329</v>
      </c>
      <c r="H72" s="101" t="s">
        <v>277</v>
      </c>
      <c r="I72" s="477">
        <v>3365972</v>
      </c>
      <c r="J72" s="631">
        <v>2178376</v>
      </c>
      <c r="K72" s="631">
        <v>188000</v>
      </c>
      <c r="L72" s="472">
        <v>799835</v>
      </c>
      <c r="M72" s="472">
        <v>43567</v>
      </c>
      <c r="N72" s="631">
        <v>156194</v>
      </c>
      <c r="O72" s="473">
        <v>3.8424000000000009</v>
      </c>
      <c r="P72" s="474">
        <v>2.4090000000000003</v>
      </c>
      <c r="Q72" s="670">
        <v>1.4334</v>
      </c>
      <c r="R72" s="485">
        <f t="shared" si="135"/>
        <v>0</v>
      </c>
      <c r="S72" s="475">
        <v>0</v>
      </c>
      <c r="T72" s="475">
        <v>112746</v>
      </c>
      <c r="U72" s="475">
        <v>0</v>
      </c>
      <c r="V72" s="475">
        <v>0</v>
      </c>
      <c r="W72" s="475">
        <v>0</v>
      </c>
      <c r="X72" s="475">
        <f t="shared" si="136"/>
        <v>112746</v>
      </c>
      <c r="Y72" s="475">
        <v>0</v>
      </c>
      <c r="Z72" s="475">
        <v>0</v>
      </c>
      <c r="AA72" s="475">
        <v>0</v>
      </c>
      <c r="AB72" s="475">
        <f t="shared" si="137"/>
        <v>0</v>
      </c>
      <c r="AC72" s="475">
        <f t="shared" si="138"/>
        <v>112746</v>
      </c>
      <c r="AD72" s="70">
        <f t="shared" si="139"/>
        <v>38108</v>
      </c>
      <c r="AE72" s="70">
        <f t="shared" si="140"/>
        <v>2255</v>
      </c>
      <c r="AF72" s="475">
        <v>0</v>
      </c>
      <c r="AG72" s="475">
        <v>0</v>
      </c>
      <c r="AH72" s="475">
        <f t="shared" si="141"/>
        <v>0</v>
      </c>
      <c r="AI72" s="475">
        <f t="shared" si="142"/>
        <v>153109</v>
      </c>
      <c r="AJ72" s="476">
        <v>0</v>
      </c>
      <c r="AK72" s="476">
        <v>0</v>
      </c>
      <c r="AL72" s="476">
        <v>0</v>
      </c>
      <c r="AM72" s="476">
        <v>0.18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7"/>
        <v>0.18</v>
      </c>
      <c r="AS72" s="476">
        <f t="shared" si="18"/>
        <v>0</v>
      </c>
      <c r="AT72" s="478">
        <f t="shared" si="19"/>
        <v>0.18</v>
      </c>
      <c r="AU72" s="484">
        <f t="shared" si="143"/>
        <v>3519081</v>
      </c>
      <c r="AV72" s="475">
        <f t="shared" si="144"/>
        <v>2291122</v>
      </c>
      <c r="AW72" s="475">
        <f t="shared" si="145"/>
        <v>188000</v>
      </c>
      <c r="AX72" s="475">
        <f t="shared" si="146"/>
        <v>837943</v>
      </c>
      <c r="AY72" s="475">
        <f t="shared" si="146"/>
        <v>45822</v>
      </c>
      <c r="AZ72" s="475">
        <f t="shared" si="147"/>
        <v>156194</v>
      </c>
      <c r="BA72" s="476">
        <f t="shared" si="148"/>
        <v>4.0224000000000011</v>
      </c>
      <c r="BB72" s="476">
        <f t="shared" si="149"/>
        <v>2.5890000000000004</v>
      </c>
      <c r="BC72" s="478">
        <f t="shared" si="149"/>
        <v>1.4334</v>
      </c>
    </row>
    <row r="73" spans="1:55" s="102" customFormat="1" ht="14.1" customHeight="1" x14ac:dyDescent="0.2">
      <c r="A73" s="125">
        <v>10</v>
      </c>
      <c r="B73" s="108">
        <v>2462</v>
      </c>
      <c r="C73" s="99">
        <v>600079813</v>
      </c>
      <c r="D73" s="80">
        <v>72744600</v>
      </c>
      <c r="E73" s="108" t="s">
        <v>759</v>
      </c>
      <c r="F73" s="100">
        <v>3117</v>
      </c>
      <c r="G73" s="80" t="s">
        <v>312</v>
      </c>
      <c r="H73" s="101" t="s">
        <v>278</v>
      </c>
      <c r="I73" s="477">
        <v>1602596</v>
      </c>
      <c r="J73" s="472">
        <v>1132518</v>
      </c>
      <c r="K73" s="472">
        <v>47000</v>
      </c>
      <c r="L73" s="472">
        <v>398677</v>
      </c>
      <c r="M73" s="472">
        <v>22651</v>
      </c>
      <c r="N73" s="472">
        <v>1750</v>
      </c>
      <c r="O73" s="473">
        <v>3.4799999999999995</v>
      </c>
      <c r="P73" s="474">
        <v>3.4799999999999995</v>
      </c>
      <c r="Q73" s="483">
        <v>0</v>
      </c>
      <c r="R73" s="485">
        <f t="shared" si="135"/>
        <v>0</v>
      </c>
      <c r="S73" s="475">
        <v>3838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36"/>
        <v>3838</v>
      </c>
      <c r="Y73" s="475">
        <v>0</v>
      </c>
      <c r="Z73" s="475">
        <v>0</v>
      </c>
      <c r="AA73" s="475">
        <v>0</v>
      </c>
      <c r="AB73" s="475">
        <f t="shared" si="137"/>
        <v>0</v>
      </c>
      <c r="AC73" s="475">
        <f t="shared" si="138"/>
        <v>3838</v>
      </c>
      <c r="AD73" s="70">
        <f t="shared" si="139"/>
        <v>1297</v>
      </c>
      <c r="AE73" s="70">
        <f t="shared" si="140"/>
        <v>77</v>
      </c>
      <c r="AF73" s="475">
        <v>0</v>
      </c>
      <c r="AG73" s="475">
        <v>0</v>
      </c>
      <c r="AH73" s="475">
        <f t="shared" si="141"/>
        <v>0</v>
      </c>
      <c r="AI73" s="475">
        <f t="shared" si="142"/>
        <v>5212</v>
      </c>
      <c r="AJ73" s="476">
        <v>0</v>
      </c>
      <c r="AK73" s="476">
        <v>0</v>
      </c>
      <c r="AL73" s="476">
        <v>-0.06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si="17"/>
        <v>-0.06</v>
      </c>
      <c r="AS73" s="476">
        <f t="shared" si="18"/>
        <v>0</v>
      </c>
      <c r="AT73" s="478">
        <f t="shared" si="19"/>
        <v>-0.06</v>
      </c>
      <c r="AU73" s="484">
        <f t="shared" si="143"/>
        <v>1607808</v>
      </c>
      <c r="AV73" s="475">
        <f t="shared" si="144"/>
        <v>1136356</v>
      </c>
      <c r="AW73" s="475">
        <f t="shared" si="145"/>
        <v>47000</v>
      </c>
      <c r="AX73" s="475">
        <f t="shared" si="146"/>
        <v>399974</v>
      </c>
      <c r="AY73" s="475">
        <f t="shared" si="146"/>
        <v>22728</v>
      </c>
      <c r="AZ73" s="475">
        <f t="shared" si="147"/>
        <v>1750</v>
      </c>
      <c r="BA73" s="476">
        <f t="shared" si="148"/>
        <v>3.4199999999999995</v>
      </c>
      <c r="BB73" s="476">
        <f t="shared" si="149"/>
        <v>3.4199999999999995</v>
      </c>
      <c r="BC73" s="478">
        <f t="shared" si="149"/>
        <v>0</v>
      </c>
    </row>
    <row r="74" spans="1:55" s="102" customFormat="1" ht="14.1" customHeight="1" x14ac:dyDescent="0.2">
      <c r="A74" s="125">
        <v>10</v>
      </c>
      <c r="B74" s="80">
        <v>2462</v>
      </c>
      <c r="C74" s="99">
        <v>600079813</v>
      </c>
      <c r="D74" s="80">
        <v>72744600</v>
      </c>
      <c r="E74" s="80" t="s">
        <v>759</v>
      </c>
      <c r="F74" s="100">
        <v>3141</v>
      </c>
      <c r="G74" s="80" t="s">
        <v>315</v>
      </c>
      <c r="H74" s="101" t="s">
        <v>278</v>
      </c>
      <c r="I74" s="477">
        <v>670057</v>
      </c>
      <c r="J74" s="631">
        <v>486524</v>
      </c>
      <c r="K74" s="631">
        <v>5000</v>
      </c>
      <c r="L74" s="472">
        <v>166135</v>
      </c>
      <c r="M74" s="472">
        <v>9730</v>
      </c>
      <c r="N74" s="631">
        <v>2668</v>
      </c>
      <c r="O74" s="473">
        <v>1.55</v>
      </c>
      <c r="P74" s="474">
        <v>0</v>
      </c>
      <c r="Q74" s="670">
        <v>1.55</v>
      </c>
      <c r="R74" s="485">
        <f t="shared" si="135"/>
        <v>0</v>
      </c>
      <c r="S74" s="475">
        <v>0</v>
      </c>
      <c r="T74" s="755">
        <v>-9309</v>
      </c>
      <c r="U74" s="475">
        <v>0</v>
      </c>
      <c r="V74" s="475">
        <v>0</v>
      </c>
      <c r="W74" s="475">
        <v>0</v>
      </c>
      <c r="X74" s="475">
        <f t="shared" si="136"/>
        <v>-9309</v>
      </c>
      <c r="Y74" s="475">
        <v>0</v>
      </c>
      <c r="Z74" s="475">
        <v>0</v>
      </c>
      <c r="AA74" s="475">
        <v>0</v>
      </c>
      <c r="AB74" s="475">
        <f t="shared" si="137"/>
        <v>0</v>
      </c>
      <c r="AC74" s="475">
        <f t="shared" si="138"/>
        <v>-9309</v>
      </c>
      <c r="AD74" s="70">
        <f t="shared" si="139"/>
        <v>-3146</v>
      </c>
      <c r="AE74" s="70">
        <f t="shared" si="140"/>
        <v>-186</v>
      </c>
      <c r="AF74" s="475">
        <v>0</v>
      </c>
      <c r="AG74" s="475">
        <v>0</v>
      </c>
      <c r="AH74" s="475">
        <f t="shared" si="141"/>
        <v>0</v>
      </c>
      <c r="AI74" s="475">
        <f t="shared" si="142"/>
        <v>-12641</v>
      </c>
      <c r="AJ74" s="476">
        <v>0</v>
      </c>
      <c r="AK74" s="476">
        <v>0</v>
      </c>
      <c r="AL74" s="476">
        <v>0</v>
      </c>
      <c r="AM74" s="476">
        <v>0</v>
      </c>
      <c r="AN74" s="756">
        <v>-3.0000000000000027E-2</v>
      </c>
      <c r="AO74" s="476">
        <v>0</v>
      </c>
      <c r="AP74" s="476">
        <v>0</v>
      </c>
      <c r="AQ74" s="476">
        <v>0</v>
      </c>
      <c r="AR74" s="476">
        <f t="shared" si="17"/>
        <v>0</v>
      </c>
      <c r="AS74" s="476">
        <f t="shared" si="18"/>
        <v>-3.0000000000000027E-2</v>
      </c>
      <c r="AT74" s="478">
        <f t="shared" si="19"/>
        <v>-3.0000000000000027E-2</v>
      </c>
      <c r="AU74" s="484">
        <f t="shared" si="143"/>
        <v>657416</v>
      </c>
      <c r="AV74" s="475">
        <f t="shared" si="144"/>
        <v>477215</v>
      </c>
      <c r="AW74" s="475">
        <f t="shared" si="145"/>
        <v>5000</v>
      </c>
      <c r="AX74" s="475">
        <f t="shared" si="146"/>
        <v>162989</v>
      </c>
      <c r="AY74" s="475">
        <f t="shared" si="146"/>
        <v>9544</v>
      </c>
      <c r="AZ74" s="475">
        <f t="shared" si="147"/>
        <v>2668</v>
      </c>
      <c r="BA74" s="476">
        <f t="shared" si="148"/>
        <v>1.52</v>
      </c>
      <c r="BB74" s="476">
        <f t="shared" si="149"/>
        <v>0</v>
      </c>
      <c r="BC74" s="478">
        <f t="shared" si="149"/>
        <v>1.52</v>
      </c>
    </row>
    <row r="75" spans="1:55" s="102" customFormat="1" ht="14.1" customHeight="1" x14ac:dyDescent="0.2">
      <c r="A75" s="125">
        <v>10</v>
      </c>
      <c r="B75" s="80">
        <v>2462</v>
      </c>
      <c r="C75" s="99">
        <v>600079813</v>
      </c>
      <c r="D75" s="80">
        <v>72744600</v>
      </c>
      <c r="E75" s="80" t="s">
        <v>759</v>
      </c>
      <c r="F75" s="100">
        <v>3143</v>
      </c>
      <c r="G75" s="80" t="s">
        <v>626</v>
      </c>
      <c r="H75" s="101" t="s">
        <v>277</v>
      </c>
      <c r="I75" s="477">
        <v>567915</v>
      </c>
      <c r="J75" s="632">
        <v>359083</v>
      </c>
      <c r="K75" s="632">
        <v>60000</v>
      </c>
      <c r="L75" s="472">
        <v>141650</v>
      </c>
      <c r="M75" s="472">
        <v>7182</v>
      </c>
      <c r="N75" s="472">
        <v>0</v>
      </c>
      <c r="O75" s="473">
        <v>0.872</v>
      </c>
      <c r="P75" s="13">
        <v>0.872</v>
      </c>
      <c r="Q75" s="483">
        <v>0</v>
      </c>
      <c r="R75" s="485">
        <f t="shared" si="135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36"/>
        <v>0</v>
      </c>
      <c r="Y75" s="475">
        <v>0</v>
      </c>
      <c r="Z75" s="475">
        <v>0</v>
      </c>
      <c r="AA75" s="475">
        <v>0</v>
      </c>
      <c r="AB75" s="475">
        <f t="shared" si="137"/>
        <v>0</v>
      </c>
      <c r="AC75" s="475">
        <f t="shared" si="138"/>
        <v>0</v>
      </c>
      <c r="AD75" s="70">
        <f t="shared" si="139"/>
        <v>0</v>
      </c>
      <c r="AE75" s="70">
        <f t="shared" si="140"/>
        <v>0</v>
      </c>
      <c r="AF75" s="475">
        <v>0</v>
      </c>
      <c r="AG75" s="475">
        <v>0</v>
      </c>
      <c r="AH75" s="475">
        <f t="shared" si="141"/>
        <v>0</v>
      </c>
      <c r="AI75" s="475">
        <f t="shared" si="142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si="17"/>
        <v>0</v>
      </c>
      <c r="AS75" s="476">
        <f t="shared" si="18"/>
        <v>0</v>
      </c>
      <c r="AT75" s="478">
        <f t="shared" si="19"/>
        <v>0</v>
      </c>
      <c r="AU75" s="484">
        <f t="shared" si="143"/>
        <v>567915</v>
      </c>
      <c r="AV75" s="475">
        <f t="shared" si="144"/>
        <v>359083</v>
      </c>
      <c r="AW75" s="475">
        <f t="shared" si="145"/>
        <v>60000</v>
      </c>
      <c r="AX75" s="475">
        <f t="shared" si="146"/>
        <v>141650</v>
      </c>
      <c r="AY75" s="475">
        <f t="shared" si="146"/>
        <v>7182</v>
      </c>
      <c r="AZ75" s="475">
        <f t="shared" si="147"/>
        <v>0</v>
      </c>
      <c r="BA75" s="476">
        <f t="shared" si="148"/>
        <v>0.872</v>
      </c>
      <c r="BB75" s="476">
        <f t="shared" si="149"/>
        <v>0.872</v>
      </c>
      <c r="BC75" s="478">
        <f t="shared" si="149"/>
        <v>0</v>
      </c>
    </row>
    <row r="76" spans="1:55" s="102" customFormat="1" ht="14.1" customHeight="1" x14ac:dyDescent="0.2">
      <c r="A76" s="125">
        <v>10</v>
      </c>
      <c r="B76" s="80">
        <v>2462</v>
      </c>
      <c r="C76" s="99">
        <v>600079813</v>
      </c>
      <c r="D76" s="80">
        <v>72744600</v>
      </c>
      <c r="E76" s="80" t="s">
        <v>759</v>
      </c>
      <c r="F76" s="100">
        <v>3143</v>
      </c>
      <c r="G76" s="80" t="s">
        <v>627</v>
      </c>
      <c r="H76" s="101" t="s">
        <v>278</v>
      </c>
      <c r="I76" s="477">
        <v>16631</v>
      </c>
      <c r="J76" s="631">
        <v>11761</v>
      </c>
      <c r="K76" s="631">
        <v>0</v>
      </c>
      <c r="L76" s="472">
        <v>3975</v>
      </c>
      <c r="M76" s="472">
        <v>235</v>
      </c>
      <c r="N76" s="631">
        <v>660</v>
      </c>
      <c r="O76" s="473">
        <v>0.05</v>
      </c>
      <c r="P76" s="474">
        <v>0</v>
      </c>
      <c r="Q76" s="670">
        <v>0.05</v>
      </c>
      <c r="R76" s="485">
        <f t="shared" si="135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36"/>
        <v>0</v>
      </c>
      <c r="Y76" s="475">
        <v>0</v>
      </c>
      <c r="Z76" s="475">
        <v>0</v>
      </c>
      <c r="AA76" s="475">
        <v>0</v>
      </c>
      <c r="AB76" s="475">
        <f t="shared" si="137"/>
        <v>0</v>
      </c>
      <c r="AC76" s="475">
        <f t="shared" si="138"/>
        <v>0</v>
      </c>
      <c r="AD76" s="70">
        <f t="shared" si="139"/>
        <v>0</v>
      </c>
      <c r="AE76" s="70">
        <f t="shared" si="140"/>
        <v>0</v>
      </c>
      <c r="AF76" s="475">
        <v>0</v>
      </c>
      <c r="AG76" s="475">
        <v>0</v>
      </c>
      <c r="AH76" s="475">
        <f t="shared" si="141"/>
        <v>0</v>
      </c>
      <c r="AI76" s="475">
        <f t="shared" si="142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si="17"/>
        <v>0</v>
      </c>
      <c r="AS76" s="476">
        <f t="shared" si="18"/>
        <v>0</v>
      </c>
      <c r="AT76" s="478">
        <f t="shared" si="19"/>
        <v>0</v>
      </c>
      <c r="AU76" s="484">
        <f t="shared" si="143"/>
        <v>16631</v>
      </c>
      <c r="AV76" s="475">
        <f t="shared" si="144"/>
        <v>11761</v>
      </c>
      <c r="AW76" s="475">
        <f t="shared" si="145"/>
        <v>0</v>
      </c>
      <c r="AX76" s="475">
        <f t="shared" si="146"/>
        <v>3975</v>
      </c>
      <c r="AY76" s="475">
        <f t="shared" si="146"/>
        <v>235</v>
      </c>
      <c r="AZ76" s="475">
        <f t="shared" si="147"/>
        <v>660</v>
      </c>
      <c r="BA76" s="476">
        <f t="shared" si="148"/>
        <v>0.05</v>
      </c>
      <c r="BB76" s="476">
        <f t="shared" si="149"/>
        <v>0</v>
      </c>
      <c r="BC76" s="478">
        <f t="shared" si="149"/>
        <v>0.05</v>
      </c>
    </row>
    <row r="77" spans="1:55" s="102" customFormat="1" ht="14.1" customHeight="1" x14ac:dyDescent="0.2">
      <c r="A77" s="126">
        <v>10</v>
      </c>
      <c r="B77" s="103">
        <v>2462</v>
      </c>
      <c r="C77" s="104">
        <v>600079813</v>
      </c>
      <c r="D77" s="103">
        <v>72744600</v>
      </c>
      <c r="E77" s="103" t="s">
        <v>760</v>
      </c>
      <c r="F77" s="112"/>
      <c r="G77" s="106"/>
      <c r="H77" s="107"/>
      <c r="I77" s="505">
        <v>7611714</v>
      </c>
      <c r="J77" s="501">
        <v>5181161</v>
      </c>
      <c r="K77" s="501">
        <v>302000</v>
      </c>
      <c r="L77" s="501">
        <v>1853308</v>
      </c>
      <c r="M77" s="501">
        <v>103623</v>
      </c>
      <c r="N77" s="501">
        <v>171622</v>
      </c>
      <c r="O77" s="502">
        <v>11.998800000000003</v>
      </c>
      <c r="P77" s="502">
        <v>8.4544999999999995</v>
      </c>
      <c r="Q77" s="507">
        <v>3.5442999999999998</v>
      </c>
      <c r="R77" s="505">
        <f t="shared" ref="R77:BC77" si="150">SUM(R71:R76)</f>
        <v>0</v>
      </c>
      <c r="S77" s="501">
        <f t="shared" si="150"/>
        <v>3838</v>
      </c>
      <c r="T77" s="501">
        <f t="shared" si="150"/>
        <v>103437</v>
      </c>
      <c r="U77" s="501">
        <f t="shared" si="150"/>
        <v>0</v>
      </c>
      <c r="V77" s="501">
        <f t="shared" si="150"/>
        <v>0</v>
      </c>
      <c r="W77" s="501">
        <f t="shared" si="150"/>
        <v>0</v>
      </c>
      <c r="X77" s="501">
        <f t="shared" si="150"/>
        <v>107275</v>
      </c>
      <c r="Y77" s="501">
        <f t="shared" si="150"/>
        <v>0</v>
      </c>
      <c r="Z77" s="501">
        <f t="shared" si="150"/>
        <v>0</v>
      </c>
      <c r="AA77" s="501">
        <f t="shared" si="150"/>
        <v>0</v>
      </c>
      <c r="AB77" s="501">
        <f t="shared" si="150"/>
        <v>0</v>
      </c>
      <c r="AC77" s="501">
        <f t="shared" si="150"/>
        <v>107275</v>
      </c>
      <c r="AD77" s="501">
        <f t="shared" si="150"/>
        <v>36259</v>
      </c>
      <c r="AE77" s="501">
        <f t="shared" si="150"/>
        <v>2146</v>
      </c>
      <c r="AF77" s="501">
        <f t="shared" si="150"/>
        <v>0</v>
      </c>
      <c r="AG77" s="501">
        <f t="shared" si="150"/>
        <v>0</v>
      </c>
      <c r="AH77" s="501">
        <f t="shared" si="150"/>
        <v>0</v>
      </c>
      <c r="AI77" s="501">
        <f t="shared" si="150"/>
        <v>145680</v>
      </c>
      <c r="AJ77" s="502">
        <f t="shared" si="150"/>
        <v>0</v>
      </c>
      <c r="AK77" s="502">
        <f t="shared" si="150"/>
        <v>0</v>
      </c>
      <c r="AL77" s="502">
        <f t="shared" si="150"/>
        <v>-0.06</v>
      </c>
      <c r="AM77" s="502">
        <f t="shared" si="150"/>
        <v>0.18</v>
      </c>
      <c r="AN77" s="502">
        <f t="shared" si="150"/>
        <v>-3.0000000000000027E-2</v>
      </c>
      <c r="AO77" s="502">
        <f t="shared" si="150"/>
        <v>0</v>
      </c>
      <c r="AP77" s="502">
        <f t="shared" si="150"/>
        <v>0</v>
      </c>
      <c r="AQ77" s="502">
        <f t="shared" si="150"/>
        <v>0</v>
      </c>
      <c r="AR77" s="502">
        <f t="shared" si="150"/>
        <v>0.12</v>
      </c>
      <c r="AS77" s="502">
        <f t="shared" si="150"/>
        <v>-3.0000000000000027E-2</v>
      </c>
      <c r="AT77" s="109">
        <f t="shared" si="150"/>
        <v>8.9999999999999969E-2</v>
      </c>
      <c r="AU77" s="509">
        <f t="shared" si="150"/>
        <v>7757394</v>
      </c>
      <c r="AV77" s="501">
        <f t="shared" si="150"/>
        <v>5288436</v>
      </c>
      <c r="AW77" s="501">
        <f t="shared" si="150"/>
        <v>302000</v>
      </c>
      <c r="AX77" s="501">
        <f t="shared" si="150"/>
        <v>1889567</v>
      </c>
      <c r="AY77" s="501">
        <f t="shared" si="150"/>
        <v>105769</v>
      </c>
      <c r="AZ77" s="501">
        <f t="shared" si="150"/>
        <v>171622</v>
      </c>
      <c r="BA77" s="502">
        <f t="shared" si="150"/>
        <v>12.088800000000001</v>
      </c>
      <c r="BB77" s="502">
        <f t="shared" si="150"/>
        <v>8.5745000000000005</v>
      </c>
      <c r="BC77" s="109">
        <f t="shared" si="150"/>
        <v>3.5143</v>
      </c>
    </row>
    <row r="78" spans="1:55" s="102" customFormat="1" ht="14.1" customHeight="1" x14ac:dyDescent="0.2">
      <c r="A78" s="125">
        <v>11</v>
      </c>
      <c r="B78" s="108">
        <v>2464</v>
      </c>
      <c r="C78" s="99">
        <v>600080081</v>
      </c>
      <c r="D78" s="80">
        <v>72753846</v>
      </c>
      <c r="E78" s="80" t="s">
        <v>761</v>
      </c>
      <c r="F78" s="100">
        <v>3111</v>
      </c>
      <c r="G78" s="80" t="s">
        <v>311</v>
      </c>
      <c r="H78" s="101" t="s">
        <v>277</v>
      </c>
      <c r="I78" s="477">
        <v>1659230</v>
      </c>
      <c r="J78" s="631">
        <v>1215854</v>
      </c>
      <c r="K78" s="631">
        <v>0</v>
      </c>
      <c r="L78" s="472">
        <v>410959</v>
      </c>
      <c r="M78" s="472">
        <v>24317</v>
      </c>
      <c r="N78" s="631">
        <v>8100</v>
      </c>
      <c r="O78" s="473">
        <v>2.7166999999999999</v>
      </c>
      <c r="P78" s="474">
        <v>2.2557999999999998</v>
      </c>
      <c r="Q78" s="670">
        <v>0.46089999999999998</v>
      </c>
      <c r="R78" s="485">
        <f t="shared" ref="R78:R83" si="151">Y78*-1</f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ref="X78:X83" si="152">SUM(R78:W78)</f>
        <v>0</v>
      </c>
      <c r="Y78" s="475">
        <v>0</v>
      </c>
      <c r="Z78" s="475">
        <v>0</v>
      </c>
      <c r="AA78" s="475">
        <v>0</v>
      </c>
      <c r="AB78" s="475">
        <f t="shared" ref="AB78:AB83" si="153">SUM(Y78:AA78)</f>
        <v>0</v>
      </c>
      <c r="AC78" s="475">
        <f t="shared" ref="AC78:AC83" si="154">X78+AB78</f>
        <v>0</v>
      </c>
      <c r="AD78" s="70">
        <f t="shared" ref="AD78:AD83" si="155">ROUND((X78+Y78+Z78)*33.8%,0)</f>
        <v>0</v>
      </c>
      <c r="AE78" s="70">
        <f t="shared" ref="AE78:AE83" si="156">ROUND(X78*2%,0)</f>
        <v>0</v>
      </c>
      <c r="AF78" s="475">
        <v>0</v>
      </c>
      <c r="AG78" s="475">
        <v>0</v>
      </c>
      <c r="AH78" s="475">
        <f t="shared" ref="AH78:AH83" si="157">SUM(AF78:AG78)</f>
        <v>0</v>
      </c>
      <c r="AI78" s="475">
        <f t="shared" ref="AI78:AI83" si="158">AC78+AD78+AE78+AH78</f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ref="AR78:AR129" si="159">AJ78+AL78+AM78+AO78+AP78</f>
        <v>0</v>
      </c>
      <c r="AS78" s="476">
        <f t="shared" ref="AS78:AS129" si="160">AK78+AN78+AQ78</f>
        <v>0</v>
      </c>
      <c r="AT78" s="478">
        <f t="shared" ref="AT78:AT129" si="161">SUM(AR78:AS78)</f>
        <v>0</v>
      </c>
      <c r="AU78" s="484">
        <f t="shared" ref="AU78:AU83" si="162">I78+AI78</f>
        <v>1659230</v>
      </c>
      <c r="AV78" s="475">
        <f t="shared" ref="AV78:AV83" si="163">J78+X78</f>
        <v>1215854</v>
      </c>
      <c r="AW78" s="475">
        <f t="shared" ref="AW78:AW83" si="164">K78+AB78</f>
        <v>0</v>
      </c>
      <c r="AX78" s="475">
        <f t="shared" ref="AX78:AY83" si="165">L78+AD78</f>
        <v>410959</v>
      </c>
      <c r="AY78" s="475">
        <f t="shared" si="165"/>
        <v>24317</v>
      </c>
      <c r="AZ78" s="475">
        <f t="shared" ref="AZ78:AZ83" si="166">N78+AH78</f>
        <v>8100</v>
      </c>
      <c r="BA78" s="476">
        <f t="shared" ref="BA78:BA83" si="167">O78+AT78</f>
        <v>2.7166999999999999</v>
      </c>
      <c r="BB78" s="476">
        <f t="shared" ref="BB78:BC83" si="168">P78+AR78</f>
        <v>2.2557999999999998</v>
      </c>
      <c r="BC78" s="478">
        <f t="shared" si="168"/>
        <v>0.46089999999999998</v>
      </c>
    </row>
    <row r="79" spans="1:55" s="102" customFormat="1" ht="14.1" customHeight="1" x14ac:dyDescent="0.2">
      <c r="A79" s="125">
        <v>11</v>
      </c>
      <c r="B79" s="110">
        <v>2464</v>
      </c>
      <c r="C79" s="99">
        <v>600080081</v>
      </c>
      <c r="D79" s="80">
        <v>72753846</v>
      </c>
      <c r="E79" s="110" t="s">
        <v>761</v>
      </c>
      <c r="F79" s="111">
        <v>3117</v>
      </c>
      <c r="G79" s="110" t="s">
        <v>329</v>
      </c>
      <c r="H79" s="101" t="s">
        <v>277</v>
      </c>
      <c r="I79" s="477">
        <v>1207636</v>
      </c>
      <c r="J79" s="631">
        <v>852162</v>
      </c>
      <c r="K79" s="631">
        <v>30000</v>
      </c>
      <c r="L79" s="472">
        <v>298170</v>
      </c>
      <c r="M79" s="472">
        <v>17044</v>
      </c>
      <c r="N79" s="631">
        <v>10260</v>
      </c>
      <c r="O79" s="473">
        <v>1.7495999999999998</v>
      </c>
      <c r="P79" s="474">
        <v>1.1520999999999999</v>
      </c>
      <c r="Q79" s="670">
        <v>0.59749999999999992</v>
      </c>
      <c r="R79" s="485">
        <f t="shared" si="151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52"/>
        <v>0</v>
      </c>
      <c r="Y79" s="475">
        <v>0</v>
      </c>
      <c r="Z79" s="475">
        <v>0</v>
      </c>
      <c r="AA79" s="475">
        <v>0</v>
      </c>
      <c r="AB79" s="475">
        <f t="shared" si="153"/>
        <v>0</v>
      </c>
      <c r="AC79" s="475">
        <f t="shared" si="154"/>
        <v>0</v>
      </c>
      <c r="AD79" s="70">
        <f t="shared" si="155"/>
        <v>0</v>
      </c>
      <c r="AE79" s="70">
        <f t="shared" si="156"/>
        <v>0</v>
      </c>
      <c r="AF79" s="475">
        <v>0</v>
      </c>
      <c r="AG79" s="475">
        <v>0</v>
      </c>
      <c r="AH79" s="475">
        <f t="shared" si="157"/>
        <v>0</v>
      </c>
      <c r="AI79" s="475">
        <f t="shared" si="158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 t="shared" si="159"/>
        <v>0</v>
      </c>
      <c r="AS79" s="476">
        <f t="shared" si="160"/>
        <v>0</v>
      </c>
      <c r="AT79" s="478">
        <f t="shared" si="161"/>
        <v>0</v>
      </c>
      <c r="AU79" s="484">
        <f t="shared" si="162"/>
        <v>1207636</v>
      </c>
      <c r="AV79" s="475">
        <f t="shared" si="163"/>
        <v>852162</v>
      </c>
      <c r="AW79" s="475">
        <f t="shared" si="164"/>
        <v>30000</v>
      </c>
      <c r="AX79" s="475">
        <f t="shared" si="165"/>
        <v>298170</v>
      </c>
      <c r="AY79" s="475">
        <f t="shared" si="165"/>
        <v>17044</v>
      </c>
      <c r="AZ79" s="475">
        <f t="shared" si="166"/>
        <v>10260</v>
      </c>
      <c r="BA79" s="476">
        <f t="shared" si="167"/>
        <v>1.7495999999999998</v>
      </c>
      <c r="BB79" s="476">
        <f t="shared" si="168"/>
        <v>1.1520999999999999</v>
      </c>
      <c r="BC79" s="478">
        <f t="shared" si="168"/>
        <v>0.59749999999999992</v>
      </c>
    </row>
    <row r="80" spans="1:55" s="102" customFormat="1" ht="14.1" customHeight="1" x14ac:dyDescent="0.2">
      <c r="A80" s="125">
        <v>11</v>
      </c>
      <c r="B80" s="108">
        <v>2464</v>
      </c>
      <c r="C80" s="99">
        <v>600080081</v>
      </c>
      <c r="D80" s="80">
        <v>72753846</v>
      </c>
      <c r="E80" s="108" t="s">
        <v>761</v>
      </c>
      <c r="F80" s="100">
        <v>3117</v>
      </c>
      <c r="G80" s="80" t="s">
        <v>312</v>
      </c>
      <c r="H80" s="101" t="s">
        <v>278</v>
      </c>
      <c r="I80" s="477">
        <v>940914</v>
      </c>
      <c r="J80" s="472">
        <v>691027</v>
      </c>
      <c r="K80" s="472">
        <v>0</v>
      </c>
      <c r="L80" s="472">
        <v>233567</v>
      </c>
      <c r="M80" s="472">
        <v>13820</v>
      </c>
      <c r="N80" s="472">
        <v>2500</v>
      </c>
      <c r="O80" s="473">
        <v>2.0500000000000003</v>
      </c>
      <c r="P80" s="474">
        <v>2.0500000000000003</v>
      </c>
      <c r="Q80" s="483">
        <v>0</v>
      </c>
      <c r="R80" s="485">
        <f t="shared" si="151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52"/>
        <v>0</v>
      </c>
      <c r="Y80" s="475">
        <v>0</v>
      </c>
      <c r="Z80" s="475">
        <v>0</v>
      </c>
      <c r="AA80" s="475">
        <v>0</v>
      </c>
      <c r="AB80" s="475">
        <f t="shared" si="153"/>
        <v>0</v>
      </c>
      <c r="AC80" s="475">
        <f t="shared" si="154"/>
        <v>0</v>
      </c>
      <c r="AD80" s="70">
        <f t="shared" si="155"/>
        <v>0</v>
      </c>
      <c r="AE80" s="70">
        <f t="shared" si="156"/>
        <v>0</v>
      </c>
      <c r="AF80" s="475">
        <v>6950</v>
      </c>
      <c r="AG80" s="475">
        <v>0</v>
      </c>
      <c r="AH80" s="475">
        <f t="shared" si="157"/>
        <v>6950</v>
      </c>
      <c r="AI80" s="475">
        <f t="shared" si="158"/>
        <v>6950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si="159"/>
        <v>0</v>
      </c>
      <c r="AS80" s="476">
        <f t="shared" si="160"/>
        <v>0</v>
      </c>
      <c r="AT80" s="478">
        <f t="shared" si="161"/>
        <v>0</v>
      </c>
      <c r="AU80" s="484">
        <f t="shared" si="162"/>
        <v>947864</v>
      </c>
      <c r="AV80" s="475">
        <f t="shared" si="163"/>
        <v>691027</v>
      </c>
      <c r="AW80" s="475">
        <f t="shared" si="164"/>
        <v>0</v>
      </c>
      <c r="AX80" s="475">
        <f t="shared" si="165"/>
        <v>233567</v>
      </c>
      <c r="AY80" s="475">
        <f t="shared" si="165"/>
        <v>13820</v>
      </c>
      <c r="AZ80" s="475">
        <f t="shared" si="166"/>
        <v>9450</v>
      </c>
      <c r="BA80" s="476">
        <f t="shared" si="167"/>
        <v>2.0500000000000003</v>
      </c>
      <c r="BB80" s="476">
        <f t="shared" si="168"/>
        <v>2.0500000000000003</v>
      </c>
      <c r="BC80" s="478">
        <f t="shared" si="168"/>
        <v>0</v>
      </c>
    </row>
    <row r="81" spans="1:55" s="102" customFormat="1" ht="14.1" customHeight="1" x14ac:dyDescent="0.2">
      <c r="A81" s="125">
        <v>11</v>
      </c>
      <c r="B81" s="80">
        <v>2464</v>
      </c>
      <c r="C81" s="99">
        <v>600080081</v>
      </c>
      <c r="D81" s="80">
        <v>72753846</v>
      </c>
      <c r="E81" s="80" t="s">
        <v>761</v>
      </c>
      <c r="F81" s="100">
        <v>3141</v>
      </c>
      <c r="G81" s="80" t="s">
        <v>315</v>
      </c>
      <c r="H81" s="101" t="s">
        <v>278</v>
      </c>
      <c r="I81" s="477">
        <v>383168</v>
      </c>
      <c r="J81" s="631">
        <v>281174</v>
      </c>
      <c r="K81" s="631">
        <v>0</v>
      </c>
      <c r="L81" s="472">
        <v>95037</v>
      </c>
      <c r="M81" s="472">
        <v>5623</v>
      </c>
      <c r="N81" s="631">
        <v>1334</v>
      </c>
      <c r="O81" s="473">
        <v>0.89</v>
      </c>
      <c r="P81" s="474">
        <v>0</v>
      </c>
      <c r="Q81" s="670">
        <v>0.89</v>
      </c>
      <c r="R81" s="485">
        <f t="shared" si="151"/>
        <v>0</v>
      </c>
      <c r="S81" s="475">
        <v>0</v>
      </c>
      <c r="T81" s="755">
        <v>11215</v>
      </c>
      <c r="U81" s="475">
        <v>0</v>
      </c>
      <c r="V81" s="475">
        <v>0</v>
      </c>
      <c r="W81" s="475">
        <v>0</v>
      </c>
      <c r="X81" s="475">
        <f t="shared" si="152"/>
        <v>11215</v>
      </c>
      <c r="Y81" s="475">
        <v>0</v>
      </c>
      <c r="Z81" s="475">
        <v>0</v>
      </c>
      <c r="AA81" s="475">
        <v>0</v>
      </c>
      <c r="AB81" s="475">
        <f t="shared" si="153"/>
        <v>0</v>
      </c>
      <c r="AC81" s="475">
        <f t="shared" si="154"/>
        <v>11215</v>
      </c>
      <c r="AD81" s="70">
        <f t="shared" si="155"/>
        <v>3791</v>
      </c>
      <c r="AE81" s="70">
        <f t="shared" si="156"/>
        <v>224</v>
      </c>
      <c r="AF81" s="475">
        <v>0</v>
      </c>
      <c r="AG81" s="475">
        <v>0</v>
      </c>
      <c r="AH81" s="475">
        <f t="shared" si="157"/>
        <v>0</v>
      </c>
      <c r="AI81" s="475">
        <f t="shared" si="158"/>
        <v>15230</v>
      </c>
      <c r="AJ81" s="476">
        <v>0</v>
      </c>
      <c r="AK81" s="476">
        <v>0</v>
      </c>
      <c r="AL81" s="476">
        <v>0</v>
      </c>
      <c r="AM81" s="476">
        <v>0</v>
      </c>
      <c r="AN81" s="756">
        <v>3.0000000000000027E-2</v>
      </c>
      <c r="AO81" s="476">
        <v>0</v>
      </c>
      <c r="AP81" s="476">
        <v>0</v>
      </c>
      <c r="AQ81" s="476">
        <v>0</v>
      </c>
      <c r="AR81" s="476">
        <f t="shared" si="159"/>
        <v>0</v>
      </c>
      <c r="AS81" s="476">
        <f t="shared" si="160"/>
        <v>3.0000000000000027E-2</v>
      </c>
      <c r="AT81" s="478">
        <f t="shared" si="161"/>
        <v>3.0000000000000027E-2</v>
      </c>
      <c r="AU81" s="484">
        <f t="shared" si="162"/>
        <v>398398</v>
      </c>
      <c r="AV81" s="475">
        <f t="shared" si="163"/>
        <v>292389</v>
      </c>
      <c r="AW81" s="475">
        <f t="shared" si="164"/>
        <v>0</v>
      </c>
      <c r="AX81" s="475">
        <f t="shared" si="165"/>
        <v>98828</v>
      </c>
      <c r="AY81" s="475">
        <f t="shared" si="165"/>
        <v>5847</v>
      </c>
      <c r="AZ81" s="475">
        <f t="shared" si="166"/>
        <v>1334</v>
      </c>
      <c r="BA81" s="476">
        <f t="shared" si="167"/>
        <v>0.92</v>
      </c>
      <c r="BB81" s="476">
        <f t="shared" si="168"/>
        <v>0</v>
      </c>
      <c r="BC81" s="478">
        <f t="shared" si="168"/>
        <v>0.92</v>
      </c>
    </row>
    <row r="82" spans="1:55" s="102" customFormat="1" ht="14.1" customHeight="1" x14ac:dyDescent="0.2">
      <c r="A82" s="125">
        <v>11</v>
      </c>
      <c r="B82" s="80">
        <v>2464</v>
      </c>
      <c r="C82" s="99">
        <v>600080081</v>
      </c>
      <c r="D82" s="80">
        <v>72753846</v>
      </c>
      <c r="E82" s="80" t="s">
        <v>761</v>
      </c>
      <c r="F82" s="100">
        <v>3143</v>
      </c>
      <c r="G82" s="80" t="s">
        <v>626</v>
      </c>
      <c r="H82" s="101" t="s">
        <v>277</v>
      </c>
      <c r="I82" s="477">
        <v>553200</v>
      </c>
      <c r="J82" s="632">
        <v>407364</v>
      </c>
      <c r="K82" s="632">
        <v>0</v>
      </c>
      <c r="L82" s="472">
        <v>137689</v>
      </c>
      <c r="M82" s="472">
        <v>8147</v>
      </c>
      <c r="N82" s="472">
        <v>0</v>
      </c>
      <c r="O82" s="473">
        <v>1.0832999999999999</v>
      </c>
      <c r="P82" s="13">
        <v>1.0832999999999999</v>
      </c>
      <c r="Q82" s="483">
        <v>0</v>
      </c>
      <c r="R82" s="485">
        <f t="shared" si="151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52"/>
        <v>0</v>
      </c>
      <c r="Y82" s="475">
        <v>0</v>
      </c>
      <c r="Z82" s="475">
        <v>0</v>
      </c>
      <c r="AA82" s="475">
        <v>0</v>
      </c>
      <c r="AB82" s="475">
        <f t="shared" si="153"/>
        <v>0</v>
      </c>
      <c r="AC82" s="475">
        <f t="shared" si="154"/>
        <v>0</v>
      </c>
      <c r="AD82" s="70">
        <f t="shared" si="155"/>
        <v>0</v>
      </c>
      <c r="AE82" s="70">
        <f t="shared" si="156"/>
        <v>0</v>
      </c>
      <c r="AF82" s="475">
        <v>0</v>
      </c>
      <c r="AG82" s="475">
        <v>0</v>
      </c>
      <c r="AH82" s="475">
        <f t="shared" si="157"/>
        <v>0</v>
      </c>
      <c r="AI82" s="475">
        <f t="shared" si="158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59"/>
        <v>0</v>
      </c>
      <c r="AS82" s="476">
        <f t="shared" si="160"/>
        <v>0</v>
      </c>
      <c r="AT82" s="478">
        <f t="shared" si="161"/>
        <v>0</v>
      </c>
      <c r="AU82" s="484">
        <f t="shared" si="162"/>
        <v>553200</v>
      </c>
      <c r="AV82" s="475">
        <f t="shared" si="163"/>
        <v>407364</v>
      </c>
      <c r="AW82" s="475">
        <f t="shared" si="164"/>
        <v>0</v>
      </c>
      <c r="AX82" s="475">
        <f t="shared" si="165"/>
        <v>137689</v>
      </c>
      <c r="AY82" s="475">
        <f t="shared" si="165"/>
        <v>8147</v>
      </c>
      <c r="AZ82" s="475">
        <f t="shared" si="166"/>
        <v>0</v>
      </c>
      <c r="BA82" s="476">
        <f t="shared" si="167"/>
        <v>1.0832999999999999</v>
      </c>
      <c r="BB82" s="476">
        <f t="shared" si="168"/>
        <v>1.0832999999999999</v>
      </c>
      <c r="BC82" s="478">
        <f t="shared" si="168"/>
        <v>0</v>
      </c>
    </row>
    <row r="83" spans="1:55" s="102" customFormat="1" ht="14.1" customHeight="1" x14ac:dyDescent="0.2">
      <c r="A83" s="125">
        <v>11</v>
      </c>
      <c r="B83" s="80">
        <v>2464</v>
      </c>
      <c r="C83" s="99">
        <v>600080081</v>
      </c>
      <c r="D83" s="80">
        <v>72753846</v>
      </c>
      <c r="E83" s="80" t="s">
        <v>761</v>
      </c>
      <c r="F83" s="100">
        <v>3143</v>
      </c>
      <c r="G83" s="80" t="s">
        <v>627</v>
      </c>
      <c r="H83" s="101" t="s">
        <v>278</v>
      </c>
      <c r="I83" s="477">
        <v>3779</v>
      </c>
      <c r="J83" s="631">
        <v>2673</v>
      </c>
      <c r="K83" s="631">
        <v>0</v>
      </c>
      <c r="L83" s="472">
        <v>903</v>
      </c>
      <c r="M83" s="472">
        <v>53</v>
      </c>
      <c r="N83" s="631">
        <v>150</v>
      </c>
      <c r="O83" s="473">
        <v>0.01</v>
      </c>
      <c r="P83" s="474">
        <v>0</v>
      </c>
      <c r="Q83" s="670">
        <v>0.01</v>
      </c>
      <c r="R83" s="485">
        <f t="shared" si="151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52"/>
        <v>0</v>
      </c>
      <c r="Y83" s="475">
        <v>0</v>
      </c>
      <c r="Z83" s="475">
        <v>0</v>
      </c>
      <c r="AA83" s="475">
        <v>0</v>
      </c>
      <c r="AB83" s="475">
        <f t="shared" si="153"/>
        <v>0</v>
      </c>
      <c r="AC83" s="475">
        <f t="shared" si="154"/>
        <v>0</v>
      </c>
      <c r="AD83" s="70">
        <f t="shared" si="155"/>
        <v>0</v>
      </c>
      <c r="AE83" s="70">
        <f t="shared" si="156"/>
        <v>0</v>
      </c>
      <c r="AF83" s="475">
        <v>0</v>
      </c>
      <c r="AG83" s="475">
        <v>0</v>
      </c>
      <c r="AH83" s="475">
        <f t="shared" si="157"/>
        <v>0</v>
      </c>
      <c r="AI83" s="475">
        <f t="shared" si="158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si="159"/>
        <v>0</v>
      </c>
      <c r="AS83" s="476">
        <f t="shared" si="160"/>
        <v>0</v>
      </c>
      <c r="AT83" s="478">
        <f t="shared" si="161"/>
        <v>0</v>
      </c>
      <c r="AU83" s="484">
        <f t="shared" si="162"/>
        <v>3779</v>
      </c>
      <c r="AV83" s="475">
        <f t="shared" si="163"/>
        <v>2673</v>
      </c>
      <c r="AW83" s="475">
        <f t="shared" si="164"/>
        <v>0</v>
      </c>
      <c r="AX83" s="475">
        <f t="shared" si="165"/>
        <v>903</v>
      </c>
      <c r="AY83" s="475">
        <f t="shared" si="165"/>
        <v>53</v>
      </c>
      <c r="AZ83" s="475">
        <f t="shared" si="166"/>
        <v>150</v>
      </c>
      <c r="BA83" s="476">
        <f t="shared" si="167"/>
        <v>0.01</v>
      </c>
      <c r="BB83" s="476">
        <f t="shared" si="168"/>
        <v>0</v>
      </c>
      <c r="BC83" s="478">
        <f t="shared" si="168"/>
        <v>0.01</v>
      </c>
    </row>
    <row r="84" spans="1:55" s="102" customFormat="1" ht="14.1" customHeight="1" x14ac:dyDescent="0.2">
      <c r="A84" s="126">
        <v>11</v>
      </c>
      <c r="B84" s="103">
        <v>2464</v>
      </c>
      <c r="C84" s="104">
        <v>600080081</v>
      </c>
      <c r="D84" s="103">
        <v>72753846</v>
      </c>
      <c r="E84" s="103" t="s">
        <v>762</v>
      </c>
      <c r="F84" s="112"/>
      <c r="G84" s="106"/>
      <c r="H84" s="107"/>
      <c r="I84" s="505">
        <v>4747927</v>
      </c>
      <c r="J84" s="501">
        <v>3450254</v>
      </c>
      <c r="K84" s="501">
        <v>30000</v>
      </c>
      <c r="L84" s="501">
        <v>1176325</v>
      </c>
      <c r="M84" s="501">
        <v>69004</v>
      </c>
      <c r="N84" s="501">
        <v>22344</v>
      </c>
      <c r="O84" s="502">
        <v>8.4995999999999992</v>
      </c>
      <c r="P84" s="502">
        <v>6.5411999999999999</v>
      </c>
      <c r="Q84" s="507">
        <v>1.9583999999999999</v>
      </c>
      <c r="R84" s="505">
        <f t="shared" ref="R84:BC84" si="169">SUM(R78:R83)</f>
        <v>0</v>
      </c>
      <c r="S84" s="501">
        <f t="shared" si="169"/>
        <v>0</v>
      </c>
      <c r="T84" s="501">
        <f t="shared" si="169"/>
        <v>11215</v>
      </c>
      <c r="U84" s="501">
        <f t="shared" si="169"/>
        <v>0</v>
      </c>
      <c r="V84" s="501">
        <f t="shared" si="169"/>
        <v>0</v>
      </c>
      <c r="W84" s="501">
        <f t="shared" si="169"/>
        <v>0</v>
      </c>
      <c r="X84" s="501">
        <f t="shared" si="169"/>
        <v>11215</v>
      </c>
      <c r="Y84" s="501">
        <f t="shared" si="169"/>
        <v>0</v>
      </c>
      <c r="Z84" s="501">
        <f t="shared" si="169"/>
        <v>0</v>
      </c>
      <c r="AA84" s="501">
        <f t="shared" si="169"/>
        <v>0</v>
      </c>
      <c r="AB84" s="501">
        <f t="shared" si="169"/>
        <v>0</v>
      </c>
      <c r="AC84" s="501">
        <f t="shared" si="169"/>
        <v>11215</v>
      </c>
      <c r="AD84" s="501">
        <f t="shared" si="169"/>
        <v>3791</v>
      </c>
      <c r="AE84" s="501">
        <f t="shared" si="169"/>
        <v>224</v>
      </c>
      <c r="AF84" s="501">
        <f t="shared" si="169"/>
        <v>6950</v>
      </c>
      <c r="AG84" s="501">
        <f t="shared" si="169"/>
        <v>0</v>
      </c>
      <c r="AH84" s="501">
        <f t="shared" si="169"/>
        <v>6950</v>
      </c>
      <c r="AI84" s="501">
        <f t="shared" si="169"/>
        <v>22180</v>
      </c>
      <c r="AJ84" s="502">
        <f t="shared" si="169"/>
        <v>0</v>
      </c>
      <c r="AK84" s="502">
        <f t="shared" si="169"/>
        <v>0</v>
      </c>
      <c r="AL84" s="502">
        <f t="shared" si="169"/>
        <v>0</v>
      </c>
      <c r="AM84" s="502">
        <f t="shared" si="169"/>
        <v>0</v>
      </c>
      <c r="AN84" s="502">
        <f t="shared" si="169"/>
        <v>3.0000000000000027E-2</v>
      </c>
      <c r="AO84" s="502">
        <f t="shared" si="169"/>
        <v>0</v>
      </c>
      <c r="AP84" s="502">
        <f t="shared" si="169"/>
        <v>0</v>
      </c>
      <c r="AQ84" s="502">
        <f t="shared" si="169"/>
        <v>0</v>
      </c>
      <c r="AR84" s="502">
        <f t="shared" si="169"/>
        <v>0</v>
      </c>
      <c r="AS84" s="502">
        <f t="shared" si="169"/>
        <v>3.0000000000000027E-2</v>
      </c>
      <c r="AT84" s="109">
        <f t="shared" si="169"/>
        <v>3.0000000000000027E-2</v>
      </c>
      <c r="AU84" s="509">
        <f t="shared" si="169"/>
        <v>4770107</v>
      </c>
      <c r="AV84" s="501">
        <f t="shared" si="169"/>
        <v>3461469</v>
      </c>
      <c r="AW84" s="501">
        <f t="shared" si="169"/>
        <v>30000</v>
      </c>
      <c r="AX84" s="501">
        <f t="shared" si="169"/>
        <v>1180116</v>
      </c>
      <c r="AY84" s="501">
        <f t="shared" si="169"/>
        <v>69228</v>
      </c>
      <c r="AZ84" s="501">
        <f t="shared" si="169"/>
        <v>29294</v>
      </c>
      <c r="BA84" s="502">
        <f t="shared" si="169"/>
        <v>8.5295999999999985</v>
      </c>
      <c r="BB84" s="502">
        <f t="shared" si="169"/>
        <v>6.5411999999999999</v>
      </c>
      <c r="BC84" s="109">
        <f t="shared" si="169"/>
        <v>1.9883999999999997</v>
      </c>
    </row>
    <row r="85" spans="1:55" s="102" customFormat="1" ht="14.1" customHeight="1" x14ac:dyDescent="0.2">
      <c r="A85" s="125">
        <v>12</v>
      </c>
      <c r="B85" s="108">
        <v>2467</v>
      </c>
      <c r="C85" s="99">
        <v>600079708</v>
      </c>
      <c r="D85" s="80">
        <v>71012303</v>
      </c>
      <c r="E85" s="80" t="s">
        <v>763</v>
      </c>
      <c r="F85" s="100">
        <v>3111</v>
      </c>
      <c r="G85" s="80" t="s">
        <v>311</v>
      </c>
      <c r="H85" s="101" t="s">
        <v>277</v>
      </c>
      <c r="I85" s="477">
        <v>1628464</v>
      </c>
      <c r="J85" s="631">
        <v>1191211</v>
      </c>
      <c r="K85" s="631">
        <v>0</v>
      </c>
      <c r="L85" s="472">
        <v>402629</v>
      </c>
      <c r="M85" s="472">
        <v>23824</v>
      </c>
      <c r="N85" s="631">
        <v>10800</v>
      </c>
      <c r="O85" s="473">
        <v>2.5108999999999999</v>
      </c>
      <c r="P85" s="474">
        <v>2</v>
      </c>
      <c r="Q85" s="670">
        <v>0.51090000000000002</v>
      </c>
      <c r="R85" s="485">
        <f t="shared" ref="R85:R90" si="170">Y85*-1</f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ref="X85:X90" si="171">SUM(R85:W85)</f>
        <v>0</v>
      </c>
      <c r="Y85" s="475">
        <v>0</v>
      </c>
      <c r="Z85" s="475">
        <v>0</v>
      </c>
      <c r="AA85" s="475">
        <v>0</v>
      </c>
      <c r="AB85" s="475">
        <f t="shared" ref="AB85:AB90" si="172">SUM(Y85:AA85)</f>
        <v>0</v>
      </c>
      <c r="AC85" s="475">
        <f t="shared" ref="AC85:AC90" si="173">X85+AB85</f>
        <v>0</v>
      </c>
      <c r="AD85" s="70">
        <f t="shared" ref="AD85:AD90" si="174">ROUND((X85+Y85+Z85)*33.8%,0)</f>
        <v>0</v>
      </c>
      <c r="AE85" s="70">
        <f t="shared" ref="AE85:AE90" si="175">ROUND(X85*2%,0)</f>
        <v>0</v>
      </c>
      <c r="AF85" s="475">
        <v>0</v>
      </c>
      <c r="AG85" s="475">
        <v>0</v>
      </c>
      <c r="AH85" s="475">
        <f t="shared" ref="AH85:AH90" si="176">SUM(AF85:AG85)</f>
        <v>0</v>
      </c>
      <c r="AI85" s="475">
        <f t="shared" ref="AI85:AI90" si="177">AC85+AD85+AE85+AH85</f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 t="shared" si="159"/>
        <v>0</v>
      </c>
      <c r="AS85" s="476">
        <f t="shared" si="160"/>
        <v>0</v>
      </c>
      <c r="AT85" s="478">
        <f t="shared" si="161"/>
        <v>0</v>
      </c>
      <c r="AU85" s="484">
        <f t="shared" ref="AU85:AU90" si="178">I85+AI85</f>
        <v>1628464</v>
      </c>
      <c r="AV85" s="475">
        <f t="shared" ref="AV85:AV90" si="179">J85+X85</f>
        <v>1191211</v>
      </c>
      <c r="AW85" s="475">
        <f t="shared" ref="AW85:AW90" si="180">K85+AB85</f>
        <v>0</v>
      </c>
      <c r="AX85" s="475">
        <f t="shared" ref="AX85:AY90" si="181">L85+AD85</f>
        <v>402629</v>
      </c>
      <c r="AY85" s="475">
        <f t="shared" si="181"/>
        <v>23824</v>
      </c>
      <c r="AZ85" s="475">
        <f t="shared" ref="AZ85:AZ90" si="182">N85+AH85</f>
        <v>10800</v>
      </c>
      <c r="BA85" s="476">
        <f t="shared" ref="BA85:BA90" si="183">O85+AT85</f>
        <v>2.5108999999999999</v>
      </c>
      <c r="BB85" s="476">
        <f t="shared" ref="BB85:BC90" si="184">P85+AR85</f>
        <v>2</v>
      </c>
      <c r="BC85" s="478">
        <f t="shared" si="184"/>
        <v>0.51090000000000002</v>
      </c>
    </row>
    <row r="86" spans="1:55" s="102" customFormat="1" ht="14.1" customHeight="1" x14ac:dyDescent="0.2">
      <c r="A86" s="125">
        <v>12</v>
      </c>
      <c r="B86" s="110">
        <v>2467</v>
      </c>
      <c r="C86" s="99">
        <v>600079708</v>
      </c>
      <c r="D86" s="80">
        <v>71012303</v>
      </c>
      <c r="E86" s="110" t="s">
        <v>763</v>
      </c>
      <c r="F86" s="111">
        <v>3117</v>
      </c>
      <c r="G86" s="110" t="s">
        <v>329</v>
      </c>
      <c r="H86" s="101" t="s">
        <v>277</v>
      </c>
      <c r="I86" s="477">
        <v>1937715</v>
      </c>
      <c r="J86" s="631">
        <v>1410519</v>
      </c>
      <c r="K86" s="631">
        <v>0</v>
      </c>
      <c r="L86" s="472">
        <v>476756</v>
      </c>
      <c r="M86" s="472">
        <v>28210</v>
      </c>
      <c r="N86" s="631">
        <v>22230</v>
      </c>
      <c r="O86" s="473">
        <v>2.9882</v>
      </c>
      <c r="P86" s="474">
        <v>1.5745</v>
      </c>
      <c r="Q86" s="670">
        <v>1.4137</v>
      </c>
      <c r="R86" s="485">
        <f t="shared" si="170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71"/>
        <v>0</v>
      </c>
      <c r="Y86" s="475">
        <v>0</v>
      </c>
      <c r="Z86" s="475">
        <v>0</v>
      </c>
      <c r="AA86" s="475">
        <v>0</v>
      </c>
      <c r="AB86" s="475">
        <f t="shared" si="172"/>
        <v>0</v>
      </c>
      <c r="AC86" s="475">
        <f t="shared" si="173"/>
        <v>0</v>
      </c>
      <c r="AD86" s="70">
        <f t="shared" si="174"/>
        <v>0</v>
      </c>
      <c r="AE86" s="70">
        <f t="shared" si="175"/>
        <v>0</v>
      </c>
      <c r="AF86" s="475">
        <v>0</v>
      </c>
      <c r="AG86" s="475">
        <v>0</v>
      </c>
      <c r="AH86" s="475">
        <f t="shared" si="176"/>
        <v>0</v>
      </c>
      <c r="AI86" s="475">
        <f t="shared" si="177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476">
        <f t="shared" si="159"/>
        <v>0</v>
      </c>
      <c r="AS86" s="476">
        <f t="shared" si="160"/>
        <v>0</v>
      </c>
      <c r="AT86" s="478">
        <f t="shared" si="161"/>
        <v>0</v>
      </c>
      <c r="AU86" s="484">
        <f t="shared" si="178"/>
        <v>1937715</v>
      </c>
      <c r="AV86" s="475">
        <f t="shared" si="179"/>
        <v>1410519</v>
      </c>
      <c r="AW86" s="475">
        <f t="shared" si="180"/>
        <v>0</v>
      </c>
      <c r="AX86" s="475">
        <f t="shared" si="181"/>
        <v>476756</v>
      </c>
      <c r="AY86" s="475">
        <f t="shared" si="181"/>
        <v>28210</v>
      </c>
      <c r="AZ86" s="475">
        <f t="shared" si="182"/>
        <v>22230</v>
      </c>
      <c r="BA86" s="476">
        <f t="shared" si="183"/>
        <v>2.9882</v>
      </c>
      <c r="BB86" s="476">
        <f t="shared" si="184"/>
        <v>1.5745</v>
      </c>
      <c r="BC86" s="478">
        <f t="shared" si="184"/>
        <v>1.4137</v>
      </c>
    </row>
    <row r="87" spans="1:55" s="102" customFormat="1" ht="14.1" customHeight="1" x14ac:dyDescent="0.2">
      <c r="A87" s="125">
        <v>12</v>
      </c>
      <c r="B87" s="108">
        <v>2467</v>
      </c>
      <c r="C87" s="99">
        <v>600079708</v>
      </c>
      <c r="D87" s="80">
        <v>71012303</v>
      </c>
      <c r="E87" s="108" t="s">
        <v>763</v>
      </c>
      <c r="F87" s="100">
        <v>3117</v>
      </c>
      <c r="G87" s="80" t="s">
        <v>312</v>
      </c>
      <c r="H87" s="101" t="s">
        <v>278</v>
      </c>
      <c r="I87" s="477">
        <v>247051</v>
      </c>
      <c r="J87" s="472">
        <v>181923</v>
      </c>
      <c r="K87" s="472">
        <v>0</v>
      </c>
      <c r="L87" s="472">
        <v>61490</v>
      </c>
      <c r="M87" s="472">
        <v>3638</v>
      </c>
      <c r="N87" s="472">
        <v>0</v>
      </c>
      <c r="O87" s="473">
        <v>0.51</v>
      </c>
      <c r="P87" s="474">
        <v>0.51</v>
      </c>
      <c r="Q87" s="483">
        <v>0</v>
      </c>
      <c r="R87" s="485">
        <f t="shared" si="170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71"/>
        <v>0</v>
      </c>
      <c r="Y87" s="475">
        <v>0</v>
      </c>
      <c r="Z87" s="475">
        <v>0</v>
      </c>
      <c r="AA87" s="475">
        <v>0</v>
      </c>
      <c r="AB87" s="475">
        <f t="shared" si="172"/>
        <v>0</v>
      </c>
      <c r="AC87" s="475">
        <f t="shared" si="173"/>
        <v>0</v>
      </c>
      <c r="AD87" s="70">
        <f t="shared" si="174"/>
        <v>0</v>
      </c>
      <c r="AE87" s="70">
        <f t="shared" si="175"/>
        <v>0</v>
      </c>
      <c r="AF87" s="475">
        <v>0</v>
      </c>
      <c r="AG87" s="475">
        <v>0</v>
      </c>
      <c r="AH87" s="475">
        <f t="shared" si="176"/>
        <v>0</v>
      </c>
      <c r="AI87" s="475">
        <f t="shared" si="177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si="159"/>
        <v>0</v>
      </c>
      <c r="AS87" s="476">
        <f t="shared" si="160"/>
        <v>0</v>
      </c>
      <c r="AT87" s="478">
        <f t="shared" si="161"/>
        <v>0</v>
      </c>
      <c r="AU87" s="484">
        <f t="shared" si="178"/>
        <v>247051</v>
      </c>
      <c r="AV87" s="475">
        <f t="shared" si="179"/>
        <v>181923</v>
      </c>
      <c r="AW87" s="475">
        <f t="shared" si="180"/>
        <v>0</v>
      </c>
      <c r="AX87" s="475">
        <f t="shared" si="181"/>
        <v>61490</v>
      </c>
      <c r="AY87" s="475">
        <f t="shared" si="181"/>
        <v>3638</v>
      </c>
      <c r="AZ87" s="475">
        <f t="shared" si="182"/>
        <v>0</v>
      </c>
      <c r="BA87" s="476">
        <f t="shared" si="183"/>
        <v>0.51</v>
      </c>
      <c r="BB87" s="476">
        <f t="shared" si="184"/>
        <v>0.51</v>
      </c>
      <c r="BC87" s="478">
        <f t="shared" si="184"/>
        <v>0</v>
      </c>
    </row>
    <row r="88" spans="1:55" s="102" customFormat="1" ht="14.1" customHeight="1" x14ac:dyDescent="0.2">
      <c r="A88" s="125">
        <v>12</v>
      </c>
      <c r="B88" s="80">
        <v>2467</v>
      </c>
      <c r="C88" s="99">
        <v>600079708</v>
      </c>
      <c r="D88" s="80">
        <v>71012303</v>
      </c>
      <c r="E88" s="80" t="s">
        <v>763</v>
      </c>
      <c r="F88" s="100">
        <v>3141</v>
      </c>
      <c r="G88" s="80" t="s">
        <v>315</v>
      </c>
      <c r="H88" s="101" t="s">
        <v>278</v>
      </c>
      <c r="I88" s="477">
        <v>549080</v>
      </c>
      <c r="J88" s="631">
        <v>402792</v>
      </c>
      <c r="K88" s="631">
        <v>0</v>
      </c>
      <c r="L88" s="472">
        <v>136144</v>
      </c>
      <c r="M88" s="472">
        <v>8056</v>
      </c>
      <c r="N88" s="631">
        <v>2088</v>
      </c>
      <c r="O88" s="473">
        <v>1.27</v>
      </c>
      <c r="P88" s="474">
        <v>0</v>
      </c>
      <c r="Q88" s="670">
        <v>1.27</v>
      </c>
      <c r="R88" s="485">
        <f t="shared" si="170"/>
        <v>0</v>
      </c>
      <c r="S88" s="475">
        <v>0</v>
      </c>
      <c r="T88" s="755">
        <v>-21353</v>
      </c>
      <c r="U88" s="475">
        <v>0</v>
      </c>
      <c r="V88" s="475">
        <v>0</v>
      </c>
      <c r="W88" s="475">
        <v>0</v>
      </c>
      <c r="X88" s="475">
        <f t="shared" si="171"/>
        <v>-21353</v>
      </c>
      <c r="Y88" s="475">
        <v>0</v>
      </c>
      <c r="Z88" s="475">
        <v>0</v>
      </c>
      <c r="AA88" s="475">
        <v>0</v>
      </c>
      <c r="AB88" s="475">
        <f t="shared" si="172"/>
        <v>0</v>
      </c>
      <c r="AC88" s="475">
        <f t="shared" si="173"/>
        <v>-21353</v>
      </c>
      <c r="AD88" s="70">
        <f t="shared" si="174"/>
        <v>-7217</v>
      </c>
      <c r="AE88" s="70">
        <f t="shared" si="175"/>
        <v>-427</v>
      </c>
      <c r="AF88" s="475">
        <v>0</v>
      </c>
      <c r="AG88" s="475">
        <v>0</v>
      </c>
      <c r="AH88" s="475">
        <f t="shared" si="176"/>
        <v>0</v>
      </c>
      <c r="AI88" s="475">
        <f t="shared" si="177"/>
        <v>-28997</v>
      </c>
      <c r="AJ88" s="476">
        <v>0</v>
      </c>
      <c r="AK88" s="476">
        <v>0</v>
      </c>
      <c r="AL88" s="476">
        <v>0</v>
      </c>
      <c r="AM88" s="476">
        <v>0</v>
      </c>
      <c r="AN88" s="756">
        <v>-0.06</v>
      </c>
      <c r="AO88" s="476">
        <v>0</v>
      </c>
      <c r="AP88" s="476">
        <v>0</v>
      </c>
      <c r="AQ88" s="476">
        <v>0</v>
      </c>
      <c r="AR88" s="476">
        <f t="shared" si="159"/>
        <v>0</v>
      </c>
      <c r="AS88" s="476">
        <f t="shared" si="160"/>
        <v>-0.06</v>
      </c>
      <c r="AT88" s="478">
        <f t="shared" si="161"/>
        <v>-0.06</v>
      </c>
      <c r="AU88" s="484">
        <f t="shared" si="178"/>
        <v>520083</v>
      </c>
      <c r="AV88" s="475">
        <f t="shared" si="179"/>
        <v>381439</v>
      </c>
      <c r="AW88" s="475">
        <f t="shared" si="180"/>
        <v>0</v>
      </c>
      <c r="AX88" s="475">
        <f t="shared" si="181"/>
        <v>128927</v>
      </c>
      <c r="AY88" s="475">
        <f t="shared" si="181"/>
        <v>7629</v>
      </c>
      <c r="AZ88" s="475">
        <f t="shared" si="182"/>
        <v>2088</v>
      </c>
      <c r="BA88" s="476">
        <f t="shared" si="183"/>
        <v>1.21</v>
      </c>
      <c r="BB88" s="476">
        <f t="shared" si="184"/>
        <v>0</v>
      </c>
      <c r="BC88" s="478">
        <f t="shared" si="184"/>
        <v>1.21</v>
      </c>
    </row>
    <row r="89" spans="1:55" s="102" customFormat="1" ht="14.1" customHeight="1" x14ac:dyDescent="0.2">
      <c r="A89" s="125">
        <v>12</v>
      </c>
      <c r="B89" s="80">
        <v>2467</v>
      </c>
      <c r="C89" s="99">
        <v>600079708</v>
      </c>
      <c r="D89" s="80">
        <v>71012303</v>
      </c>
      <c r="E89" s="80" t="s">
        <v>763</v>
      </c>
      <c r="F89" s="100">
        <v>3143</v>
      </c>
      <c r="G89" s="80" t="s">
        <v>626</v>
      </c>
      <c r="H89" s="101" t="s">
        <v>277</v>
      </c>
      <c r="I89" s="477">
        <v>347606</v>
      </c>
      <c r="J89" s="632">
        <v>255969</v>
      </c>
      <c r="K89" s="632">
        <v>0</v>
      </c>
      <c r="L89" s="472">
        <v>86518</v>
      </c>
      <c r="M89" s="472">
        <v>5119</v>
      </c>
      <c r="N89" s="472">
        <v>0</v>
      </c>
      <c r="O89" s="473">
        <v>0.6</v>
      </c>
      <c r="P89" s="13">
        <v>0.6</v>
      </c>
      <c r="Q89" s="483">
        <v>0</v>
      </c>
      <c r="R89" s="485">
        <f t="shared" si="170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71"/>
        <v>0</v>
      </c>
      <c r="Y89" s="475">
        <v>0</v>
      </c>
      <c r="Z89" s="475">
        <v>0</v>
      </c>
      <c r="AA89" s="475">
        <v>0</v>
      </c>
      <c r="AB89" s="475">
        <f t="shared" si="172"/>
        <v>0</v>
      </c>
      <c r="AC89" s="475">
        <f t="shared" si="173"/>
        <v>0</v>
      </c>
      <c r="AD89" s="70">
        <f t="shared" si="174"/>
        <v>0</v>
      </c>
      <c r="AE89" s="70">
        <f t="shared" si="175"/>
        <v>0</v>
      </c>
      <c r="AF89" s="475">
        <v>0</v>
      </c>
      <c r="AG89" s="475">
        <v>0</v>
      </c>
      <c r="AH89" s="475">
        <f t="shared" si="176"/>
        <v>0</v>
      </c>
      <c r="AI89" s="475">
        <f t="shared" si="177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 t="shared" si="159"/>
        <v>0</v>
      </c>
      <c r="AS89" s="476">
        <f t="shared" si="160"/>
        <v>0</v>
      </c>
      <c r="AT89" s="478">
        <f t="shared" si="161"/>
        <v>0</v>
      </c>
      <c r="AU89" s="484">
        <f t="shared" si="178"/>
        <v>347606</v>
      </c>
      <c r="AV89" s="475">
        <f t="shared" si="179"/>
        <v>255969</v>
      </c>
      <c r="AW89" s="475">
        <f t="shared" si="180"/>
        <v>0</v>
      </c>
      <c r="AX89" s="475">
        <f t="shared" si="181"/>
        <v>86518</v>
      </c>
      <c r="AY89" s="475">
        <f t="shared" si="181"/>
        <v>5119</v>
      </c>
      <c r="AZ89" s="475">
        <f t="shared" si="182"/>
        <v>0</v>
      </c>
      <c r="BA89" s="476">
        <f t="shared" si="183"/>
        <v>0.6</v>
      </c>
      <c r="BB89" s="476">
        <f t="shared" si="184"/>
        <v>0.6</v>
      </c>
      <c r="BC89" s="478">
        <f t="shared" si="184"/>
        <v>0</v>
      </c>
    </row>
    <row r="90" spans="1:55" s="102" customFormat="1" ht="14.1" customHeight="1" x14ac:dyDescent="0.2">
      <c r="A90" s="125">
        <v>12</v>
      </c>
      <c r="B90" s="80">
        <v>2467</v>
      </c>
      <c r="C90" s="99">
        <v>600079708</v>
      </c>
      <c r="D90" s="80">
        <v>71012303</v>
      </c>
      <c r="E90" s="80" t="s">
        <v>763</v>
      </c>
      <c r="F90" s="100">
        <v>3143</v>
      </c>
      <c r="G90" s="80" t="s">
        <v>627</v>
      </c>
      <c r="H90" s="101" t="s">
        <v>278</v>
      </c>
      <c r="I90" s="477">
        <v>9828</v>
      </c>
      <c r="J90" s="631">
        <v>6950</v>
      </c>
      <c r="K90" s="631">
        <v>0</v>
      </c>
      <c r="L90" s="472">
        <v>2349</v>
      </c>
      <c r="M90" s="472">
        <v>139</v>
      </c>
      <c r="N90" s="631">
        <v>390</v>
      </c>
      <c r="O90" s="473">
        <v>0.03</v>
      </c>
      <c r="P90" s="474">
        <v>0</v>
      </c>
      <c r="Q90" s="670">
        <v>0.03</v>
      </c>
      <c r="R90" s="485">
        <f t="shared" si="170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71"/>
        <v>0</v>
      </c>
      <c r="Y90" s="475">
        <v>0</v>
      </c>
      <c r="Z90" s="475">
        <v>0</v>
      </c>
      <c r="AA90" s="475">
        <v>0</v>
      </c>
      <c r="AB90" s="475">
        <f t="shared" si="172"/>
        <v>0</v>
      </c>
      <c r="AC90" s="475">
        <f t="shared" si="173"/>
        <v>0</v>
      </c>
      <c r="AD90" s="70">
        <f t="shared" si="174"/>
        <v>0</v>
      </c>
      <c r="AE90" s="70">
        <f t="shared" si="175"/>
        <v>0</v>
      </c>
      <c r="AF90" s="475">
        <v>0</v>
      </c>
      <c r="AG90" s="475">
        <v>0</v>
      </c>
      <c r="AH90" s="475">
        <f t="shared" si="176"/>
        <v>0</v>
      </c>
      <c r="AI90" s="475">
        <f t="shared" si="177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 t="shared" si="159"/>
        <v>0</v>
      </c>
      <c r="AS90" s="476">
        <f t="shared" si="160"/>
        <v>0</v>
      </c>
      <c r="AT90" s="478">
        <f t="shared" si="161"/>
        <v>0</v>
      </c>
      <c r="AU90" s="484">
        <f t="shared" si="178"/>
        <v>9828</v>
      </c>
      <c r="AV90" s="475">
        <f t="shared" si="179"/>
        <v>6950</v>
      </c>
      <c r="AW90" s="475">
        <f t="shared" si="180"/>
        <v>0</v>
      </c>
      <c r="AX90" s="475">
        <f t="shared" si="181"/>
        <v>2349</v>
      </c>
      <c r="AY90" s="475">
        <f t="shared" si="181"/>
        <v>139</v>
      </c>
      <c r="AZ90" s="475">
        <f t="shared" si="182"/>
        <v>390</v>
      </c>
      <c r="BA90" s="476">
        <f t="shared" si="183"/>
        <v>0.03</v>
      </c>
      <c r="BB90" s="476">
        <f t="shared" si="184"/>
        <v>0</v>
      </c>
      <c r="BC90" s="478">
        <f t="shared" si="184"/>
        <v>0.03</v>
      </c>
    </row>
    <row r="91" spans="1:55" s="102" customFormat="1" ht="14.1" customHeight="1" x14ac:dyDescent="0.2">
      <c r="A91" s="126">
        <v>12</v>
      </c>
      <c r="B91" s="103">
        <v>2467</v>
      </c>
      <c r="C91" s="104">
        <v>600079708</v>
      </c>
      <c r="D91" s="103">
        <v>71012303</v>
      </c>
      <c r="E91" s="103" t="s">
        <v>764</v>
      </c>
      <c r="F91" s="112"/>
      <c r="G91" s="106"/>
      <c r="H91" s="107"/>
      <c r="I91" s="505">
        <v>4719744</v>
      </c>
      <c r="J91" s="501">
        <v>3449364</v>
      </c>
      <c r="K91" s="501">
        <v>0</v>
      </c>
      <c r="L91" s="501">
        <v>1165886</v>
      </c>
      <c r="M91" s="501">
        <v>68986</v>
      </c>
      <c r="N91" s="501">
        <v>35508</v>
      </c>
      <c r="O91" s="502">
        <v>7.9090999999999996</v>
      </c>
      <c r="P91" s="502">
        <v>4.6844999999999999</v>
      </c>
      <c r="Q91" s="507">
        <v>3.2245999999999997</v>
      </c>
      <c r="R91" s="505">
        <f t="shared" ref="R91:BC91" si="185">SUM(R85:R90)</f>
        <v>0</v>
      </c>
      <c r="S91" s="501">
        <f t="shared" si="185"/>
        <v>0</v>
      </c>
      <c r="T91" s="501">
        <f t="shared" si="185"/>
        <v>-21353</v>
      </c>
      <c r="U91" s="501">
        <f t="shared" si="185"/>
        <v>0</v>
      </c>
      <c r="V91" s="501">
        <f t="shared" si="185"/>
        <v>0</v>
      </c>
      <c r="W91" s="501">
        <f t="shared" si="185"/>
        <v>0</v>
      </c>
      <c r="X91" s="501">
        <f t="shared" si="185"/>
        <v>-21353</v>
      </c>
      <c r="Y91" s="501">
        <f t="shared" si="185"/>
        <v>0</v>
      </c>
      <c r="Z91" s="501">
        <f t="shared" si="185"/>
        <v>0</v>
      </c>
      <c r="AA91" s="501">
        <f t="shared" si="185"/>
        <v>0</v>
      </c>
      <c r="AB91" s="501">
        <f t="shared" si="185"/>
        <v>0</v>
      </c>
      <c r="AC91" s="501">
        <f t="shared" si="185"/>
        <v>-21353</v>
      </c>
      <c r="AD91" s="501">
        <f t="shared" si="185"/>
        <v>-7217</v>
      </c>
      <c r="AE91" s="501">
        <f t="shared" si="185"/>
        <v>-427</v>
      </c>
      <c r="AF91" s="501">
        <f t="shared" si="185"/>
        <v>0</v>
      </c>
      <c r="AG91" s="501">
        <f t="shared" si="185"/>
        <v>0</v>
      </c>
      <c r="AH91" s="501">
        <f t="shared" si="185"/>
        <v>0</v>
      </c>
      <c r="AI91" s="501">
        <f t="shared" si="185"/>
        <v>-28997</v>
      </c>
      <c r="AJ91" s="502">
        <f t="shared" si="185"/>
        <v>0</v>
      </c>
      <c r="AK91" s="502">
        <f t="shared" si="185"/>
        <v>0</v>
      </c>
      <c r="AL91" s="502">
        <f t="shared" si="185"/>
        <v>0</v>
      </c>
      <c r="AM91" s="502">
        <f t="shared" si="185"/>
        <v>0</v>
      </c>
      <c r="AN91" s="502">
        <f t="shared" si="185"/>
        <v>-0.06</v>
      </c>
      <c r="AO91" s="502">
        <f t="shared" si="185"/>
        <v>0</v>
      </c>
      <c r="AP91" s="502">
        <f t="shared" si="185"/>
        <v>0</v>
      </c>
      <c r="AQ91" s="502">
        <f t="shared" si="185"/>
        <v>0</v>
      </c>
      <c r="AR91" s="502">
        <f t="shared" si="185"/>
        <v>0</v>
      </c>
      <c r="AS91" s="502">
        <f t="shared" si="185"/>
        <v>-0.06</v>
      </c>
      <c r="AT91" s="109">
        <f t="shared" si="185"/>
        <v>-0.06</v>
      </c>
      <c r="AU91" s="509">
        <f t="shared" si="185"/>
        <v>4690747</v>
      </c>
      <c r="AV91" s="501">
        <f t="shared" si="185"/>
        <v>3428011</v>
      </c>
      <c r="AW91" s="501">
        <f t="shared" si="185"/>
        <v>0</v>
      </c>
      <c r="AX91" s="501">
        <f t="shared" si="185"/>
        <v>1158669</v>
      </c>
      <c r="AY91" s="501">
        <f t="shared" si="185"/>
        <v>68559</v>
      </c>
      <c r="AZ91" s="501">
        <f t="shared" si="185"/>
        <v>35508</v>
      </c>
      <c r="BA91" s="502">
        <f t="shared" si="185"/>
        <v>7.8491</v>
      </c>
      <c r="BB91" s="502">
        <f t="shared" si="185"/>
        <v>4.6844999999999999</v>
      </c>
      <c r="BC91" s="109">
        <f t="shared" si="185"/>
        <v>3.1645999999999996</v>
      </c>
    </row>
    <row r="92" spans="1:55" s="102" customFormat="1" ht="14.1" customHeight="1" x14ac:dyDescent="0.2">
      <c r="A92" s="125">
        <v>13</v>
      </c>
      <c r="B92" s="108">
        <v>2408</v>
      </c>
      <c r="C92" s="99">
        <v>600079058</v>
      </c>
      <c r="D92" s="80">
        <v>72741511</v>
      </c>
      <c r="E92" s="80" t="s">
        <v>765</v>
      </c>
      <c r="F92" s="100">
        <v>3111</v>
      </c>
      <c r="G92" s="80" t="s">
        <v>311</v>
      </c>
      <c r="H92" s="101" t="s">
        <v>277</v>
      </c>
      <c r="I92" s="477">
        <v>2097291</v>
      </c>
      <c r="J92" s="631">
        <v>1537107</v>
      </c>
      <c r="K92" s="631">
        <v>0</v>
      </c>
      <c r="L92" s="472">
        <v>519542</v>
      </c>
      <c r="M92" s="472">
        <v>30742</v>
      </c>
      <c r="N92" s="631">
        <v>9900</v>
      </c>
      <c r="O92" s="473">
        <v>3.2058999999999997</v>
      </c>
      <c r="P92" s="474">
        <v>2.371</v>
      </c>
      <c r="Q92" s="670">
        <v>0.83489999999999998</v>
      </c>
      <c r="R92" s="485">
        <f t="shared" ref="R92:R94" si="186">Y92*-1</f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ref="X92:X94" si="187">SUM(R92:W92)</f>
        <v>0</v>
      </c>
      <c r="Y92" s="475">
        <v>0</v>
      </c>
      <c r="Z92" s="475">
        <v>0</v>
      </c>
      <c r="AA92" s="475">
        <v>0</v>
      </c>
      <c r="AB92" s="475">
        <f t="shared" ref="AB92:AB94" si="188">SUM(Y92:AA92)</f>
        <v>0</v>
      </c>
      <c r="AC92" s="475">
        <f t="shared" ref="AC92:AC94" si="189">X92+AB92</f>
        <v>0</v>
      </c>
      <c r="AD92" s="70">
        <f t="shared" ref="AD92:AD94" si="190">ROUND((X92+Y92+Z92)*33.8%,0)</f>
        <v>0</v>
      </c>
      <c r="AE92" s="70">
        <f t="shared" ref="AE92:AE94" si="191">ROUND(X92*2%,0)</f>
        <v>0</v>
      </c>
      <c r="AF92" s="475">
        <v>0</v>
      </c>
      <c r="AG92" s="475">
        <v>0</v>
      </c>
      <c r="AH92" s="475">
        <f t="shared" ref="AH92:AH94" si="192">SUM(AF92:AG92)</f>
        <v>0</v>
      </c>
      <c r="AI92" s="475">
        <f t="shared" ref="AI92:AI94" si="193">AC92+AD92+AE92+AH92</f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 t="shared" si="159"/>
        <v>0</v>
      </c>
      <c r="AS92" s="476">
        <f t="shared" si="160"/>
        <v>0</v>
      </c>
      <c r="AT92" s="478">
        <f t="shared" si="161"/>
        <v>0</v>
      </c>
      <c r="AU92" s="484">
        <f>I92+AI92</f>
        <v>2097291</v>
      </c>
      <c r="AV92" s="475">
        <f>J92+X92</f>
        <v>1537107</v>
      </c>
      <c r="AW92" s="475">
        <f>K92+AB92</f>
        <v>0</v>
      </c>
      <c r="AX92" s="475">
        <f t="shared" ref="AX92:AY94" si="194">L92+AD92</f>
        <v>519542</v>
      </c>
      <c r="AY92" s="475">
        <f t="shared" si="194"/>
        <v>30742</v>
      </c>
      <c r="AZ92" s="475">
        <f>N92+AH92</f>
        <v>9900</v>
      </c>
      <c r="BA92" s="476">
        <f>O92+AT92</f>
        <v>3.2058999999999997</v>
      </c>
      <c r="BB92" s="476">
        <f t="shared" ref="BB92:BC94" si="195">P92+AR92</f>
        <v>2.371</v>
      </c>
      <c r="BC92" s="478">
        <f t="shared" si="195"/>
        <v>0.83489999999999998</v>
      </c>
    </row>
    <row r="93" spans="1:55" s="102" customFormat="1" ht="14.1" customHeight="1" x14ac:dyDescent="0.2">
      <c r="A93" s="125">
        <v>13</v>
      </c>
      <c r="B93" s="80">
        <v>2408</v>
      </c>
      <c r="C93" s="99">
        <v>600079058</v>
      </c>
      <c r="D93" s="80">
        <v>72741511</v>
      </c>
      <c r="E93" s="80" t="s">
        <v>765</v>
      </c>
      <c r="F93" s="100">
        <v>3111</v>
      </c>
      <c r="G93" s="80" t="s">
        <v>312</v>
      </c>
      <c r="H93" s="101" t="s">
        <v>278</v>
      </c>
      <c r="I93" s="477">
        <v>297593</v>
      </c>
      <c r="J93" s="472">
        <v>195494</v>
      </c>
      <c r="K93" s="472">
        <v>24000</v>
      </c>
      <c r="L93" s="472">
        <v>74189</v>
      </c>
      <c r="M93" s="472">
        <v>3910</v>
      </c>
      <c r="N93" s="472">
        <v>0</v>
      </c>
      <c r="O93" s="473">
        <v>0.54</v>
      </c>
      <c r="P93" s="474">
        <v>0.54</v>
      </c>
      <c r="Q93" s="483">
        <v>0</v>
      </c>
      <c r="R93" s="485">
        <f t="shared" si="186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187"/>
        <v>0</v>
      </c>
      <c r="Y93" s="475">
        <v>0</v>
      </c>
      <c r="Z93" s="475">
        <v>0</v>
      </c>
      <c r="AA93" s="475">
        <v>0</v>
      </c>
      <c r="AB93" s="475">
        <f t="shared" si="188"/>
        <v>0</v>
      </c>
      <c r="AC93" s="475">
        <f t="shared" si="189"/>
        <v>0</v>
      </c>
      <c r="AD93" s="70">
        <f t="shared" si="190"/>
        <v>0</v>
      </c>
      <c r="AE93" s="70">
        <f t="shared" si="191"/>
        <v>0</v>
      </c>
      <c r="AF93" s="475">
        <v>0</v>
      </c>
      <c r="AG93" s="475">
        <v>0</v>
      </c>
      <c r="AH93" s="475">
        <f t="shared" si="192"/>
        <v>0</v>
      </c>
      <c r="AI93" s="475">
        <f t="shared" si="193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 t="shared" si="159"/>
        <v>0</v>
      </c>
      <c r="AS93" s="476">
        <f t="shared" si="160"/>
        <v>0</v>
      </c>
      <c r="AT93" s="478">
        <f t="shared" si="161"/>
        <v>0</v>
      </c>
      <c r="AU93" s="484">
        <f>I93+AI93</f>
        <v>297593</v>
      </c>
      <c r="AV93" s="475">
        <f>J93+X93</f>
        <v>195494</v>
      </c>
      <c r="AW93" s="475">
        <f>K93+AB93</f>
        <v>24000</v>
      </c>
      <c r="AX93" s="475">
        <f t="shared" si="194"/>
        <v>74189</v>
      </c>
      <c r="AY93" s="475">
        <f t="shared" si="194"/>
        <v>3910</v>
      </c>
      <c r="AZ93" s="475">
        <f>N93+AH93</f>
        <v>0</v>
      </c>
      <c r="BA93" s="476">
        <f>O93+AT93</f>
        <v>0.54</v>
      </c>
      <c r="BB93" s="476">
        <f t="shared" si="195"/>
        <v>0.54</v>
      </c>
      <c r="BC93" s="478">
        <f t="shared" si="195"/>
        <v>0</v>
      </c>
    </row>
    <row r="94" spans="1:55" s="102" customFormat="1" ht="14.1" customHeight="1" x14ac:dyDescent="0.2">
      <c r="A94" s="125">
        <v>13</v>
      </c>
      <c r="B94" s="80">
        <v>2408</v>
      </c>
      <c r="C94" s="99">
        <v>600079058</v>
      </c>
      <c r="D94" s="80">
        <v>72741511</v>
      </c>
      <c r="E94" s="80" t="s">
        <v>765</v>
      </c>
      <c r="F94" s="100">
        <v>3141</v>
      </c>
      <c r="G94" s="80" t="s">
        <v>315</v>
      </c>
      <c r="H94" s="101" t="s">
        <v>278</v>
      </c>
      <c r="I94" s="477">
        <v>507324</v>
      </c>
      <c r="J94" s="631">
        <v>317982</v>
      </c>
      <c r="K94" s="631">
        <v>55000</v>
      </c>
      <c r="L94" s="472">
        <v>126068</v>
      </c>
      <c r="M94" s="472">
        <v>6360</v>
      </c>
      <c r="N94" s="631">
        <v>1914</v>
      </c>
      <c r="O94" s="473">
        <v>0.96</v>
      </c>
      <c r="P94" s="474">
        <v>0</v>
      </c>
      <c r="Q94" s="670">
        <v>0.96</v>
      </c>
      <c r="R94" s="485">
        <f t="shared" si="186"/>
        <v>0</v>
      </c>
      <c r="S94" s="475">
        <v>0</v>
      </c>
      <c r="T94" s="755">
        <v>-8873</v>
      </c>
      <c r="U94" s="475">
        <v>0</v>
      </c>
      <c r="V94" s="475">
        <v>0</v>
      </c>
      <c r="W94" s="475">
        <v>0</v>
      </c>
      <c r="X94" s="475">
        <f t="shared" si="187"/>
        <v>-8873</v>
      </c>
      <c r="Y94" s="475">
        <v>0</v>
      </c>
      <c r="Z94" s="475">
        <v>0</v>
      </c>
      <c r="AA94" s="475">
        <v>0</v>
      </c>
      <c r="AB94" s="475">
        <f t="shared" si="188"/>
        <v>0</v>
      </c>
      <c r="AC94" s="475">
        <f t="shared" si="189"/>
        <v>-8873</v>
      </c>
      <c r="AD94" s="70">
        <f t="shared" si="190"/>
        <v>-2999</v>
      </c>
      <c r="AE94" s="70">
        <f t="shared" si="191"/>
        <v>-177</v>
      </c>
      <c r="AF94" s="475">
        <v>0</v>
      </c>
      <c r="AG94" s="475">
        <v>0</v>
      </c>
      <c r="AH94" s="475">
        <f t="shared" si="192"/>
        <v>0</v>
      </c>
      <c r="AI94" s="475">
        <f t="shared" si="193"/>
        <v>-12049</v>
      </c>
      <c r="AJ94" s="476">
        <v>0</v>
      </c>
      <c r="AK94" s="476">
        <v>0</v>
      </c>
      <c r="AL94" s="476">
        <v>0</v>
      </c>
      <c r="AM94" s="476">
        <v>0</v>
      </c>
      <c r="AN94" s="756">
        <v>-3.0000000000000027E-2</v>
      </c>
      <c r="AO94" s="476">
        <v>0</v>
      </c>
      <c r="AP94" s="476">
        <v>0</v>
      </c>
      <c r="AQ94" s="476">
        <v>0</v>
      </c>
      <c r="AR94" s="476">
        <f t="shared" si="159"/>
        <v>0</v>
      </c>
      <c r="AS94" s="476">
        <f t="shared" si="160"/>
        <v>-3.0000000000000027E-2</v>
      </c>
      <c r="AT94" s="478">
        <f t="shared" si="161"/>
        <v>-3.0000000000000027E-2</v>
      </c>
      <c r="AU94" s="484">
        <f>I94+AI94</f>
        <v>495275</v>
      </c>
      <c r="AV94" s="475">
        <f>J94+X94</f>
        <v>309109</v>
      </c>
      <c r="AW94" s="475">
        <f>K94+AB94</f>
        <v>55000</v>
      </c>
      <c r="AX94" s="475">
        <f t="shared" si="194"/>
        <v>123069</v>
      </c>
      <c r="AY94" s="475">
        <f t="shared" si="194"/>
        <v>6183</v>
      </c>
      <c r="AZ94" s="475">
        <f>N94+AH94</f>
        <v>1914</v>
      </c>
      <c r="BA94" s="476">
        <f>O94+AT94</f>
        <v>0.92999999999999994</v>
      </c>
      <c r="BB94" s="476">
        <f t="shared" si="195"/>
        <v>0</v>
      </c>
      <c r="BC94" s="478">
        <f t="shared" si="195"/>
        <v>0.92999999999999994</v>
      </c>
    </row>
    <row r="95" spans="1:55" s="102" customFormat="1" ht="14.1" customHeight="1" x14ac:dyDescent="0.2">
      <c r="A95" s="126">
        <v>13</v>
      </c>
      <c r="B95" s="103">
        <v>2408</v>
      </c>
      <c r="C95" s="104">
        <v>600079058</v>
      </c>
      <c r="D95" s="103">
        <v>72741511</v>
      </c>
      <c r="E95" s="103" t="s">
        <v>766</v>
      </c>
      <c r="F95" s="105"/>
      <c r="G95" s="106"/>
      <c r="H95" s="107"/>
      <c r="I95" s="505">
        <v>2902208</v>
      </c>
      <c r="J95" s="501">
        <v>2050583</v>
      </c>
      <c r="K95" s="501">
        <v>79000</v>
      </c>
      <c r="L95" s="501">
        <v>719799</v>
      </c>
      <c r="M95" s="501">
        <v>41012</v>
      </c>
      <c r="N95" s="501">
        <v>11814</v>
      </c>
      <c r="O95" s="502">
        <v>4.7058999999999997</v>
      </c>
      <c r="P95" s="502">
        <v>2.911</v>
      </c>
      <c r="Q95" s="507">
        <v>1.7948999999999999</v>
      </c>
      <c r="R95" s="505">
        <f t="shared" ref="R95:BC95" si="196">SUM(R92:R94)</f>
        <v>0</v>
      </c>
      <c r="S95" s="501">
        <f t="shared" si="196"/>
        <v>0</v>
      </c>
      <c r="T95" s="501">
        <f t="shared" si="196"/>
        <v>-8873</v>
      </c>
      <c r="U95" s="501">
        <f t="shared" si="196"/>
        <v>0</v>
      </c>
      <c r="V95" s="501">
        <f t="shared" si="196"/>
        <v>0</v>
      </c>
      <c r="W95" s="501">
        <f t="shared" si="196"/>
        <v>0</v>
      </c>
      <c r="X95" s="501">
        <f t="shared" si="196"/>
        <v>-8873</v>
      </c>
      <c r="Y95" s="501">
        <f t="shared" si="196"/>
        <v>0</v>
      </c>
      <c r="Z95" s="501">
        <f t="shared" si="196"/>
        <v>0</v>
      </c>
      <c r="AA95" s="501">
        <f t="shared" si="196"/>
        <v>0</v>
      </c>
      <c r="AB95" s="501">
        <f t="shared" si="196"/>
        <v>0</v>
      </c>
      <c r="AC95" s="501">
        <f t="shared" si="196"/>
        <v>-8873</v>
      </c>
      <c r="AD95" s="501">
        <f t="shared" si="196"/>
        <v>-2999</v>
      </c>
      <c r="AE95" s="501">
        <f t="shared" si="196"/>
        <v>-177</v>
      </c>
      <c r="AF95" s="501">
        <f t="shared" si="196"/>
        <v>0</v>
      </c>
      <c r="AG95" s="501">
        <f t="shared" si="196"/>
        <v>0</v>
      </c>
      <c r="AH95" s="501">
        <f t="shared" si="196"/>
        <v>0</v>
      </c>
      <c r="AI95" s="501">
        <f t="shared" si="196"/>
        <v>-12049</v>
      </c>
      <c r="AJ95" s="502">
        <f t="shared" si="196"/>
        <v>0</v>
      </c>
      <c r="AK95" s="502">
        <f t="shared" si="196"/>
        <v>0</v>
      </c>
      <c r="AL95" s="502">
        <f t="shared" si="196"/>
        <v>0</v>
      </c>
      <c r="AM95" s="502">
        <f t="shared" si="196"/>
        <v>0</v>
      </c>
      <c r="AN95" s="502">
        <f>SUM(AN92:AN94)</f>
        <v>-3.0000000000000027E-2</v>
      </c>
      <c r="AO95" s="502">
        <f t="shared" si="196"/>
        <v>0</v>
      </c>
      <c r="AP95" s="502">
        <f t="shared" si="196"/>
        <v>0</v>
      </c>
      <c r="AQ95" s="502">
        <f t="shared" si="196"/>
        <v>0</v>
      </c>
      <c r="AR95" s="502">
        <f t="shared" si="196"/>
        <v>0</v>
      </c>
      <c r="AS95" s="502">
        <f t="shared" si="196"/>
        <v>-3.0000000000000027E-2</v>
      </c>
      <c r="AT95" s="109">
        <f t="shared" si="196"/>
        <v>-3.0000000000000027E-2</v>
      </c>
      <c r="AU95" s="509">
        <f t="shared" si="196"/>
        <v>2890159</v>
      </c>
      <c r="AV95" s="501">
        <f t="shared" si="196"/>
        <v>2041710</v>
      </c>
      <c r="AW95" s="501">
        <f t="shared" si="196"/>
        <v>79000</v>
      </c>
      <c r="AX95" s="501">
        <f t="shared" si="196"/>
        <v>716800</v>
      </c>
      <c r="AY95" s="501">
        <f t="shared" si="196"/>
        <v>40835</v>
      </c>
      <c r="AZ95" s="501">
        <f t="shared" si="196"/>
        <v>11814</v>
      </c>
      <c r="BA95" s="502">
        <f t="shared" si="196"/>
        <v>4.6758999999999995</v>
      </c>
      <c r="BB95" s="502">
        <f t="shared" si="196"/>
        <v>2.911</v>
      </c>
      <c r="BC95" s="109">
        <f t="shared" si="196"/>
        <v>1.7648999999999999</v>
      </c>
    </row>
    <row r="96" spans="1:55" s="102" customFormat="1" ht="14.1" customHeight="1" x14ac:dyDescent="0.2">
      <c r="A96" s="125">
        <v>14</v>
      </c>
      <c r="B96" s="80">
        <v>2304</v>
      </c>
      <c r="C96" s="99">
        <v>600080382</v>
      </c>
      <c r="D96" s="80">
        <v>72743417</v>
      </c>
      <c r="E96" s="80" t="s">
        <v>767</v>
      </c>
      <c r="F96" s="100">
        <v>3113</v>
      </c>
      <c r="G96" s="80" t="s">
        <v>314</v>
      </c>
      <c r="H96" s="101" t="s">
        <v>277</v>
      </c>
      <c r="I96" s="477">
        <v>4546078</v>
      </c>
      <c r="J96" s="631">
        <v>3308791</v>
      </c>
      <c r="K96" s="631">
        <v>0</v>
      </c>
      <c r="L96" s="472">
        <v>1118371</v>
      </c>
      <c r="M96" s="472">
        <v>66176</v>
      </c>
      <c r="N96" s="631">
        <v>52740</v>
      </c>
      <c r="O96" s="473">
        <v>6.5373999999999999</v>
      </c>
      <c r="P96" s="474">
        <v>4.9090999999999996</v>
      </c>
      <c r="Q96" s="670">
        <v>1.6282999999999999</v>
      </c>
      <c r="R96" s="485">
        <f t="shared" ref="R96:R100" si="197">Y96*-1</f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ref="X96:X100" si="198">SUM(R96:W96)</f>
        <v>0</v>
      </c>
      <c r="Y96" s="475">
        <v>0</v>
      </c>
      <c r="Z96" s="475">
        <v>0</v>
      </c>
      <c r="AA96" s="475">
        <v>0</v>
      </c>
      <c r="AB96" s="475">
        <f t="shared" ref="AB96:AB100" si="199">SUM(Y96:AA96)</f>
        <v>0</v>
      </c>
      <c r="AC96" s="475">
        <f t="shared" ref="AC96:AC100" si="200">X96+AB96</f>
        <v>0</v>
      </c>
      <c r="AD96" s="70">
        <f t="shared" ref="AD96:AD100" si="201">ROUND((X96+Y96+Z96)*33.8%,0)</f>
        <v>0</v>
      </c>
      <c r="AE96" s="70">
        <f t="shared" ref="AE96:AE100" si="202">ROUND(X96*2%,0)</f>
        <v>0</v>
      </c>
      <c r="AF96" s="475">
        <v>0</v>
      </c>
      <c r="AG96" s="475">
        <v>0</v>
      </c>
      <c r="AH96" s="475">
        <f t="shared" ref="AH96:AH100" si="203">SUM(AF96:AG96)</f>
        <v>0</v>
      </c>
      <c r="AI96" s="475">
        <f t="shared" ref="AI96:AI100" si="204">AC96+AD96+AE96+AH96</f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 t="shared" si="159"/>
        <v>0</v>
      </c>
      <c r="AS96" s="476">
        <f t="shared" si="160"/>
        <v>0</v>
      </c>
      <c r="AT96" s="478">
        <f t="shared" si="161"/>
        <v>0</v>
      </c>
      <c r="AU96" s="484">
        <f>I96+AI96</f>
        <v>4546078</v>
      </c>
      <c r="AV96" s="475">
        <f>J96+X96</f>
        <v>3308791</v>
      </c>
      <c r="AW96" s="475">
        <f>K96+AB96</f>
        <v>0</v>
      </c>
      <c r="AX96" s="475">
        <f t="shared" ref="AX96:AY100" si="205">L96+AD96</f>
        <v>1118371</v>
      </c>
      <c r="AY96" s="475">
        <f t="shared" si="205"/>
        <v>66176</v>
      </c>
      <c r="AZ96" s="475">
        <f>N96+AH96</f>
        <v>52740</v>
      </c>
      <c r="BA96" s="476">
        <f>O96+AT96</f>
        <v>6.5373999999999999</v>
      </c>
      <c r="BB96" s="476">
        <f t="shared" ref="BB96:BC100" si="206">P96+AR96</f>
        <v>4.9090999999999996</v>
      </c>
      <c r="BC96" s="478">
        <f t="shared" si="206"/>
        <v>1.6282999999999999</v>
      </c>
    </row>
    <row r="97" spans="1:55" s="102" customFormat="1" ht="14.1" customHeight="1" x14ac:dyDescent="0.2">
      <c r="A97" s="125">
        <v>14</v>
      </c>
      <c r="B97" s="80">
        <v>2304</v>
      </c>
      <c r="C97" s="99">
        <v>600080382</v>
      </c>
      <c r="D97" s="80">
        <v>72743417</v>
      </c>
      <c r="E97" s="80" t="s">
        <v>767</v>
      </c>
      <c r="F97" s="100">
        <v>3113</v>
      </c>
      <c r="G97" s="44" t="s">
        <v>313</v>
      </c>
      <c r="H97" s="101" t="s">
        <v>277</v>
      </c>
      <c r="I97" s="477">
        <v>880305</v>
      </c>
      <c r="J97" s="631">
        <v>648236</v>
      </c>
      <c r="K97" s="631">
        <v>0</v>
      </c>
      <c r="L97" s="472">
        <v>219104</v>
      </c>
      <c r="M97" s="472">
        <v>12965</v>
      </c>
      <c r="N97" s="472">
        <v>0</v>
      </c>
      <c r="O97" s="473">
        <v>1.7222</v>
      </c>
      <c r="P97" s="474">
        <v>1.7222</v>
      </c>
      <c r="Q97" s="670">
        <v>0</v>
      </c>
      <c r="R97" s="485">
        <f t="shared" si="197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198"/>
        <v>0</v>
      </c>
      <c r="Y97" s="475">
        <v>0</v>
      </c>
      <c r="Z97" s="475">
        <v>0</v>
      </c>
      <c r="AA97" s="475">
        <v>0</v>
      </c>
      <c r="AB97" s="475">
        <f t="shared" si="199"/>
        <v>0</v>
      </c>
      <c r="AC97" s="475">
        <f t="shared" si="200"/>
        <v>0</v>
      </c>
      <c r="AD97" s="70">
        <f t="shared" si="201"/>
        <v>0</v>
      </c>
      <c r="AE97" s="70">
        <f t="shared" si="202"/>
        <v>0</v>
      </c>
      <c r="AF97" s="475">
        <v>0</v>
      </c>
      <c r="AG97" s="475">
        <v>0</v>
      </c>
      <c r="AH97" s="475">
        <f t="shared" si="203"/>
        <v>0</v>
      </c>
      <c r="AI97" s="475">
        <f t="shared" si="204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 t="shared" si="159"/>
        <v>0</v>
      </c>
      <c r="AS97" s="476">
        <f t="shared" si="160"/>
        <v>0</v>
      </c>
      <c r="AT97" s="478">
        <f t="shared" si="161"/>
        <v>0</v>
      </c>
      <c r="AU97" s="484">
        <f>I97+AI97</f>
        <v>880305</v>
      </c>
      <c r="AV97" s="475">
        <f>J97+X97</f>
        <v>648236</v>
      </c>
      <c r="AW97" s="475">
        <f>K97+AB97</f>
        <v>0</v>
      </c>
      <c r="AX97" s="475">
        <f t="shared" si="205"/>
        <v>219104</v>
      </c>
      <c r="AY97" s="475">
        <f t="shared" si="205"/>
        <v>12965</v>
      </c>
      <c r="AZ97" s="475">
        <f>N97+AH97</f>
        <v>0</v>
      </c>
      <c r="BA97" s="476">
        <f>O97+AT97</f>
        <v>1.7222</v>
      </c>
      <c r="BB97" s="476">
        <f t="shared" si="206"/>
        <v>1.7222</v>
      </c>
      <c r="BC97" s="478">
        <f t="shared" si="206"/>
        <v>0</v>
      </c>
    </row>
    <row r="98" spans="1:55" s="102" customFormat="1" ht="14.1" customHeight="1" x14ac:dyDescent="0.2">
      <c r="A98" s="125">
        <v>14</v>
      </c>
      <c r="B98" s="80">
        <v>2304</v>
      </c>
      <c r="C98" s="99">
        <v>600080382</v>
      </c>
      <c r="D98" s="80">
        <v>72743417</v>
      </c>
      <c r="E98" s="80" t="s">
        <v>767</v>
      </c>
      <c r="F98" s="100">
        <v>3113</v>
      </c>
      <c r="G98" s="80" t="s">
        <v>312</v>
      </c>
      <c r="H98" s="101" t="s">
        <v>278</v>
      </c>
      <c r="I98" s="477">
        <v>1016857</v>
      </c>
      <c r="J98" s="472">
        <v>748790</v>
      </c>
      <c r="K98" s="472">
        <v>0</v>
      </c>
      <c r="L98" s="472">
        <v>253091</v>
      </c>
      <c r="M98" s="472">
        <v>14976</v>
      </c>
      <c r="N98" s="472">
        <v>0</v>
      </c>
      <c r="O98" s="473">
        <v>2.13</v>
      </c>
      <c r="P98" s="474">
        <v>2.13</v>
      </c>
      <c r="Q98" s="483">
        <v>0</v>
      </c>
      <c r="R98" s="485">
        <f t="shared" si="197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198"/>
        <v>0</v>
      </c>
      <c r="Y98" s="475">
        <v>0</v>
      </c>
      <c r="Z98" s="475">
        <v>0</v>
      </c>
      <c r="AA98" s="475">
        <v>0</v>
      </c>
      <c r="AB98" s="475">
        <f t="shared" si="199"/>
        <v>0</v>
      </c>
      <c r="AC98" s="475">
        <f t="shared" si="200"/>
        <v>0</v>
      </c>
      <c r="AD98" s="70">
        <f t="shared" si="201"/>
        <v>0</v>
      </c>
      <c r="AE98" s="70">
        <f t="shared" si="202"/>
        <v>0</v>
      </c>
      <c r="AF98" s="475">
        <v>0</v>
      </c>
      <c r="AG98" s="475">
        <v>0</v>
      </c>
      <c r="AH98" s="475">
        <f t="shared" si="203"/>
        <v>0</v>
      </c>
      <c r="AI98" s="475">
        <f t="shared" si="204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 t="shared" si="159"/>
        <v>0</v>
      </c>
      <c r="AS98" s="476">
        <f t="shared" si="160"/>
        <v>0</v>
      </c>
      <c r="AT98" s="478">
        <f t="shared" si="161"/>
        <v>0</v>
      </c>
      <c r="AU98" s="484">
        <f>I98+AI98</f>
        <v>1016857</v>
      </c>
      <c r="AV98" s="475">
        <f>J98+X98</f>
        <v>748790</v>
      </c>
      <c r="AW98" s="475">
        <f>K98+AB98</f>
        <v>0</v>
      </c>
      <c r="AX98" s="475">
        <f t="shared" si="205"/>
        <v>253091</v>
      </c>
      <c r="AY98" s="475">
        <f t="shared" si="205"/>
        <v>14976</v>
      </c>
      <c r="AZ98" s="475">
        <f>N98+AH98</f>
        <v>0</v>
      </c>
      <c r="BA98" s="476">
        <f>O98+AT98</f>
        <v>2.13</v>
      </c>
      <c r="BB98" s="476">
        <f t="shared" si="206"/>
        <v>2.13</v>
      </c>
      <c r="BC98" s="478">
        <f t="shared" si="206"/>
        <v>0</v>
      </c>
    </row>
    <row r="99" spans="1:55" s="102" customFormat="1" ht="14.1" customHeight="1" x14ac:dyDescent="0.2">
      <c r="A99" s="125">
        <v>14</v>
      </c>
      <c r="B99" s="80">
        <v>2304</v>
      </c>
      <c r="C99" s="99">
        <v>600080382</v>
      </c>
      <c r="D99" s="80">
        <v>72743417</v>
      </c>
      <c r="E99" s="80" t="s">
        <v>767</v>
      </c>
      <c r="F99" s="100">
        <v>3143</v>
      </c>
      <c r="G99" s="80" t="s">
        <v>626</v>
      </c>
      <c r="H99" s="101" t="s">
        <v>277</v>
      </c>
      <c r="I99" s="477">
        <v>281388</v>
      </c>
      <c r="J99" s="632">
        <v>207208</v>
      </c>
      <c r="K99" s="632">
        <v>0</v>
      </c>
      <c r="L99" s="472">
        <v>70036</v>
      </c>
      <c r="M99" s="472">
        <v>4144</v>
      </c>
      <c r="N99" s="472">
        <v>0</v>
      </c>
      <c r="O99" s="473">
        <v>0.5</v>
      </c>
      <c r="P99" s="13">
        <v>0.5</v>
      </c>
      <c r="Q99" s="483">
        <v>0</v>
      </c>
      <c r="R99" s="485">
        <f t="shared" si="197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198"/>
        <v>0</v>
      </c>
      <c r="Y99" s="475">
        <v>0</v>
      </c>
      <c r="Z99" s="475">
        <v>0</v>
      </c>
      <c r="AA99" s="475">
        <v>0</v>
      </c>
      <c r="AB99" s="475">
        <f t="shared" si="199"/>
        <v>0</v>
      </c>
      <c r="AC99" s="475">
        <f t="shared" si="200"/>
        <v>0</v>
      </c>
      <c r="AD99" s="70">
        <f t="shared" si="201"/>
        <v>0</v>
      </c>
      <c r="AE99" s="70">
        <f t="shared" si="202"/>
        <v>0</v>
      </c>
      <c r="AF99" s="475">
        <v>0</v>
      </c>
      <c r="AG99" s="475">
        <v>0</v>
      </c>
      <c r="AH99" s="475">
        <f t="shared" si="203"/>
        <v>0</v>
      </c>
      <c r="AI99" s="475">
        <f t="shared" si="204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 t="shared" si="159"/>
        <v>0</v>
      </c>
      <c r="AS99" s="476">
        <f t="shared" si="160"/>
        <v>0</v>
      </c>
      <c r="AT99" s="478">
        <f t="shared" si="161"/>
        <v>0</v>
      </c>
      <c r="AU99" s="484">
        <f>I99+AI99</f>
        <v>281388</v>
      </c>
      <c r="AV99" s="475">
        <f>J99+X99</f>
        <v>207208</v>
      </c>
      <c r="AW99" s="475">
        <f>K99+AB99</f>
        <v>0</v>
      </c>
      <c r="AX99" s="475">
        <f t="shared" si="205"/>
        <v>70036</v>
      </c>
      <c r="AY99" s="475">
        <f t="shared" si="205"/>
        <v>4144</v>
      </c>
      <c r="AZ99" s="475">
        <f>N99+AH99</f>
        <v>0</v>
      </c>
      <c r="BA99" s="476">
        <f>O99+AT99</f>
        <v>0.5</v>
      </c>
      <c r="BB99" s="476">
        <f t="shared" si="206"/>
        <v>0.5</v>
      </c>
      <c r="BC99" s="478">
        <f t="shared" si="206"/>
        <v>0</v>
      </c>
    </row>
    <row r="100" spans="1:55" s="102" customFormat="1" ht="14.1" customHeight="1" x14ac:dyDescent="0.2">
      <c r="A100" s="125">
        <v>14</v>
      </c>
      <c r="B100" s="80">
        <v>2304</v>
      </c>
      <c r="C100" s="99">
        <v>600080382</v>
      </c>
      <c r="D100" s="80">
        <v>72743417</v>
      </c>
      <c r="E100" s="80" t="s">
        <v>767</v>
      </c>
      <c r="F100" s="100">
        <v>3143</v>
      </c>
      <c r="G100" s="80" t="s">
        <v>627</v>
      </c>
      <c r="H100" s="101" t="s">
        <v>278</v>
      </c>
      <c r="I100" s="477">
        <v>7560</v>
      </c>
      <c r="J100" s="631">
        <v>5346</v>
      </c>
      <c r="K100" s="631">
        <v>0</v>
      </c>
      <c r="L100" s="472">
        <v>1807</v>
      </c>
      <c r="M100" s="472">
        <v>107</v>
      </c>
      <c r="N100" s="631">
        <v>300</v>
      </c>
      <c r="O100" s="473">
        <v>0.02</v>
      </c>
      <c r="P100" s="474">
        <v>0</v>
      </c>
      <c r="Q100" s="670">
        <v>0.02</v>
      </c>
      <c r="R100" s="485">
        <f t="shared" si="197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198"/>
        <v>0</v>
      </c>
      <c r="Y100" s="475">
        <v>0</v>
      </c>
      <c r="Z100" s="475">
        <v>0</v>
      </c>
      <c r="AA100" s="475">
        <v>0</v>
      </c>
      <c r="AB100" s="475">
        <f t="shared" si="199"/>
        <v>0</v>
      </c>
      <c r="AC100" s="475">
        <f t="shared" si="200"/>
        <v>0</v>
      </c>
      <c r="AD100" s="70">
        <f t="shared" si="201"/>
        <v>0</v>
      </c>
      <c r="AE100" s="70">
        <f t="shared" si="202"/>
        <v>0</v>
      </c>
      <c r="AF100" s="475">
        <v>0</v>
      </c>
      <c r="AG100" s="475">
        <v>0</v>
      </c>
      <c r="AH100" s="475">
        <f t="shared" si="203"/>
        <v>0</v>
      </c>
      <c r="AI100" s="475">
        <f t="shared" si="204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 t="shared" si="159"/>
        <v>0</v>
      </c>
      <c r="AS100" s="476">
        <f t="shared" si="160"/>
        <v>0</v>
      </c>
      <c r="AT100" s="478">
        <f t="shared" si="161"/>
        <v>0</v>
      </c>
      <c r="AU100" s="484">
        <f>I100+AI100</f>
        <v>7560</v>
      </c>
      <c r="AV100" s="475">
        <f>J100+X100</f>
        <v>5346</v>
      </c>
      <c r="AW100" s="475">
        <f>K100+AB100</f>
        <v>0</v>
      </c>
      <c r="AX100" s="475">
        <f t="shared" si="205"/>
        <v>1807</v>
      </c>
      <c r="AY100" s="475">
        <f t="shared" si="205"/>
        <v>107</v>
      </c>
      <c r="AZ100" s="475">
        <f>N100+AH100</f>
        <v>300</v>
      </c>
      <c r="BA100" s="476">
        <f>O100+AT100</f>
        <v>0.02</v>
      </c>
      <c r="BB100" s="476">
        <f t="shared" si="206"/>
        <v>0</v>
      </c>
      <c r="BC100" s="478">
        <f t="shared" si="206"/>
        <v>0.02</v>
      </c>
    </row>
    <row r="101" spans="1:55" s="102" customFormat="1" ht="14.1" customHeight="1" x14ac:dyDescent="0.2">
      <c r="A101" s="126">
        <v>14</v>
      </c>
      <c r="B101" s="103">
        <v>2304</v>
      </c>
      <c r="C101" s="104">
        <v>600080382</v>
      </c>
      <c r="D101" s="103">
        <v>72743417</v>
      </c>
      <c r="E101" s="103" t="s">
        <v>768</v>
      </c>
      <c r="F101" s="105"/>
      <c r="G101" s="106"/>
      <c r="H101" s="107"/>
      <c r="I101" s="505">
        <v>6732188</v>
      </c>
      <c r="J101" s="501">
        <v>4918371</v>
      </c>
      <c r="K101" s="501">
        <v>0</v>
      </c>
      <c r="L101" s="501">
        <v>1662409</v>
      </c>
      <c r="M101" s="501">
        <v>98368</v>
      </c>
      <c r="N101" s="501">
        <v>53040</v>
      </c>
      <c r="O101" s="502">
        <v>10.909599999999998</v>
      </c>
      <c r="P101" s="502">
        <v>9.2612999999999985</v>
      </c>
      <c r="Q101" s="507">
        <v>1.6482999999999999</v>
      </c>
      <c r="R101" s="505">
        <f t="shared" ref="R101:BC101" si="207">SUM(R96:R100)</f>
        <v>0</v>
      </c>
      <c r="S101" s="501">
        <f t="shared" si="207"/>
        <v>0</v>
      </c>
      <c r="T101" s="501">
        <f t="shared" si="207"/>
        <v>0</v>
      </c>
      <c r="U101" s="501">
        <f t="shared" si="207"/>
        <v>0</v>
      </c>
      <c r="V101" s="501">
        <f t="shared" si="207"/>
        <v>0</v>
      </c>
      <c r="W101" s="501">
        <f t="shared" si="207"/>
        <v>0</v>
      </c>
      <c r="X101" s="501">
        <f t="shared" si="207"/>
        <v>0</v>
      </c>
      <c r="Y101" s="501">
        <f t="shared" si="207"/>
        <v>0</v>
      </c>
      <c r="Z101" s="501">
        <f t="shared" si="207"/>
        <v>0</v>
      </c>
      <c r="AA101" s="501">
        <f t="shared" si="207"/>
        <v>0</v>
      </c>
      <c r="AB101" s="501">
        <f t="shared" si="207"/>
        <v>0</v>
      </c>
      <c r="AC101" s="501">
        <f t="shared" si="207"/>
        <v>0</v>
      </c>
      <c r="AD101" s="501">
        <f t="shared" si="207"/>
        <v>0</v>
      </c>
      <c r="AE101" s="501">
        <f t="shared" si="207"/>
        <v>0</v>
      </c>
      <c r="AF101" s="501">
        <f t="shared" si="207"/>
        <v>0</v>
      </c>
      <c r="AG101" s="501">
        <f t="shared" si="207"/>
        <v>0</v>
      </c>
      <c r="AH101" s="501">
        <f t="shared" si="207"/>
        <v>0</v>
      </c>
      <c r="AI101" s="501">
        <f t="shared" si="207"/>
        <v>0</v>
      </c>
      <c r="AJ101" s="502">
        <f t="shared" si="207"/>
        <v>0</v>
      </c>
      <c r="AK101" s="502">
        <f t="shared" si="207"/>
        <v>0</v>
      </c>
      <c r="AL101" s="502">
        <f t="shared" si="207"/>
        <v>0</v>
      </c>
      <c r="AM101" s="502">
        <f t="shared" si="207"/>
        <v>0</v>
      </c>
      <c r="AN101" s="502">
        <f t="shared" si="207"/>
        <v>0</v>
      </c>
      <c r="AO101" s="502">
        <f t="shared" si="207"/>
        <v>0</v>
      </c>
      <c r="AP101" s="502">
        <f t="shared" si="207"/>
        <v>0</v>
      </c>
      <c r="AQ101" s="502">
        <f t="shared" si="207"/>
        <v>0</v>
      </c>
      <c r="AR101" s="502">
        <f t="shared" si="207"/>
        <v>0</v>
      </c>
      <c r="AS101" s="502">
        <f t="shared" si="207"/>
        <v>0</v>
      </c>
      <c r="AT101" s="109">
        <f t="shared" si="207"/>
        <v>0</v>
      </c>
      <c r="AU101" s="509">
        <f t="shared" si="207"/>
        <v>6732188</v>
      </c>
      <c r="AV101" s="501">
        <f t="shared" si="207"/>
        <v>4918371</v>
      </c>
      <c r="AW101" s="501">
        <f t="shared" si="207"/>
        <v>0</v>
      </c>
      <c r="AX101" s="501">
        <f t="shared" si="207"/>
        <v>1662409</v>
      </c>
      <c r="AY101" s="501">
        <f t="shared" si="207"/>
        <v>98368</v>
      </c>
      <c r="AZ101" s="501">
        <f t="shared" si="207"/>
        <v>53040</v>
      </c>
      <c r="BA101" s="502">
        <f t="shared" si="207"/>
        <v>10.909599999999998</v>
      </c>
      <c r="BB101" s="502">
        <f t="shared" si="207"/>
        <v>9.2612999999999985</v>
      </c>
      <c r="BC101" s="109">
        <f t="shared" si="207"/>
        <v>1.6482999999999999</v>
      </c>
    </row>
    <row r="102" spans="1:55" s="102" customFormat="1" ht="14.1" customHeight="1" x14ac:dyDescent="0.2">
      <c r="A102" s="125">
        <v>15</v>
      </c>
      <c r="B102" s="108">
        <v>2438</v>
      </c>
      <c r="C102" s="99">
        <v>600079384</v>
      </c>
      <c r="D102" s="80">
        <v>72741911</v>
      </c>
      <c r="E102" s="80" t="s">
        <v>769</v>
      </c>
      <c r="F102" s="100">
        <v>3111</v>
      </c>
      <c r="G102" s="80" t="s">
        <v>311</v>
      </c>
      <c r="H102" s="101" t="s">
        <v>277</v>
      </c>
      <c r="I102" s="477">
        <v>8140511</v>
      </c>
      <c r="J102" s="631">
        <v>5827674</v>
      </c>
      <c r="K102" s="631">
        <v>135000</v>
      </c>
      <c r="L102" s="472">
        <v>2015384</v>
      </c>
      <c r="M102" s="472">
        <v>116553</v>
      </c>
      <c r="N102" s="631">
        <v>45900</v>
      </c>
      <c r="O102" s="473">
        <v>12.632199999999999</v>
      </c>
      <c r="P102" s="474">
        <v>10</v>
      </c>
      <c r="Q102" s="670">
        <v>2.6322000000000001</v>
      </c>
      <c r="R102" s="485">
        <f t="shared" ref="R102:R104" si="208">Y102*-1</f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ref="X102:X104" si="209">SUM(R102:W102)</f>
        <v>0</v>
      </c>
      <c r="Y102" s="475">
        <v>0</v>
      </c>
      <c r="Z102" s="475">
        <v>0</v>
      </c>
      <c r="AA102" s="475">
        <v>0</v>
      </c>
      <c r="AB102" s="475">
        <f t="shared" ref="AB102:AB104" si="210">SUM(Y102:AA102)</f>
        <v>0</v>
      </c>
      <c r="AC102" s="475">
        <f t="shared" ref="AC102:AC104" si="211">X102+AB102</f>
        <v>0</v>
      </c>
      <c r="AD102" s="70">
        <f t="shared" ref="AD102:AD104" si="212">ROUND((X102+Y102+Z102)*33.8%,0)</f>
        <v>0</v>
      </c>
      <c r="AE102" s="70">
        <f t="shared" ref="AE102:AE104" si="213">ROUND(X102*2%,0)</f>
        <v>0</v>
      </c>
      <c r="AF102" s="475">
        <v>0</v>
      </c>
      <c r="AG102" s="475">
        <v>0</v>
      </c>
      <c r="AH102" s="475">
        <f t="shared" ref="AH102:AH104" si="214">SUM(AF102:AG102)</f>
        <v>0</v>
      </c>
      <c r="AI102" s="475">
        <f t="shared" ref="AI102:AI104" si="215">AC102+AD102+AE102+AH102</f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 t="shared" si="159"/>
        <v>0</v>
      </c>
      <c r="AS102" s="476">
        <f t="shared" si="160"/>
        <v>0</v>
      </c>
      <c r="AT102" s="478">
        <f t="shared" si="161"/>
        <v>0</v>
      </c>
      <c r="AU102" s="484">
        <f>I102+AI102</f>
        <v>8140511</v>
      </c>
      <c r="AV102" s="475">
        <f>J102+X102</f>
        <v>5827674</v>
      </c>
      <c r="AW102" s="475">
        <f>K102+AB102</f>
        <v>135000</v>
      </c>
      <c r="AX102" s="475">
        <f t="shared" ref="AX102:AY104" si="216">L102+AD102</f>
        <v>2015384</v>
      </c>
      <c r="AY102" s="475">
        <f t="shared" si="216"/>
        <v>116553</v>
      </c>
      <c r="AZ102" s="475">
        <f>N102+AH102</f>
        <v>45900</v>
      </c>
      <c r="BA102" s="476">
        <f>O102+AT102</f>
        <v>12.632199999999999</v>
      </c>
      <c r="BB102" s="476">
        <f t="shared" ref="BB102:BC104" si="217">P102+AR102</f>
        <v>10</v>
      </c>
      <c r="BC102" s="478">
        <f t="shared" si="217"/>
        <v>2.6322000000000001</v>
      </c>
    </row>
    <row r="103" spans="1:55" s="102" customFormat="1" ht="14.1" customHeight="1" x14ac:dyDescent="0.2">
      <c r="A103" s="125">
        <v>15</v>
      </c>
      <c r="B103" s="80">
        <v>2438</v>
      </c>
      <c r="C103" s="99">
        <v>600079384</v>
      </c>
      <c r="D103" s="80">
        <v>72741911</v>
      </c>
      <c r="E103" s="80" t="s">
        <v>769</v>
      </c>
      <c r="F103" s="100">
        <v>3111</v>
      </c>
      <c r="G103" s="80" t="s">
        <v>312</v>
      </c>
      <c r="H103" s="101" t="s">
        <v>278</v>
      </c>
      <c r="I103" s="477">
        <v>1254585</v>
      </c>
      <c r="J103" s="472">
        <v>923848</v>
      </c>
      <c r="K103" s="472">
        <v>0</v>
      </c>
      <c r="L103" s="472">
        <v>312260</v>
      </c>
      <c r="M103" s="472">
        <v>18477</v>
      </c>
      <c r="N103" s="472">
        <v>0</v>
      </c>
      <c r="O103" s="473">
        <v>2.66</v>
      </c>
      <c r="P103" s="474">
        <v>2.66</v>
      </c>
      <c r="Q103" s="483">
        <v>0</v>
      </c>
      <c r="R103" s="485">
        <f t="shared" si="208"/>
        <v>0</v>
      </c>
      <c r="S103" s="475">
        <v>86611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09"/>
        <v>86611</v>
      </c>
      <c r="Y103" s="475">
        <v>0</v>
      </c>
      <c r="Z103" s="475">
        <v>0</v>
      </c>
      <c r="AA103" s="475">
        <v>0</v>
      </c>
      <c r="AB103" s="475">
        <f t="shared" si="210"/>
        <v>0</v>
      </c>
      <c r="AC103" s="475">
        <f t="shared" si="211"/>
        <v>86611</v>
      </c>
      <c r="AD103" s="70">
        <f t="shared" si="212"/>
        <v>29275</v>
      </c>
      <c r="AE103" s="70">
        <f t="shared" si="213"/>
        <v>1732</v>
      </c>
      <c r="AF103" s="475">
        <v>2750</v>
      </c>
      <c r="AG103" s="475">
        <v>0</v>
      </c>
      <c r="AH103" s="475">
        <f t="shared" si="214"/>
        <v>2750</v>
      </c>
      <c r="AI103" s="475">
        <f t="shared" si="215"/>
        <v>120368</v>
      </c>
      <c r="AJ103" s="476">
        <v>0</v>
      </c>
      <c r="AK103" s="476">
        <v>0</v>
      </c>
      <c r="AL103" s="476">
        <v>0.25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 t="shared" si="159"/>
        <v>0.25</v>
      </c>
      <c r="AS103" s="476">
        <f t="shared" si="160"/>
        <v>0</v>
      </c>
      <c r="AT103" s="478">
        <f t="shared" si="161"/>
        <v>0.25</v>
      </c>
      <c r="AU103" s="484">
        <f>I103+AI103</f>
        <v>1374953</v>
      </c>
      <c r="AV103" s="475">
        <f>J103+X103</f>
        <v>1010459</v>
      </c>
      <c r="AW103" s="475">
        <f>K103+AB103</f>
        <v>0</v>
      </c>
      <c r="AX103" s="475">
        <f t="shared" si="216"/>
        <v>341535</v>
      </c>
      <c r="AY103" s="475">
        <f t="shared" si="216"/>
        <v>20209</v>
      </c>
      <c r="AZ103" s="475">
        <f>N103+AH103</f>
        <v>2750</v>
      </c>
      <c r="BA103" s="476">
        <f>O103+AT103</f>
        <v>2.91</v>
      </c>
      <c r="BB103" s="476">
        <f t="shared" si="217"/>
        <v>2.91</v>
      </c>
      <c r="BC103" s="478">
        <f t="shared" si="217"/>
        <v>0</v>
      </c>
    </row>
    <row r="104" spans="1:55" s="102" customFormat="1" ht="14.1" customHeight="1" x14ac:dyDescent="0.2">
      <c r="A104" s="125">
        <v>15</v>
      </c>
      <c r="B104" s="80">
        <v>2438</v>
      </c>
      <c r="C104" s="99">
        <v>600079384</v>
      </c>
      <c r="D104" s="80">
        <v>72741911</v>
      </c>
      <c r="E104" s="80" t="s">
        <v>769</v>
      </c>
      <c r="F104" s="100">
        <v>3141</v>
      </c>
      <c r="G104" s="80" t="s">
        <v>315</v>
      </c>
      <c r="H104" s="101" t="s">
        <v>278</v>
      </c>
      <c r="I104" s="477">
        <v>2411349</v>
      </c>
      <c r="J104" s="631">
        <v>1764344</v>
      </c>
      <c r="K104" s="631">
        <v>0</v>
      </c>
      <c r="L104" s="472">
        <v>596348</v>
      </c>
      <c r="M104" s="472">
        <v>35287</v>
      </c>
      <c r="N104" s="631">
        <v>15370</v>
      </c>
      <c r="O104" s="473">
        <v>5.56</v>
      </c>
      <c r="P104" s="474">
        <v>0</v>
      </c>
      <c r="Q104" s="670">
        <v>5.56</v>
      </c>
      <c r="R104" s="485">
        <f t="shared" si="208"/>
        <v>0</v>
      </c>
      <c r="S104" s="475">
        <v>0</v>
      </c>
      <c r="T104" s="755">
        <v>-53112</v>
      </c>
      <c r="U104" s="475">
        <v>0</v>
      </c>
      <c r="V104" s="475">
        <v>0</v>
      </c>
      <c r="W104" s="475">
        <v>0</v>
      </c>
      <c r="X104" s="475">
        <f t="shared" si="209"/>
        <v>-53112</v>
      </c>
      <c r="Y104" s="475">
        <v>0</v>
      </c>
      <c r="Z104" s="475">
        <v>0</v>
      </c>
      <c r="AA104" s="475">
        <v>0</v>
      </c>
      <c r="AB104" s="475">
        <f t="shared" si="210"/>
        <v>0</v>
      </c>
      <c r="AC104" s="475">
        <f t="shared" si="211"/>
        <v>-53112</v>
      </c>
      <c r="AD104" s="70">
        <f t="shared" si="212"/>
        <v>-17952</v>
      </c>
      <c r="AE104" s="70">
        <f t="shared" si="213"/>
        <v>-1062</v>
      </c>
      <c r="AF104" s="475">
        <v>0</v>
      </c>
      <c r="AG104" s="475">
        <v>0</v>
      </c>
      <c r="AH104" s="475">
        <f t="shared" si="214"/>
        <v>0</v>
      </c>
      <c r="AI104" s="475">
        <f t="shared" si="215"/>
        <v>-72126</v>
      </c>
      <c r="AJ104" s="476">
        <v>0</v>
      </c>
      <c r="AK104" s="476">
        <v>0</v>
      </c>
      <c r="AL104" s="476">
        <v>0</v>
      </c>
      <c r="AM104" s="476">
        <v>0</v>
      </c>
      <c r="AN104" s="756">
        <v>-0.17000000000000015</v>
      </c>
      <c r="AO104" s="476">
        <v>0</v>
      </c>
      <c r="AP104" s="476">
        <v>0</v>
      </c>
      <c r="AQ104" s="476">
        <v>0</v>
      </c>
      <c r="AR104" s="476">
        <f t="shared" si="159"/>
        <v>0</v>
      </c>
      <c r="AS104" s="476">
        <f t="shared" si="160"/>
        <v>-0.17000000000000015</v>
      </c>
      <c r="AT104" s="478">
        <f t="shared" si="161"/>
        <v>-0.17000000000000015</v>
      </c>
      <c r="AU104" s="484">
        <f>I104+AI104</f>
        <v>2339223</v>
      </c>
      <c r="AV104" s="475">
        <f>J104+X104</f>
        <v>1711232</v>
      </c>
      <c r="AW104" s="475">
        <f>K104+AB104</f>
        <v>0</v>
      </c>
      <c r="AX104" s="475">
        <f t="shared" si="216"/>
        <v>578396</v>
      </c>
      <c r="AY104" s="475">
        <f t="shared" si="216"/>
        <v>34225</v>
      </c>
      <c r="AZ104" s="475">
        <f>N104+AH104</f>
        <v>15370</v>
      </c>
      <c r="BA104" s="476">
        <f>O104+AT104</f>
        <v>5.39</v>
      </c>
      <c r="BB104" s="476">
        <f t="shared" si="217"/>
        <v>0</v>
      </c>
      <c r="BC104" s="478">
        <f t="shared" si="217"/>
        <v>5.39</v>
      </c>
    </row>
    <row r="105" spans="1:55" s="102" customFormat="1" ht="14.1" customHeight="1" x14ac:dyDescent="0.2">
      <c r="A105" s="126">
        <v>15</v>
      </c>
      <c r="B105" s="103">
        <v>2438</v>
      </c>
      <c r="C105" s="104">
        <v>600079384</v>
      </c>
      <c r="D105" s="103">
        <v>72741911</v>
      </c>
      <c r="E105" s="103" t="s">
        <v>770</v>
      </c>
      <c r="F105" s="105"/>
      <c r="G105" s="106"/>
      <c r="H105" s="107"/>
      <c r="I105" s="505">
        <v>11806445</v>
      </c>
      <c r="J105" s="501">
        <v>8515866</v>
      </c>
      <c r="K105" s="501">
        <v>135000</v>
      </c>
      <c r="L105" s="501">
        <v>2923992</v>
      </c>
      <c r="M105" s="501">
        <v>170317</v>
      </c>
      <c r="N105" s="501">
        <v>61270</v>
      </c>
      <c r="O105" s="502">
        <v>20.8522</v>
      </c>
      <c r="P105" s="502">
        <v>12.66</v>
      </c>
      <c r="Q105" s="507">
        <v>8.1921999999999997</v>
      </c>
      <c r="R105" s="505">
        <f t="shared" ref="R105:BC105" si="218">SUM(R102:R104)</f>
        <v>0</v>
      </c>
      <c r="S105" s="501">
        <f t="shared" si="218"/>
        <v>86611</v>
      </c>
      <c r="T105" s="501">
        <f t="shared" si="218"/>
        <v>-53112</v>
      </c>
      <c r="U105" s="501">
        <f t="shared" si="218"/>
        <v>0</v>
      </c>
      <c r="V105" s="501">
        <f t="shared" si="218"/>
        <v>0</v>
      </c>
      <c r="W105" s="501">
        <f t="shared" si="218"/>
        <v>0</v>
      </c>
      <c r="X105" s="501">
        <f t="shared" si="218"/>
        <v>33499</v>
      </c>
      <c r="Y105" s="501">
        <f t="shared" si="218"/>
        <v>0</v>
      </c>
      <c r="Z105" s="501">
        <f t="shared" si="218"/>
        <v>0</v>
      </c>
      <c r="AA105" s="501">
        <f t="shared" si="218"/>
        <v>0</v>
      </c>
      <c r="AB105" s="501">
        <f t="shared" si="218"/>
        <v>0</v>
      </c>
      <c r="AC105" s="501">
        <f t="shared" si="218"/>
        <v>33499</v>
      </c>
      <c r="AD105" s="501">
        <f t="shared" si="218"/>
        <v>11323</v>
      </c>
      <c r="AE105" s="501">
        <f t="shared" si="218"/>
        <v>670</v>
      </c>
      <c r="AF105" s="501">
        <f t="shared" si="218"/>
        <v>2750</v>
      </c>
      <c r="AG105" s="501">
        <f t="shared" si="218"/>
        <v>0</v>
      </c>
      <c r="AH105" s="501">
        <f t="shared" si="218"/>
        <v>2750</v>
      </c>
      <c r="AI105" s="501">
        <f t="shared" si="218"/>
        <v>48242</v>
      </c>
      <c r="AJ105" s="502">
        <f t="shared" si="218"/>
        <v>0</v>
      </c>
      <c r="AK105" s="502">
        <f t="shared" si="218"/>
        <v>0</v>
      </c>
      <c r="AL105" s="502">
        <f t="shared" si="218"/>
        <v>0.25</v>
      </c>
      <c r="AM105" s="502">
        <f t="shared" si="218"/>
        <v>0</v>
      </c>
      <c r="AN105" s="502">
        <f>SUM(AN102:AN104)</f>
        <v>-0.17000000000000015</v>
      </c>
      <c r="AO105" s="502">
        <f t="shared" si="218"/>
        <v>0</v>
      </c>
      <c r="AP105" s="502">
        <f t="shared" si="218"/>
        <v>0</v>
      </c>
      <c r="AQ105" s="502">
        <f t="shared" si="218"/>
        <v>0</v>
      </c>
      <c r="AR105" s="502">
        <f t="shared" si="218"/>
        <v>0.25</v>
      </c>
      <c r="AS105" s="502">
        <f t="shared" si="218"/>
        <v>-0.17000000000000015</v>
      </c>
      <c r="AT105" s="109">
        <f t="shared" si="218"/>
        <v>7.9999999999999849E-2</v>
      </c>
      <c r="AU105" s="509">
        <f t="shared" si="218"/>
        <v>11854687</v>
      </c>
      <c r="AV105" s="501">
        <f t="shared" si="218"/>
        <v>8549365</v>
      </c>
      <c r="AW105" s="501">
        <f t="shared" si="218"/>
        <v>135000</v>
      </c>
      <c r="AX105" s="501">
        <f t="shared" si="218"/>
        <v>2935315</v>
      </c>
      <c r="AY105" s="501">
        <f t="shared" si="218"/>
        <v>170987</v>
      </c>
      <c r="AZ105" s="501">
        <f t="shared" si="218"/>
        <v>64020</v>
      </c>
      <c r="BA105" s="502">
        <f t="shared" si="218"/>
        <v>20.932199999999998</v>
      </c>
      <c r="BB105" s="502">
        <f t="shared" si="218"/>
        <v>12.91</v>
      </c>
      <c r="BC105" s="109">
        <f t="shared" si="218"/>
        <v>8.0221999999999998</v>
      </c>
    </row>
    <row r="106" spans="1:55" s="102" customFormat="1" ht="14.1" customHeight="1" x14ac:dyDescent="0.2">
      <c r="A106" s="125">
        <v>16</v>
      </c>
      <c r="B106" s="80">
        <v>2315</v>
      </c>
      <c r="C106" s="99">
        <v>600080447</v>
      </c>
      <c r="D106" s="80">
        <v>46744819</v>
      </c>
      <c r="E106" s="80" t="s">
        <v>771</v>
      </c>
      <c r="F106" s="100">
        <v>3233</v>
      </c>
      <c r="G106" s="80" t="s">
        <v>318</v>
      </c>
      <c r="H106" s="101" t="s">
        <v>278</v>
      </c>
      <c r="I106" s="477">
        <v>2455540</v>
      </c>
      <c r="J106" s="472">
        <v>1668373</v>
      </c>
      <c r="K106" s="472">
        <v>130000</v>
      </c>
      <c r="L106" s="472">
        <v>607850</v>
      </c>
      <c r="M106" s="472">
        <v>33367</v>
      </c>
      <c r="N106" s="472">
        <v>15950</v>
      </c>
      <c r="O106" s="473">
        <v>3.58</v>
      </c>
      <c r="P106" s="474">
        <v>2.56</v>
      </c>
      <c r="Q106" s="483">
        <v>1.0199999999999998</v>
      </c>
      <c r="R106" s="485">
        <f t="shared" ref="R106" si="219">Y106*-1</f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>SUM(R106:W106)</f>
        <v>0</v>
      </c>
      <c r="Y106" s="475">
        <v>0</v>
      </c>
      <c r="Z106" s="475">
        <v>0</v>
      </c>
      <c r="AA106" s="475">
        <v>0</v>
      </c>
      <c r="AB106" s="475">
        <f t="shared" ref="AB106" si="220">SUM(Y106:AA106)</f>
        <v>0</v>
      </c>
      <c r="AC106" s="475">
        <f t="shared" ref="AC106" si="221">X106+AB106</f>
        <v>0</v>
      </c>
      <c r="AD106" s="70">
        <f t="shared" ref="AD106" si="222">ROUND((X106+Y106+Z106)*33.8%,0)</f>
        <v>0</v>
      </c>
      <c r="AE106" s="70">
        <f t="shared" ref="AE106" si="223">ROUND(X106*2%,0)</f>
        <v>0</v>
      </c>
      <c r="AF106" s="475">
        <v>0</v>
      </c>
      <c r="AG106" s="475">
        <v>0</v>
      </c>
      <c r="AH106" s="475">
        <f t="shared" ref="AH106" si="224">SUM(AF106:AG106)</f>
        <v>0</v>
      </c>
      <c r="AI106" s="475">
        <f t="shared" ref="AI106" si="225">AC106+AD106+AE106+AH106</f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 t="shared" si="159"/>
        <v>0</v>
      </c>
      <c r="AS106" s="476">
        <f t="shared" si="160"/>
        <v>0</v>
      </c>
      <c r="AT106" s="478">
        <f t="shared" si="161"/>
        <v>0</v>
      </c>
      <c r="AU106" s="484">
        <f>I106+AI106</f>
        <v>2455540</v>
      </c>
      <c r="AV106" s="475">
        <f>J106+X106</f>
        <v>1668373</v>
      </c>
      <c r="AW106" s="475">
        <f>K106+AB106</f>
        <v>130000</v>
      </c>
      <c r="AX106" s="475">
        <f>L106+AD106</f>
        <v>607850</v>
      </c>
      <c r="AY106" s="475">
        <f>M106+AE106</f>
        <v>33367</v>
      </c>
      <c r="AZ106" s="475">
        <f>N106+AH106</f>
        <v>15950</v>
      </c>
      <c r="BA106" s="476">
        <f>O106+AT106</f>
        <v>3.58</v>
      </c>
      <c r="BB106" s="476">
        <f>P106+AR106</f>
        <v>2.56</v>
      </c>
      <c r="BC106" s="478">
        <f>Q106+AS106</f>
        <v>1.0199999999999998</v>
      </c>
    </row>
    <row r="107" spans="1:55" s="102" customFormat="1" ht="14.1" customHeight="1" x14ac:dyDescent="0.2">
      <c r="A107" s="126">
        <v>16</v>
      </c>
      <c r="B107" s="103">
        <v>2315</v>
      </c>
      <c r="C107" s="104">
        <v>600080447</v>
      </c>
      <c r="D107" s="103">
        <v>46744819</v>
      </c>
      <c r="E107" s="103" t="s">
        <v>772</v>
      </c>
      <c r="F107" s="105"/>
      <c r="G107" s="106"/>
      <c r="H107" s="107"/>
      <c r="I107" s="505">
        <v>2455540</v>
      </c>
      <c r="J107" s="501">
        <v>1668373</v>
      </c>
      <c r="K107" s="501">
        <v>130000</v>
      </c>
      <c r="L107" s="501">
        <v>607850</v>
      </c>
      <c r="M107" s="501">
        <v>33367</v>
      </c>
      <c r="N107" s="501">
        <v>15950</v>
      </c>
      <c r="O107" s="502">
        <v>3.58</v>
      </c>
      <c r="P107" s="502">
        <v>2.56</v>
      </c>
      <c r="Q107" s="507">
        <v>1.0199999999999998</v>
      </c>
      <c r="R107" s="505">
        <f t="shared" ref="R107:BC107" si="226">SUM(R106:R106)</f>
        <v>0</v>
      </c>
      <c r="S107" s="501">
        <f t="shared" si="226"/>
        <v>0</v>
      </c>
      <c r="T107" s="501">
        <f t="shared" si="226"/>
        <v>0</v>
      </c>
      <c r="U107" s="501">
        <f t="shared" si="226"/>
        <v>0</v>
      </c>
      <c r="V107" s="501">
        <f t="shared" si="226"/>
        <v>0</v>
      </c>
      <c r="W107" s="501">
        <f t="shared" si="226"/>
        <v>0</v>
      </c>
      <c r="X107" s="501">
        <f t="shared" si="226"/>
        <v>0</v>
      </c>
      <c r="Y107" s="501">
        <f t="shared" si="226"/>
        <v>0</v>
      </c>
      <c r="Z107" s="501">
        <f t="shared" si="226"/>
        <v>0</v>
      </c>
      <c r="AA107" s="501">
        <f t="shared" si="226"/>
        <v>0</v>
      </c>
      <c r="AB107" s="501">
        <f t="shared" si="226"/>
        <v>0</v>
      </c>
      <c r="AC107" s="501">
        <f t="shared" si="226"/>
        <v>0</v>
      </c>
      <c r="AD107" s="501">
        <f t="shared" si="226"/>
        <v>0</v>
      </c>
      <c r="AE107" s="501">
        <f t="shared" si="226"/>
        <v>0</v>
      </c>
      <c r="AF107" s="501">
        <f t="shared" si="226"/>
        <v>0</v>
      </c>
      <c r="AG107" s="501">
        <f t="shared" si="226"/>
        <v>0</v>
      </c>
      <c r="AH107" s="501">
        <f t="shared" si="226"/>
        <v>0</v>
      </c>
      <c r="AI107" s="501">
        <f t="shared" si="226"/>
        <v>0</v>
      </c>
      <c r="AJ107" s="502">
        <f t="shared" si="226"/>
        <v>0</v>
      </c>
      <c r="AK107" s="502">
        <f t="shared" si="226"/>
        <v>0</v>
      </c>
      <c r="AL107" s="502">
        <f t="shared" si="226"/>
        <v>0</v>
      </c>
      <c r="AM107" s="502">
        <f t="shared" si="226"/>
        <v>0</v>
      </c>
      <c r="AN107" s="502">
        <f t="shared" si="226"/>
        <v>0</v>
      </c>
      <c r="AO107" s="502">
        <f t="shared" si="226"/>
        <v>0</v>
      </c>
      <c r="AP107" s="502">
        <f t="shared" si="226"/>
        <v>0</v>
      </c>
      <c r="AQ107" s="502">
        <f t="shared" si="226"/>
        <v>0</v>
      </c>
      <c r="AR107" s="502">
        <f t="shared" si="226"/>
        <v>0</v>
      </c>
      <c r="AS107" s="502">
        <f t="shared" si="226"/>
        <v>0</v>
      </c>
      <c r="AT107" s="109">
        <f t="shared" si="226"/>
        <v>0</v>
      </c>
      <c r="AU107" s="509">
        <f t="shared" si="226"/>
        <v>2455540</v>
      </c>
      <c r="AV107" s="501">
        <f t="shared" si="226"/>
        <v>1668373</v>
      </c>
      <c r="AW107" s="501">
        <f t="shared" si="226"/>
        <v>130000</v>
      </c>
      <c r="AX107" s="501">
        <f t="shared" si="226"/>
        <v>607850</v>
      </c>
      <c r="AY107" s="501">
        <f t="shared" si="226"/>
        <v>33367</v>
      </c>
      <c r="AZ107" s="501">
        <f t="shared" si="226"/>
        <v>15950</v>
      </c>
      <c r="BA107" s="502">
        <f t="shared" si="226"/>
        <v>3.58</v>
      </c>
      <c r="BB107" s="502">
        <f t="shared" si="226"/>
        <v>2.56</v>
      </c>
      <c r="BC107" s="109">
        <f t="shared" si="226"/>
        <v>1.0199999999999998</v>
      </c>
    </row>
    <row r="108" spans="1:55" s="102" customFormat="1" ht="14.1" customHeight="1" x14ac:dyDescent="0.2">
      <c r="A108" s="125">
        <v>17</v>
      </c>
      <c r="B108" s="80">
        <v>2494</v>
      </c>
      <c r="C108" s="99">
        <v>600080315</v>
      </c>
      <c r="D108" s="80">
        <v>72741996</v>
      </c>
      <c r="E108" s="80" t="s">
        <v>773</v>
      </c>
      <c r="F108" s="100">
        <v>3113</v>
      </c>
      <c r="G108" s="80" t="s">
        <v>314</v>
      </c>
      <c r="H108" s="101" t="s">
        <v>277</v>
      </c>
      <c r="I108" s="477">
        <v>25574683</v>
      </c>
      <c r="J108" s="631">
        <v>18459789</v>
      </c>
      <c r="K108" s="631">
        <v>0</v>
      </c>
      <c r="L108" s="472">
        <v>6239408</v>
      </c>
      <c r="M108" s="472">
        <v>369196</v>
      </c>
      <c r="N108" s="631">
        <v>506290</v>
      </c>
      <c r="O108" s="473">
        <v>35.203600000000002</v>
      </c>
      <c r="P108" s="474">
        <v>26.894200000000001</v>
      </c>
      <c r="Q108" s="670">
        <v>8.3094000000000001</v>
      </c>
      <c r="R108" s="485">
        <f t="shared" ref="R108:R112" si="227">Y108*-1</f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ref="X108:X112" si="228">SUM(R108:W108)</f>
        <v>0</v>
      </c>
      <c r="Y108" s="475">
        <v>0</v>
      </c>
      <c r="Z108" s="475">
        <v>0</v>
      </c>
      <c r="AA108" s="475">
        <v>0</v>
      </c>
      <c r="AB108" s="475">
        <f t="shared" ref="AB108:AB112" si="229">SUM(Y108:AA108)</f>
        <v>0</v>
      </c>
      <c r="AC108" s="475">
        <f t="shared" ref="AC108:AC112" si="230">X108+AB108</f>
        <v>0</v>
      </c>
      <c r="AD108" s="70">
        <f t="shared" ref="AD108:AD112" si="231">ROUND((X108+Y108+Z108)*33.8%,0)</f>
        <v>0</v>
      </c>
      <c r="AE108" s="70">
        <f t="shared" ref="AE108:AE112" si="232">ROUND(X108*2%,0)</f>
        <v>0</v>
      </c>
      <c r="AF108" s="475">
        <v>0</v>
      </c>
      <c r="AG108" s="475">
        <v>0</v>
      </c>
      <c r="AH108" s="475">
        <f t="shared" ref="AH108:AH112" si="233">SUM(AF108:AG108)</f>
        <v>0</v>
      </c>
      <c r="AI108" s="475">
        <f t="shared" ref="AI108:AI112" si="234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si="159"/>
        <v>0</v>
      </c>
      <c r="AS108" s="476">
        <f t="shared" si="160"/>
        <v>0</v>
      </c>
      <c r="AT108" s="478">
        <f t="shared" si="161"/>
        <v>0</v>
      </c>
      <c r="AU108" s="484">
        <f>I108+AI108</f>
        <v>25574683</v>
      </c>
      <c r="AV108" s="475">
        <f>J108+X108</f>
        <v>18459789</v>
      </c>
      <c r="AW108" s="475">
        <f>K108+AB108</f>
        <v>0</v>
      </c>
      <c r="AX108" s="475">
        <f t="shared" ref="AX108:AY112" si="235">L108+AD108</f>
        <v>6239408</v>
      </c>
      <c r="AY108" s="475">
        <f t="shared" si="235"/>
        <v>369196</v>
      </c>
      <c r="AZ108" s="475">
        <f>N108+AH108</f>
        <v>506290</v>
      </c>
      <c r="BA108" s="476">
        <f>O108+AT108</f>
        <v>35.203600000000002</v>
      </c>
      <c r="BB108" s="476">
        <f t="shared" ref="BB108:BC112" si="236">P108+AR108</f>
        <v>26.894200000000001</v>
      </c>
      <c r="BC108" s="478">
        <f t="shared" si="236"/>
        <v>8.3094000000000001</v>
      </c>
    </row>
    <row r="109" spans="1:55" s="102" customFormat="1" ht="14.1" customHeight="1" x14ac:dyDescent="0.2">
      <c r="A109" s="125">
        <v>17</v>
      </c>
      <c r="B109" s="80">
        <v>2494</v>
      </c>
      <c r="C109" s="99">
        <v>600080315</v>
      </c>
      <c r="D109" s="80">
        <v>72741996</v>
      </c>
      <c r="E109" s="80" t="s">
        <v>773</v>
      </c>
      <c r="F109" s="100">
        <v>3113</v>
      </c>
      <c r="G109" s="44" t="s">
        <v>313</v>
      </c>
      <c r="H109" s="101" t="s">
        <v>277</v>
      </c>
      <c r="I109" s="477">
        <v>834642</v>
      </c>
      <c r="J109" s="631">
        <v>614611</v>
      </c>
      <c r="K109" s="631">
        <v>0</v>
      </c>
      <c r="L109" s="472">
        <v>207739</v>
      </c>
      <c r="M109" s="472">
        <v>12292</v>
      </c>
      <c r="N109" s="472">
        <v>0</v>
      </c>
      <c r="O109" s="473">
        <v>1.5277000000000001</v>
      </c>
      <c r="P109" s="474">
        <v>1.5277000000000001</v>
      </c>
      <c r="Q109" s="670">
        <v>0</v>
      </c>
      <c r="R109" s="485">
        <f t="shared" si="227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28"/>
        <v>0</v>
      </c>
      <c r="Y109" s="475">
        <v>0</v>
      </c>
      <c r="Z109" s="475">
        <v>0</v>
      </c>
      <c r="AA109" s="475">
        <v>0</v>
      </c>
      <c r="AB109" s="475">
        <f t="shared" si="229"/>
        <v>0</v>
      </c>
      <c r="AC109" s="475">
        <f t="shared" si="230"/>
        <v>0</v>
      </c>
      <c r="AD109" s="70">
        <f t="shared" si="231"/>
        <v>0</v>
      </c>
      <c r="AE109" s="70">
        <f t="shared" si="232"/>
        <v>0</v>
      </c>
      <c r="AF109" s="475">
        <v>0</v>
      </c>
      <c r="AG109" s="475">
        <v>0</v>
      </c>
      <c r="AH109" s="475">
        <f t="shared" si="233"/>
        <v>0</v>
      </c>
      <c r="AI109" s="475">
        <f t="shared" si="234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 t="shared" si="159"/>
        <v>0</v>
      </c>
      <c r="AS109" s="476">
        <f t="shared" si="160"/>
        <v>0</v>
      </c>
      <c r="AT109" s="478">
        <f t="shared" si="161"/>
        <v>0</v>
      </c>
      <c r="AU109" s="484">
        <f>I109+AI109</f>
        <v>834642</v>
      </c>
      <c r="AV109" s="475">
        <f>J109+X109</f>
        <v>614611</v>
      </c>
      <c r="AW109" s="475">
        <f>K109+AB109</f>
        <v>0</v>
      </c>
      <c r="AX109" s="475">
        <f t="shared" si="235"/>
        <v>207739</v>
      </c>
      <c r="AY109" s="475">
        <f t="shared" si="235"/>
        <v>12292</v>
      </c>
      <c r="AZ109" s="475">
        <f>N109+AH109</f>
        <v>0</v>
      </c>
      <c r="BA109" s="476">
        <f>O109+AT109</f>
        <v>1.5277000000000001</v>
      </c>
      <c r="BB109" s="476">
        <f t="shared" si="236"/>
        <v>1.5277000000000001</v>
      </c>
      <c r="BC109" s="478">
        <f t="shared" si="236"/>
        <v>0</v>
      </c>
    </row>
    <row r="110" spans="1:55" s="102" customFormat="1" ht="14.1" customHeight="1" x14ac:dyDescent="0.2">
      <c r="A110" s="125">
        <v>17</v>
      </c>
      <c r="B110" s="108">
        <v>2494</v>
      </c>
      <c r="C110" s="99">
        <v>600080315</v>
      </c>
      <c r="D110" s="80">
        <v>72741996</v>
      </c>
      <c r="E110" s="108" t="s">
        <v>773</v>
      </c>
      <c r="F110" s="100">
        <v>3113</v>
      </c>
      <c r="G110" s="80" t="s">
        <v>312</v>
      </c>
      <c r="H110" s="101" t="s">
        <v>278</v>
      </c>
      <c r="I110" s="477">
        <v>3188987</v>
      </c>
      <c r="J110" s="472">
        <v>2347376</v>
      </c>
      <c r="K110" s="472">
        <v>0</v>
      </c>
      <c r="L110" s="472">
        <v>793413</v>
      </c>
      <c r="M110" s="472">
        <v>46948</v>
      </c>
      <c r="N110" s="472">
        <v>1250</v>
      </c>
      <c r="O110" s="473">
        <v>6.6999999999999993</v>
      </c>
      <c r="P110" s="474">
        <v>6.6999999999999993</v>
      </c>
      <c r="Q110" s="483">
        <v>0</v>
      </c>
      <c r="R110" s="485">
        <f t="shared" si="227"/>
        <v>0</v>
      </c>
      <c r="S110" s="475">
        <v>-45406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28"/>
        <v>-45406</v>
      </c>
      <c r="Y110" s="475">
        <v>0</v>
      </c>
      <c r="Z110" s="475">
        <v>0</v>
      </c>
      <c r="AA110" s="475">
        <v>0</v>
      </c>
      <c r="AB110" s="475">
        <f t="shared" si="229"/>
        <v>0</v>
      </c>
      <c r="AC110" s="475">
        <f t="shared" si="230"/>
        <v>-45406</v>
      </c>
      <c r="AD110" s="70">
        <f t="shared" si="231"/>
        <v>-15347</v>
      </c>
      <c r="AE110" s="70">
        <f t="shared" si="232"/>
        <v>-908</v>
      </c>
      <c r="AF110" s="475">
        <v>3000</v>
      </c>
      <c r="AG110" s="475">
        <v>0</v>
      </c>
      <c r="AH110" s="475">
        <f t="shared" si="233"/>
        <v>3000</v>
      </c>
      <c r="AI110" s="475">
        <f t="shared" si="234"/>
        <v>-58661</v>
      </c>
      <c r="AJ110" s="476">
        <v>0</v>
      </c>
      <c r="AK110" s="476">
        <v>0</v>
      </c>
      <c r="AL110" s="476">
        <v>-0.12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 t="shared" si="159"/>
        <v>-0.12</v>
      </c>
      <c r="AS110" s="476">
        <f t="shared" si="160"/>
        <v>0</v>
      </c>
      <c r="AT110" s="478">
        <f t="shared" si="161"/>
        <v>-0.12</v>
      </c>
      <c r="AU110" s="484">
        <f>I110+AI110</f>
        <v>3130326</v>
      </c>
      <c r="AV110" s="475">
        <f>J110+X110</f>
        <v>2301970</v>
      </c>
      <c r="AW110" s="475">
        <f>K110+AB110</f>
        <v>0</v>
      </c>
      <c r="AX110" s="475">
        <f t="shared" si="235"/>
        <v>778066</v>
      </c>
      <c r="AY110" s="475">
        <f t="shared" si="235"/>
        <v>46040</v>
      </c>
      <c r="AZ110" s="475">
        <f>N110+AH110</f>
        <v>4250</v>
      </c>
      <c r="BA110" s="476">
        <f>O110+AT110</f>
        <v>6.5799999999999992</v>
      </c>
      <c r="BB110" s="476">
        <f t="shared" si="236"/>
        <v>6.5799999999999992</v>
      </c>
      <c r="BC110" s="478">
        <f t="shared" si="236"/>
        <v>0</v>
      </c>
    </row>
    <row r="111" spans="1:55" s="102" customFormat="1" ht="14.1" customHeight="1" x14ac:dyDescent="0.2">
      <c r="A111" s="125">
        <v>17</v>
      </c>
      <c r="B111" s="80">
        <v>2494</v>
      </c>
      <c r="C111" s="99">
        <v>600080315</v>
      </c>
      <c r="D111" s="80">
        <v>72741996</v>
      </c>
      <c r="E111" s="80" t="s">
        <v>773</v>
      </c>
      <c r="F111" s="100">
        <v>3143</v>
      </c>
      <c r="G111" s="80" t="s">
        <v>626</v>
      </c>
      <c r="H111" s="101" t="s">
        <v>277</v>
      </c>
      <c r="I111" s="477">
        <v>1486937</v>
      </c>
      <c r="J111" s="632">
        <v>1094946</v>
      </c>
      <c r="K111" s="632">
        <v>0</v>
      </c>
      <c r="L111" s="472">
        <v>370092</v>
      </c>
      <c r="M111" s="472">
        <v>21899</v>
      </c>
      <c r="N111" s="472">
        <v>0</v>
      </c>
      <c r="O111" s="473">
        <v>2.286</v>
      </c>
      <c r="P111" s="13">
        <v>2.286</v>
      </c>
      <c r="Q111" s="483">
        <v>0</v>
      </c>
      <c r="R111" s="485">
        <f t="shared" si="227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28"/>
        <v>0</v>
      </c>
      <c r="Y111" s="475">
        <v>0</v>
      </c>
      <c r="Z111" s="475">
        <v>0</v>
      </c>
      <c r="AA111" s="475">
        <v>0</v>
      </c>
      <c r="AB111" s="475">
        <f t="shared" si="229"/>
        <v>0</v>
      </c>
      <c r="AC111" s="475">
        <f t="shared" si="230"/>
        <v>0</v>
      </c>
      <c r="AD111" s="70">
        <f t="shared" si="231"/>
        <v>0</v>
      </c>
      <c r="AE111" s="70">
        <f t="shared" si="232"/>
        <v>0</v>
      </c>
      <c r="AF111" s="475">
        <v>0</v>
      </c>
      <c r="AG111" s="475">
        <v>0</v>
      </c>
      <c r="AH111" s="475">
        <f t="shared" si="233"/>
        <v>0</v>
      </c>
      <c r="AI111" s="475">
        <f t="shared" si="234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 t="shared" si="159"/>
        <v>0</v>
      </c>
      <c r="AS111" s="476">
        <f t="shared" si="160"/>
        <v>0</v>
      </c>
      <c r="AT111" s="478">
        <f t="shared" si="161"/>
        <v>0</v>
      </c>
      <c r="AU111" s="484">
        <f>I111+AI111</f>
        <v>1486937</v>
      </c>
      <c r="AV111" s="475">
        <f>J111+X111</f>
        <v>1094946</v>
      </c>
      <c r="AW111" s="475">
        <f>K111+AB111</f>
        <v>0</v>
      </c>
      <c r="AX111" s="475">
        <f t="shared" si="235"/>
        <v>370092</v>
      </c>
      <c r="AY111" s="475">
        <f t="shared" si="235"/>
        <v>21899</v>
      </c>
      <c r="AZ111" s="475">
        <f>N111+AH111</f>
        <v>0</v>
      </c>
      <c r="BA111" s="476">
        <f>O111+AT111</f>
        <v>2.286</v>
      </c>
      <c r="BB111" s="476">
        <f t="shared" si="236"/>
        <v>2.286</v>
      </c>
      <c r="BC111" s="478">
        <f t="shared" si="236"/>
        <v>0</v>
      </c>
    </row>
    <row r="112" spans="1:55" s="102" customFormat="1" ht="14.1" customHeight="1" x14ac:dyDescent="0.2">
      <c r="A112" s="125">
        <v>17</v>
      </c>
      <c r="B112" s="80">
        <v>2494</v>
      </c>
      <c r="C112" s="99">
        <v>600080315</v>
      </c>
      <c r="D112" s="80">
        <v>72741996</v>
      </c>
      <c r="E112" s="80" t="s">
        <v>773</v>
      </c>
      <c r="F112" s="100">
        <v>3143</v>
      </c>
      <c r="G112" s="80" t="s">
        <v>627</v>
      </c>
      <c r="H112" s="101" t="s">
        <v>278</v>
      </c>
      <c r="I112" s="477">
        <v>49141</v>
      </c>
      <c r="J112" s="631">
        <v>34750</v>
      </c>
      <c r="K112" s="631">
        <v>0</v>
      </c>
      <c r="L112" s="472">
        <v>11746</v>
      </c>
      <c r="M112" s="472">
        <v>695</v>
      </c>
      <c r="N112" s="631">
        <v>1950</v>
      </c>
      <c r="O112" s="473">
        <v>0.14000000000000001</v>
      </c>
      <c r="P112" s="474">
        <v>0</v>
      </c>
      <c r="Q112" s="670">
        <v>0.14000000000000001</v>
      </c>
      <c r="R112" s="485">
        <f t="shared" si="227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28"/>
        <v>0</v>
      </c>
      <c r="Y112" s="475">
        <v>0</v>
      </c>
      <c r="Z112" s="475">
        <v>0</v>
      </c>
      <c r="AA112" s="475">
        <v>0</v>
      </c>
      <c r="AB112" s="475">
        <f t="shared" si="229"/>
        <v>0</v>
      </c>
      <c r="AC112" s="475">
        <f t="shared" si="230"/>
        <v>0</v>
      </c>
      <c r="AD112" s="70">
        <f t="shared" si="231"/>
        <v>0</v>
      </c>
      <c r="AE112" s="70">
        <f t="shared" si="232"/>
        <v>0</v>
      </c>
      <c r="AF112" s="475">
        <v>0</v>
      </c>
      <c r="AG112" s="475">
        <v>0</v>
      </c>
      <c r="AH112" s="475">
        <f t="shared" si="233"/>
        <v>0</v>
      </c>
      <c r="AI112" s="475">
        <f t="shared" si="234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159"/>
        <v>0</v>
      </c>
      <c r="AS112" s="476">
        <f t="shared" si="160"/>
        <v>0</v>
      </c>
      <c r="AT112" s="478">
        <f t="shared" si="161"/>
        <v>0</v>
      </c>
      <c r="AU112" s="484">
        <f>I112+AI112</f>
        <v>49141</v>
      </c>
      <c r="AV112" s="475">
        <f>J112+X112</f>
        <v>34750</v>
      </c>
      <c r="AW112" s="475">
        <f>K112+AB112</f>
        <v>0</v>
      </c>
      <c r="AX112" s="475">
        <f t="shared" si="235"/>
        <v>11746</v>
      </c>
      <c r="AY112" s="475">
        <f t="shared" si="235"/>
        <v>695</v>
      </c>
      <c r="AZ112" s="475">
        <f>N112+AH112</f>
        <v>1950</v>
      </c>
      <c r="BA112" s="476">
        <f>O112+AT112</f>
        <v>0.14000000000000001</v>
      </c>
      <c r="BB112" s="476">
        <f t="shared" si="236"/>
        <v>0</v>
      </c>
      <c r="BC112" s="478">
        <f t="shared" si="236"/>
        <v>0.14000000000000001</v>
      </c>
    </row>
    <row r="113" spans="1:55" s="102" customFormat="1" ht="14.1" customHeight="1" x14ac:dyDescent="0.2">
      <c r="A113" s="126">
        <v>17</v>
      </c>
      <c r="B113" s="103">
        <v>2494</v>
      </c>
      <c r="C113" s="104">
        <v>600080315</v>
      </c>
      <c r="D113" s="103">
        <v>72741996</v>
      </c>
      <c r="E113" s="103" t="s">
        <v>774</v>
      </c>
      <c r="F113" s="105"/>
      <c r="G113" s="106"/>
      <c r="H113" s="107"/>
      <c r="I113" s="505">
        <v>31134390</v>
      </c>
      <c r="J113" s="501">
        <v>22551472</v>
      </c>
      <c r="K113" s="501">
        <v>0</v>
      </c>
      <c r="L113" s="501">
        <v>7622398</v>
      </c>
      <c r="M113" s="501">
        <v>451030</v>
      </c>
      <c r="N113" s="501">
        <v>509490</v>
      </c>
      <c r="O113" s="502">
        <v>45.857300000000009</v>
      </c>
      <c r="P113" s="502">
        <v>37.407899999999998</v>
      </c>
      <c r="Q113" s="507">
        <v>8.4494000000000007</v>
      </c>
      <c r="R113" s="505">
        <f t="shared" ref="R113:BC113" si="237">SUM(R108:R112)</f>
        <v>0</v>
      </c>
      <c r="S113" s="501">
        <f t="shared" si="237"/>
        <v>-45406</v>
      </c>
      <c r="T113" s="501">
        <f t="shared" si="237"/>
        <v>0</v>
      </c>
      <c r="U113" s="501">
        <f t="shared" si="237"/>
        <v>0</v>
      </c>
      <c r="V113" s="501">
        <f t="shared" si="237"/>
        <v>0</v>
      </c>
      <c r="W113" s="501">
        <f t="shared" si="237"/>
        <v>0</v>
      </c>
      <c r="X113" s="501">
        <f t="shared" si="237"/>
        <v>-45406</v>
      </c>
      <c r="Y113" s="501">
        <f t="shared" si="237"/>
        <v>0</v>
      </c>
      <c r="Z113" s="501">
        <f t="shared" si="237"/>
        <v>0</v>
      </c>
      <c r="AA113" s="501">
        <f t="shared" si="237"/>
        <v>0</v>
      </c>
      <c r="AB113" s="501">
        <f t="shared" si="237"/>
        <v>0</v>
      </c>
      <c r="AC113" s="501">
        <f t="shared" si="237"/>
        <v>-45406</v>
      </c>
      <c r="AD113" s="501">
        <f t="shared" si="237"/>
        <v>-15347</v>
      </c>
      <c r="AE113" s="501">
        <f t="shared" si="237"/>
        <v>-908</v>
      </c>
      <c r="AF113" s="501">
        <f t="shared" si="237"/>
        <v>3000</v>
      </c>
      <c r="AG113" s="501">
        <f t="shared" si="237"/>
        <v>0</v>
      </c>
      <c r="AH113" s="501">
        <f t="shared" si="237"/>
        <v>3000</v>
      </c>
      <c r="AI113" s="501">
        <f t="shared" si="237"/>
        <v>-58661</v>
      </c>
      <c r="AJ113" s="502">
        <f t="shared" si="237"/>
        <v>0</v>
      </c>
      <c r="AK113" s="502">
        <f t="shared" si="237"/>
        <v>0</v>
      </c>
      <c r="AL113" s="502">
        <f t="shared" si="237"/>
        <v>-0.12</v>
      </c>
      <c r="AM113" s="502">
        <f t="shared" si="237"/>
        <v>0</v>
      </c>
      <c r="AN113" s="502">
        <f t="shared" si="237"/>
        <v>0</v>
      </c>
      <c r="AO113" s="502">
        <f t="shared" si="237"/>
        <v>0</v>
      </c>
      <c r="AP113" s="502">
        <f t="shared" si="237"/>
        <v>0</v>
      </c>
      <c r="AQ113" s="502">
        <f t="shared" si="237"/>
        <v>0</v>
      </c>
      <c r="AR113" s="502">
        <f t="shared" si="237"/>
        <v>-0.12</v>
      </c>
      <c r="AS113" s="502">
        <f t="shared" si="237"/>
        <v>0</v>
      </c>
      <c r="AT113" s="109">
        <f t="shared" si="237"/>
        <v>-0.12</v>
      </c>
      <c r="AU113" s="509">
        <f t="shared" si="237"/>
        <v>31075729</v>
      </c>
      <c r="AV113" s="501">
        <f t="shared" si="237"/>
        <v>22506066</v>
      </c>
      <c r="AW113" s="501">
        <f t="shared" si="237"/>
        <v>0</v>
      </c>
      <c r="AX113" s="501">
        <f t="shared" si="237"/>
        <v>7607051</v>
      </c>
      <c r="AY113" s="501">
        <f t="shared" si="237"/>
        <v>450122</v>
      </c>
      <c r="AZ113" s="501">
        <f t="shared" si="237"/>
        <v>512490</v>
      </c>
      <c r="BA113" s="502">
        <f t="shared" si="237"/>
        <v>45.737300000000005</v>
      </c>
      <c r="BB113" s="502">
        <f t="shared" si="237"/>
        <v>37.2879</v>
      </c>
      <c r="BC113" s="109">
        <f t="shared" si="237"/>
        <v>8.4494000000000007</v>
      </c>
    </row>
    <row r="114" spans="1:55" s="102" customFormat="1" ht="14.1" customHeight="1" x14ac:dyDescent="0.2">
      <c r="A114" s="125">
        <v>18</v>
      </c>
      <c r="B114" s="80">
        <v>2301</v>
      </c>
      <c r="C114" s="99">
        <v>600080226</v>
      </c>
      <c r="D114" s="80">
        <v>72741830</v>
      </c>
      <c r="E114" s="80" t="s">
        <v>775</v>
      </c>
      <c r="F114" s="100">
        <v>3231</v>
      </c>
      <c r="G114" s="80" t="s">
        <v>316</v>
      </c>
      <c r="H114" s="101" t="s">
        <v>277</v>
      </c>
      <c r="I114" s="477">
        <v>4345916</v>
      </c>
      <c r="J114" s="472">
        <v>3189404</v>
      </c>
      <c r="K114" s="472">
        <v>0</v>
      </c>
      <c r="L114" s="472">
        <v>1078019</v>
      </c>
      <c r="M114" s="472">
        <v>63788</v>
      </c>
      <c r="N114" s="472">
        <v>14705</v>
      </c>
      <c r="O114" s="473">
        <v>5.9354000000000005</v>
      </c>
      <c r="P114" s="474">
        <v>5.2441000000000004</v>
      </c>
      <c r="Q114" s="483">
        <v>0.69130000000000003</v>
      </c>
      <c r="R114" s="485">
        <f t="shared" ref="R114" si="238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>SUM(R114:W114)</f>
        <v>0</v>
      </c>
      <c r="Y114" s="475">
        <v>0</v>
      </c>
      <c r="Z114" s="475">
        <v>0</v>
      </c>
      <c r="AA114" s="475">
        <v>0</v>
      </c>
      <c r="AB114" s="475">
        <f t="shared" ref="AB114" si="239">SUM(Y114:AA114)</f>
        <v>0</v>
      </c>
      <c r="AC114" s="475">
        <f t="shared" ref="AC114" si="240">X114+AB114</f>
        <v>0</v>
      </c>
      <c r="AD114" s="70">
        <f t="shared" ref="AD114" si="241">ROUND((X114+Y114+Z114)*33.8%,0)</f>
        <v>0</v>
      </c>
      <c r="AE114" s="70">
        <f t="shared" ref="AE114" si="242">ROUND(X114*2%,0)</f>
        <v>0</v>
      </c>
      <c r="AF114" s="475">
        <v>0</v>
      </c>
      <c r="AG114" s="475">
        <v>0</v>
      </c>
      <c r="AH114" s="475">
        <f t="shared" ref="AH114" si="243">SUM(AF114:AG114)</f>
        <v>0</v>
      </c>
      <c r="AI114" s="475">
        <f t="shared" ref="AI114" si="244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 t="shared" si="159"/>
        <v>0</v>
      </c>
      <c r="AS114" s="476">
        <f t="shared" si="160"/>
        <v>0</v>
      </c>
      <c r="AT114" s="478">
        <f t="shared" si="161"/>
        <v>0</v>
      </c>
      <c r="AU114" s="484">
        <f>I114+AI114</f>
        <v>4345916</v>
      </c>
      <c r="AV114" s="475">
        <f>J114+X114</f>
        <v>3189404</v>
      </c>
      <c r="AW114" s="475">
        <f>K114+AB114</f>
        <v>0</v>
      </c>
      <c r="AX114" s="475">
        <f>L114+AD114</f>
        <v>1078019</v>
      </c>
      <c r="AY114" s="475">
        <f>M114+AE114</f>
        <v>63788</v>
      </c>
      <c r="AZ114" s="475">
        <f>N114+AH114</f>
        <v>14705</v>
      </c>
      <c r="BA114" s="476">
        <f>O114+AT114</f>
        <v>5.9354000000000005</v>
      </c>
      <c r="BB114" s="476">
        <f>P114+AR114</f>
        <v>5.2441000000000004</v>
      </c>
      <c r="BC114" s="478">
        <f>Q114+AS114</f>
        <v>0.69130000000000003</v>
      </c>
    </row>
    <row r="115" spans="1:55" s="102" customFormat="1" ht="14.1" customHeight="1" x14ac:dyDescent="0.2">
      <c r="A115" s="126">
        <v>18</v>
      </c>
      <c r="B115" s="103">
        <v>2301</v>
      </c>
      <c r="C115" s="104">
        <v>600080226</v>
      </c>
      <c r="D115" s="103">
        <v>72741830</v>
      </c>
      <c r="E115" s="103" t="s">
        <v>776</v>
      </c>
      <c r="F115" s="105"/>
      <c r="G115" s="106"/>
      <c r="H115" s="107"/>
      <c r="I115" s="506">
        <v>4345916</v>
      </c>
      <c r="J115" s="503">
        <v>3189404</v>
      </c>
      <c r="K115" s="503">
        <v>0</v>
      </c>
      <c r="L115" s="503">
        <v>1078019</v>
      </c>
      <c r="M115" s="503">
        <v>63788</v>
      </c>
      <c r="N115" s="503">
        <v>14705</v>
      </c>
      <c r="O115" s="504">
        <v>5.9354000000000005</v>
      </c>
      <c r="P115" s="504">
        <v>5.2441000000000004</v>
      </c>
      <c r="Q115" s="508">
        <v>0.69130000000000003</v>
      </c>
      <c r="R115" s="506">
        <f t="shared" ref="R115:BC115" si="245">SUM(R114)</f>
        <v>0</v>
      </c>
      <c r="S115" s="503">
        <f t="shared" si="245"/>
        <v>0</v>
      </c>
      <c r="T115" s="503">
        <f t="shared" si="245"/>
        <v>0</v>
      </c>
      <c r="U115" s="503">
        <f t="shared" si="245"/>
        <v>0</v>
      </c>
      <c r="V115" s="503">
        <f t="shared" si="245"/>
        <v>0</v>
      </c>
      <c r="W115" s="503">
        <f t="shared" si="245"/>
        <v>0</v>
      </c>
      <c r="X115" s="503">
        <f t="shared" si="245"/>
        <v>0</v>
      </c>
      <c r="Y115" s="503">
        <f t="shared" si="245"/>
        <v>0</v>
      </c>
      <c r="Z115" s="503">
        <f t="shared" si="245"/>
        <v>0</v>
      </c>
      <c r="AA115" s="503">
        <f t="shared" si="245"/>
        <v>0</v>
      </c>
      <c r="AB115" s="503">
        <f t="shared" si="245"/>
        <v>0</v>
      </c>
      <c r="AC115" s="503">
        <f t="shared" si="245"/>
        <v>0</v>
      </c>
      <c r="AD115" s="503">
        <f t="shared" si="245"/>
        <v>0</v>
      </c>
      <c r="AE115" s="503">
        <f t="shared" si="245"/>
        <v>0</v>
      </c>
      <c r="AF115" s="503">
        <f t="shared" si="245"/>
        <v>0</v>
      </c>
      <c r="AG115" s="503">
        <f t="shared" si="245"/>
        <v>0</v>
      </c>
      <c r="AH115" s="503">
        <f t="shared" si="245"/>
        <v>0</v>
      </c>
      <c r="AI115" s="503">
        <f t="shared" si="245"/>
        <v>0</v>
      </c>
      <c r="AJ115" s="504">
        <f t="shared" si="245"/>
        <v>0</v>
      </c>
      <c r="AK115" s="504">
        <f t="shared" si="245"/>
        <v>0</v>
      </c>
      <c r="AL115" s="504">
        <f t="shared" si="245"/>
        <v>0</v>
      </c>
      <c r="AM115" s="504">
        <f t="shared" si="245"/>
        <v>0</v>
      </c>
      <c r="AN115" s="504">
        <f t="shared" si="245"/>
        <v>0</v>
      </c>
      <c r="AO115" s="504">
        <f t="shared" si="245"/>
        <v>0</v>
      </c>
      <c r="AP115" s="504">
        <f t="shared" si="245"/>
        <v>0</v>
      </c>
      <c r="AQ115" s="504">
        <f t="shared" si="245"/>
        <v>0</v>
      </c>
      <c r="AR115" s="504">
        <f t="shared" si="245"/>
        <v>0</v>
      </c>
      <c r="AS115" s="504">
        <f t="shared" si="245"/>
        <v>0</v>
      </c>
      <c r="AT115" s="113">
        <f t="shared" si="245"/>
        <v>0</v>
      </c>
      <c r="AU115" s="510">
        <f t="shared" si="245"/>
        <v>4345916</v>
      </c>
      <c r="AV115" s="503">
        <f t="shared" si="245"/>
        <v>3189404</v>
      </c>
      <c r="AW115" s="503">
        <f t="shared" si="245"/>
        <v>0</v>
      </c>
      <c r="AX115" s="503">
        <f t="shared" si="245"/>
        <v>1078019</v>
      </c>
      <c r="AY115" s="503">
        <f t="shared" si="245"/>
        <v>63788</v>
      </c>
      <c r="AZ115" s="503">
        <f t="shared" si="245"/>
        <v>14705</v>
      </c>
      <c r="BA115" s="504">
        <f t="shared" si="245"/>
        <v>5.9354000000000005</v>
      </c>
      <c r="BB115" s="504">
        <f t="shared" si="245"/>
        <v>5.2441000000000004</v>
      </c>
      <c r="BC115" s="113">
        <f t="shared" si="245"/>
        <v>0.69130000000000003</v>
      </c>
    </row>
    <row r="116" spans="1:55" s="102" customFormat="1" ht="14.1" customHeight="1" x14ac:dyDescent="0.2">
      <c r="A116" s="125">
        <v>19</v>
      </c>
      <c r="B116" s="108">
        <v>2497</v>
      </c>
      <c r="C116" s="99">
        <v>600080064</v>
      </c>
      <c r="D116" s="80">
        <v>72744189</v>
      </c>
      <c r="E116" s="80" t="s">
        <v>777</v>
      </c>
      <c r="F116" s="100">
        <v>3111</v>
      </c>
      <c r="G116" s="80" t="s">
        <v>311</v>
      </c>
      <c r="H116" s="101" t="s">
        <v>277</v>
      </c>
      <c r="I116" s="477">
        <v>6496562</v>
      </c>
      <c r="J116" s="631">
        <v>4659832</v>
      </c>
      <c r="K116" s="631">
        <v>95000</v>
      </c>
      <c r="L116" s="472">
        <v>1607133</v>
      </c>
      <c r="M116" s="472">
        <v>93197</v>
      </c>
      <c r="N116" s="631">
        <v>41400</v>
      </c>
      <c r="O116" s="473">
        <v>9.8836999999999993</v>
      </c>
      <c r="P116" s="474">
        <v>7.84</v>
      </c>
      <c r="Q116" s="670">
        <v>2.0436999999999999</v>
      </c>
      <c r="R116" s="485">
        <f t="shared" ref="R116:R123" si="246">Y116*-1</f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ref="X116:X123" si="247">SUM(R116:W116)</f>
        <v>0</v>
      </c>
      <c r="Y116" s="475">
        <v>0</v>
      </c>
      <c r="Z116" s="475">
        <v>0</v>
      </c>
      <c r="AA116" s="475">
        <v>0</v>
      </c>
      <c r="AB116" s="475">
        <f t="shared" ref="AB116:AB123" si="248">SUM(Y116:AA116)</f>
        <v>0</v>
      </c>
      <c r="AC116" s="475">
        <f t="shared" ref="AC116:AC123" si="249">X116+AB116</f>
        <v>0</v>
      </c>
      <c r="AD116" s="70">
        <f t="shared" ref="AD116:AD123" si="250">ROUND((X116+Y116+Z116)*33.8%,0)</f>
        <v>0</v>
      </c>
      <c r="AE116" s="70">
        <f t="shared" ref="AE116:AE123" si="251">ROUND(X116*2%,0)</f>
        <v>0</v>
      </c>
      <c r="AF116" s="475">
        <v>0</v>
      </c>
      <c r="AG116" s="475">
        <v>0</v>
      </c>
      <c r="AH116" s="475">
        <f t="shared" ref="AH116:AH123" si="252">SUM(AF116:AG116)</f>
        <v>0</v>
      </c>
      <c r="AI116" s="475">
        <f t="shared" ref="AI116:AI123" si="253">AC116+AD116+AE116+AH116</f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476">
        <f t="shared" si="159"/>
        <v>0</v>
      </c>
      <c r="AS116" s="476">
        <f t="shared" si="160"/>
        <v>0</v>
      </c>
      <c r="AT116" s="478">
        <f t="shared" si="161"/>
        <v>0</v>
      </c>
      <c r="AU116" s="484">
        <f t="shared" ref="AU116:AU123" si="254">I116+AI116</f>
        <v>6496562</v>
      </c>
      <c r="AV116" s="475">
        <f t="shared" ref="AV116:AV123" si="255">J116+X116</f>
        <v>4659832</v>
      </c>
      <c r="AW116" s="475">
        <f t="shared" ref="AW116:AW123" si="256">K116+AB116</f>
        <v>95000</v>
      </c>
      <c r="AX116" s="475">
        <f t="shared" ref="AX116:AY123" si="257">L116+AD116</f>
        <v>1607133</v>
      </c>
      <c r="AY116" s="475">
        <f t="shared" si="257"/>
        <v>93197</v>
      </c>
      <c r="AZ116" s="475">
        <f t="shared" ref="AZ116:AZ123" si="258">N116+AH116</f>
        <v>41400</v>
      </c>
      <c r="BA116" s="476">
        <f t="shared" ref="BA116:BA123" si="259">O116+AT116</f>
        <v>9.8836999999999993</v>
      </c>
      <c r="BB116" s="476">
        <f t="shared" ref="BB116:BC123" si="260">P116+AR116</f>
        <v>7.84</v>
      </c>
      <c r="BC116" s="478">
        <f t="shared" si="260"/>
        <v>2.0436999999999999</v>
      </c>
    </row>
    <row r="117" spans="1:55" s="102" customFormat="1" ht="14.1" customHeight="1" x14ac:dyDescent="0.2">
      <c r="A117" s="125">
        <v>19</v>
      </c>
      <c r="B117" s="80">
        <v>2497</v>
      </c>
      <c r="C117" s="99">
        <v>600080064</v>
      </c>
      <c r="D117" s="80">
        <v>72744189</v>
      </c>
      <c r="E117" s="80" t="s">
        <v>777</v>
      </c>
      <c r="F117" s="100">
        <v>3113</v>
      </c>
      <c r="G117" s="80" t="s">
        <v>314</v>
      </c>
      <c r="H117" s="101" t="s">
        <v>277</v>
      </c>
      <c r="I117" s="477">
        <v>20268404</v>
      </c>
      <c r="J117" s="631">
        <v>14535328</v>
      </c>
      <c r="K117" s="631">
        <v>130039</v>
      </c>
      <c r="L117" s="472">
        <v>4951811</v>
      </c>
      <c r="M117" s="472">
        <v>290706</v>
      </c>
      <c r="N117" s="631">
        <v>360520</v>
      </c>
      <c r="O117" s="473">
        <v>26.753900000000002</v>
      </c>
      <c r="P117" s="474">
        <v>19.728300000000001</v>
      </c>
      <c r="Q117" s="670">
        <v>7.0255999999999998</v>
      </c>
      <c r="R117" s="485">
        <f t="shared" si="246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47"/>
        <v>0</v>
      </c>
      <c r="Y117" s="475">
        <v>0</v>
      </c>
      <c r="Z117" s="475">
        <v>0</v>
      </c>
      <c r="AA117" s="475">
        <v>0</v>
      </c>
      <c r="AB117" s="475">
        <f t="shared" si="248"/>
        <v>0</v>
      </c>
      <c r="AC117" s="475">
        <f t="shared" si="249"/>
        <v>0</v>
      </c>
      <c r="AD117" s="70">
        <f t="shared" si="250"/>
        <v>0</v>
      </c>
      <c r="AE117" s="70">
        <f t="shared" si="251"/>
        <v>0</v>
      </c>
      <c r="AF117" s="475">
        <v>0</v>
      </c>
      <c r="AG117" s="475">
        <v>0</v>
      </c>
      <c r="AH117" s="475">
        <f t="shared" si="252"/>
        <v>0</v>
      </c>
      <c r="AI117" s="475">
        <f t="shared" si="253"/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si="159"/>
        <v>0</v>
      </c>
      <c r="AS117" s="476">
        <f t="shared" si="160"/>
        <v>0</v>
      </c>
      <c r="AT117" s="478">
        <f t="shared" si="161"/>
        <v>0</v>
      </c>
      <c r="AU117" s="484">
        <f t="shared" si="254"/>
        <v>20268404</v>
      </c>
      <c r="AV117" s="475">
        <f t="shared" si="255"/>
        <v>14535328</v>
      </c>
      <c r="AW117" s="475">
        <f t="shared" si="256"/>
        <v>130039</v>
      </c>
      <c r="AX117" s="475">
        <f t="shared" si="257"/>
        <v>4951811</v>
      </c>
      <c r="AY117" s="475">
        <f t="shared" si="257"/>
        <v>290706</v>
      </c>
      <c r="AZ117" s="475">
        <f t="shared" si="258"/>
        <v>360520</v>
      </c>
      <c r="BA117" s="476">
        <f t="shared" si="259"/>
        <v>26.753900000000002</v>
      </c>
      <c r="BB117" s="476">
        <f t="shared" si="260"/>
        <v>19.728300000000001</v>
      </c>
      <c r="BC117" s="478">
        <f t="shared" si="260"/>
        <v>7.0255999999999998</v>
      </c>
    </row>
    <row r="118" spans="1:55" s="102" customFormat="1" ht="14.1" customHeight="1" x14ac:dyDescent="0.2">
      <c r="A118" s="125">
        <v>19</v>
      </c>
      <c r="B118" s="80">
        <v>2497</v>
      </c>
      <c r="C118" s="99">
        <v>600080064</v>
      </c>
      <c r="D118" s="80">
        <v>72744189</v>
      </c>
      <c r="E118" s="80" t="s">
        <v>777</v>
      </c>
      <c r="F118" s="100">
        <v>3113</v>
      </c>
      <c r="G118" s="44" t="s">
        <v>313</v>
      </c>
      <c r="H118" s="101" t="s">
        <v>277</v>
      </c>
      <c r="I118" s="477">
        <v>2052734</v>
      </c>
      <c r="J118" s="472">
        <v>1511586</v>
      </c>
      <c r="K118" s="472">
        <v>0</v>
      </c>
      <c r="L118" s="472">
        <v>510916</v>
      </c>
      <c r="M118" s="472">
        <v>30232</v>
      </c>
      <c r="N118" s="472">
        <v>0</v>
      </c>
      <c r="O118" s="473">
        <v>3.7223000000000002</v>
      </c>
      <c r="P118" s="474">
        <v>3.7223000000000002</v>
      </c>
      <c r="Q118" s="483">
        <v>0</v>
      </c>
      <c r="R118" s="485">
        <f t="shared" si="246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47"/>
        <v>0</v>
      </c>
      <c r="Y118" s="475">
        <v>0</v>
      </c>
      <c r="Z118" s="475">
        <v>0</v>
      </c>
      <c r="AA118" s="475">
        <v>0</v>
      </c>
      <c r="AB118" s="475">
        <f t="shared" si="248"/>
        <v>0</v>
      </c>
      <c r="AC118" s="475">
        <f t="shared" si="249"/>
        <v>0</v>
      </c>
      <c r="AD118" s="70">
        <f t="shared" si="250"/>
        <v>0</v>
      </c>
      <c r="AE118" s="70">
        <f t="shared" si="251"/>
        <v>0</v>
      </c>
      <c r="AF118" s="475">
        <v>0</v>
      </c>
      <c r="AG118" s="475">
        <v>0</v>
      </c>
      <c r="AH118" s="475">
        <f t="shared" si="252"/>
        <v>0</v>
      </c>
      <c r="AI118" s="475">
        <f t="shared" si="253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 t="shared" si="159"/>
        <v>0</v>
      </c>
      <c r="AS118" s="476">
        <f t="shared" si="160"/>
        <v>0</v>
      </c>
      <c r="AT118" s="478">
        <f t="shared" si="161"/>
        <v>0</v>
      </c>
      <c r="AU118" s="484">
        <f t="shared" si="254"/>
        <v>2052734</v>
      </c>
      <c r="AV118" s="475">
        <f t="shared" si="255"/>
        <v>1511586</v>
      </c>
      <c r="AW118" s="475">
        <f t="shared" si="256"/>
        <v>0</v>
      </c>
      <c r="AX118" s="475">
        <f t="shared" si="257"/>
        <v>510916</v>
      </c>
      <c r="AY118" s="475">
        <f t="shared" si="257"/>
        <v>30232</v>
      </c>
      <c r="AZ118" s="475">
        <f t="shared" si="258"/>
        <v>0</v>
      </c>
      <c r="BA118" s="476">
        <f t="shared" si="259"/>
        <v>3.7223000000000002</v>
      </c>
      <c r="BB118" s="476">
        <f t="shared" si="260"/>
        <v>3.7223000000000002</v>
      </c>
      <c r="BC118" s="478">
        <f t="shared" si="260"/>
        <v>0</v>
      </c>
    </row>
    <row r="119" spans="1:55" s="102" customFormat="1" ht="14.1" customHeight="1" x14ac:dyDescent="0.2">
      <c r="A119" s="125">
        <v>19</v>
      </c>
      <c r="B119" s="108">
        <v>2497</v>
      </c>
      <c r="C119" s="99">
        <v>600080064</v>
      </c>
      <c r="D119" s="80">
        <v>72744189</v>
      </c>
      <c r="E119" s="108" t="s">
        <v>777</v>
      </c>
      <c r="F119" s="100">
        <v>3113</v>
      </c>
      <c r="G119" s="80" t="s">
        <v>312</v>
      </c>
      <c r="H119" s="101" t="s">
        <v>278</v>
      </c>
      <c r="I119" s="477">
        <v>4605098</v>
      </c>
      <c r="J119" s="472">
        <v>3384461</v>
      </c>
      <c r="K119" s="472">
        <v>0</v>
      </c>
      <c r="L119" s="472">
        <v>1143948</v>
      </c>
      <c r="M119" s="472">
        <v>67689</v>
      </c>
      <c r="N119" s="472">
        <v>9000</v>
      </c>
      <c r="O119" s="473">
        <v>9.5400000000000009</v>
      </c>
      <c r="P119" s="474">
        <v>9.5400000000000009</v>
      </c>
      <c r="Q119" s="483">
        <v>0</v>
      </c>
      <c r="R119" s="485">
        <f t="shared" si="246"/>
        <v>0</v>
      </c>
      <c r="S119" s="475">
        <v>12030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47"/>
        <v>12030</v>
      </c>
      <c r="Y119" s="475">
        <v>0</v>
      </c>
      <c r="Z119" s="475">
        <v>0</v>
      </c>
      <c r="AA119" s="475">
        <v>0</v>
      </c>
      <c r="AB119" s="475">
        <f t="shared" si="248"/>
        <v>0</v>
      </c>
      <c r="AC119" s="475">
        <f t="shared" si="249"/>
        <v>12030</v>
      </c>
      <c r="AD119" s="70">
        <f t="shared" si="250"/>
        <v>4066</v>
      </c>
      <c r="AE119" s="70">
        <f t="shared" si="251"/>
        <v>241</v>
      </c>
      <c r="AF119" s="475">
        <v>0</v>
      </c>
      <c r="AG119" s="475">
        <v>0</v>
      </c>
      <c r="AH119" s="475">
        <f t="shared" si="252"/>
        <v>0</v>
      </c>
      <c r="AI119" s="475">
        <f t="shared" si="253"/>
        <v>16337</v>
      </c>
      <c r="AJ119" s="476">
        <v>0</v>
      </c>
      <c r="AK119" s="476">
        <v>0</v>
      </c>
      <c r="AL119" s="476">
        <v>0.03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 t="shared" si="159"/>
        <v>0.03</v>
      </c>
      <c r="AS119" s="476">
        <f t="shared" si="160"/>
        <v>0</v>
      </c>
      <c r="AT119" s="478">
        <f t="shared" si="161"/>
        <v>0.03</v>
      </c>
      <c r="AU119" s="484">
        <f t="shared" si="254"/>
        <v>4621435</v>
      </c>
      <c r="AV119" s="475">
        <f t="shared" si="255"/>
        <v>3396491</v>
      </c>
      <c r="AW119" s="475">
        <f t="shared" si="256"/>
        <v>0</v>
      </c>
      <c r="AX119" s="475">
        <f t="shared" si="257"/>
        <v>1148014</v>
      </c>
      <c r="AY119" s="475">
        <f t="shared" si="257"/>
        <v>67930</v>
      </c>
      <c r="AZ119" s="475">
        <f t="shared" si="258"/>
        <v>9000</v>
      </c>
      <c r="BA119" s="476">
        <f t="shared" si="259"/>
        <v>9.57</v>
      </c>
      <c r="BB119" s="476">
        <f t="shared" si="260"/>
        <v>9.57</v>
      </c>
      <c r="BC119" s="478">
        <f t="shared" si="260"/>
        <v>0</v>
      </c>
    </row>
    <row r="120" spans="1:55" s="102" customFormat="1" ht="14.1" customHeight="1" x14ac:dyDescent="0.2">
      <c r="A120" s="125">
        <v>19</v>
      </c>
      <c r="B120" s="80">
        <v>2497</v>
      </c>
      <c r="C120" s="99">
        <v>600080064</v>
      </c>
      <c r="D120" s="80">
        <v>72744189</v>
      </c>
      <c r="E120" s="80" t="s">
        <v>777</v>
      </c>
      <c r="F120" s="100">
        <v>3141</v>
      </c>
      <c r="G120" s="80" t="s">
        <v>315</v>
      </c>
      <c r="H120" s="101" t="s">
        <v>278</v>
      </c>
      <c r="I120" s="477">
        <v>2401010</v>
      </c>
      <c r="J120" s="631">
        <v>1724919</v>
      </c>
      <c r="K120" s="631">
        <v>30000</v>
      </c>
      <c r="L120" s="472">
        <v>593163</v>
      </c>
      <c r="M120" s="472">
        <v>34498</v>
      </c>
      <c r="N120" s="631">
        <v>18430</v>
      </c>
      <c r="O120" s="473">
        <v>5.51</v>
      </c>
      <c r="P120" s="474">
        <v>0</v>
      </c>
      <c r="Q120" s="670">
        <v>5.51</v>
      </c>
      <c r="R120" s="485">
        <f t="shared" si="246"/>
        <v>0</v>
      </c>
      <c r="S120" s="475">
        <v>0</v>
      </c>
      <c r="T120" s="758">
        <v>-21763</v>
      </c>
      <c r="U120" s="475">
        <v>0</v>
      </c>
      <c r="V120" s="475">
        <v>0</v>
      </c>
      <c r="W120" s="475">
        <v>0</v>
      </c>
      <c r="X120" s="475">
        <f t="shared" si="247"/>
        <v>-21763</v>
      </c>
      <c r="Y120" s="475">
        <v>0</v>
      </c>
      <c r="Z120" s="475">
        <v>0</v>
      </c>
      <c r="AA120" s="475">
        <v>0</v>
      </c>
      <c r="AB120" s="475">
        <f t="shared" si="248"/>
        <v>0</v>
      </c>
      <c r="AC120" s="475">
        <f t="shared" si="249"/>
        <v>-21763</v>
      </c>
      <c r="AD120" s="70">
        <f t="shared" si="250"/>
        <v>-7356</v>
      </c>
      <c r="AE120" s="70">
        <f t="shared" si="251"/>
        <v>-435</v>
      </c>
      <c r="AF120" s="475">
        <v>0</v>
      </c>
      <c r="AG120" s="475">
        <v>0</v>
      </c>
      <c r="AH120" s="475">
        <f t="shared" si="252"/>
        <v>0</v>
      </c>
      <c r="AI120" s="475">
        <f t="shared" si="253"/>
        <v>-29554</v>
      </c>
      <c r="AJ120" s="476">
        <v>0</v>
      </c>
      <c r="AK120" s="476">
        <v>0</v>
      </c>
      <c r="AL120" s="476">
        <v>0</v>
      </c>
      <c r="AM120" s="476">
        <v>0</v>
      </c>
      <c r="AN120" s="759">
        <v>-7.0000000000000007E-2</v>
      </c>
      <c r="AO120" s="476">
        <v>0</v>
      </c>
      <c r="AP120" s="476">
        <v>0</v>
      </c>
      <c r="AQ120" s="476">
        <v>0</v>
      </c>
      <c r="AR120" s="476">
        <f t="shared" si="159"/>
        <v>0</v>
      </c>
      <c r="AS120" s="476">
        <f t="shared" si="160"/>
        <v>-7.0000000000000007E-2</v>
      </c>
      <c r="AT120" s="478">
        <f t="shared" si="161"/>
        <v>-7.0000000000000007E-2</v>
      </c>
      <c r="AU120" s="484">
        <f t="shared" si="254"/>
        <v>2371456</v>
      </c>
      <c r="AV120" s="475">
        <f t="shared" si="255"/>
        <v>1703156</v>
      </c>
      <c r="AW120" s="475">
        <f t="shared" si="256"/>
        <v>30000</v>
      </c>
      <c r="AX120" s="475">
        <f t="shared" si="257"/>
        <v>585807</v>
      </c>
      <c r="AY120" s="475">
        <f t="shared" si="257"/>
        <v>34063</v>
      </c>
      <c r="AZ120" s="475">
        <f t="shared" si="258"/>
        <v>18430</v>
      </c>
      <c r="BA120" s="476">
        <f t="shared" si="259"/>
        <v>5.4399999999999995</v>
      </c>
      <c r="BB120" s="476">
        <f t="shared" si="260"/>
        <v>0</v>
      </c>
      <c r="BC120" s="478">
        <f t="shared" si="260"/>
        <v>5.4399999999999995</v>
      </c>
    </row>
    <row r="121" spans="1:55" s="102" customFormat="1" ht="14.1" customHeight="1" x14ac:dyDescent="0.2">
      <c r="A121" s="125">
        <v>19</v>
      </c>
      <c r="B121" s="80">
        <v>2497</v>
      </c>
      <c r="C121" s="99">
        <v>600080064</v>
      </c>
      <c r="D121" s="80">
        <v>72744189</v>
      </c>
      <c r="E121" s="80" t="s">
        <v>777</v>
      </c>
      <c r="F121" s="100">
        <v>3143</v>
      </c>
      <c r="G121" s="80" t="s">
        <v>626</v>
      </c>
      <c r="H121" s="101" t="s">
        <v>277</v>
      </c>
      <c r="I121" s="477">
        <v>1069306</v>
      </c>
      <c r="J121" s="632">
        <v>762780</v>
      </c>
      <c r="K121" s="632">
        <v>25000</v>
      </c>
      <c r="L121" s="472">
        <v>266270</v>
      </c>
      <c r="M121" s="472">
        <v>15256</v>
      </c>
      <c r="N121" s="472">
        <v>0</v>
      </c>
      <c r="O121" s="473">
        <v>1.76</v>
      </c>
      <c r="P121" s="13">
        <v>1.76</v>
      </c>
      <c r="Q121" s="483">
        <v>0</v>
      </c>
      <c r="R121" s="485">
        <f t="shared" si="246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47"/>
        <v>0</v>
      </c>
      <c r="Y121" s="475">
        <v>0</v>
      </c>
      <c r="Z121" s="475">
        <v>0</v>
      </c>
      <c r="AA121" s="475">
        <v>0</v>
      </c>
      <c r="AB121" s="475">
        <f t="shared" si="248"/>
        <v>0</v>
      </c>
      <c r="AC121" s="475">
        <f t="shared" si="249"/>
        <v>0</v>
      </c>
      <c r="AD121" s="70">
        <f t="shared" si="250"/>
        <v>0</v>
      </c>
      <c r="AE121" s="70">
        <f t="shared" si="251"/>
        <v>0</v>
      </c>
      <c r="AF121" s="475">
        <v>0</v>
      </c>
      <c r="AG121" s="475">
        <v>0</v>
      </c>
      <c r="AH121" s="475">
        <f t="shared" si="252"/>
        <v>0</v>
      </c>
      <c r="AI121" s="475">
        <f t="shared" si="253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 t="shared" si="159"/>
        <v>0</v>
      </c>
      <c r="AS121" s="476">
        <f t="shared" si="160"/>
        <v>0</v>
      </c>
      <c r="AT121" s="478">
        <f t="shared" si="161"/>
        <v>0</v>
      </c>
      <c r="AU121" s="484">
        <f t="shared" si="254"/>
        <v>1069306</v>
      </c>
      <c r="AV121" s="475">
        <f t="shared" si="255"/>
        <v>762780</v>
      </c>
      <c r="AW121" s="475">
        <f t="shared" si="256"/>
        <v>25000</v>
      </c>
      <c r="AX121" s="475">
        <f t="shared" si="257"/>
        <v>266270</v>
      </c>
      <c r="AY121" s="475">
        <f t="shared" si="257"/>
        <v>15256</v>
      </c>
      <c r="AZ121" s="475">
        <f t="shared" si="258"/>
        <v>0</v>
      </c>
      <c r="BA121" s="476">
        <f t="shared" si="259"/>
        <v>1.76</v>
      </c>
      <c r="BB121" s="476">
        <f t="shared" si="260"/>
        <v>1.76</v>
      </c>
      <c r="BC121" s="478">
        <f t="shared" si="260"/>
        <v>0</v>
      </c>
    </row>
    <row r="122" spans="1:55" s="102" customFormat="1" ht="14.1" customHeight="1" x14ac:dyDescent="0.2">
      <c r="A122" s="125">
        <v>19</v>
      </c>
      <c r="B122" s="80">
        <v>2497</v>
      </c>
      <c r="C122" s="99">
        <v>600080064</v>
      </c>
      <c r="D122" s="80">
        <v>72744189</v>
      </c>
      <c r="E122" s="80" t="s">
        <v>777</v>
      </c>
      <c r="F122" s="100">
        <v>3143</v>
      </c>
      <c r="G122" s="80" t="s">
        <v>627</v>
      </c>
      <c r="H122" s="101" t="s">
        <v>278</v>
      </c>
      <c r="I122" s="477">
        <v>43092</v>
      </c>
      <c r="J122" s="631">
        <v>30473</v>
      </c>
      <c r="K122" s="631">
        <v>0</v>
      </c>
      <c r="L122" s="472">
        <v>10300</v>
      </c>
      <c r="M122" s="472">
        <v>609</v>
      </c>
      <c r="N122" s="631">
        <v>1710</v>
      </c>
      <c r="O122" s="473">
        <v>0.12</v>
      </c>
      <c r="P122" s="474">
        <v>0</v>
      </c>
      <c r="Q122" s="670">
        <v>0.12</v>
      </c>
      <c r="R122" s="485">
        <f t="shared" si="246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247"/>
        <v>0</v>
      </c>
      <c r="Y122" s="475">
        <v>0</v>
      </c>
      <c r="Z122" s="475">
        <v>0</v>
      </c>
      <c r="AA122" s="475">
        <v>0</v>
      </c>
      <c r="AB122" s="475">
        <f t="shared" si="248"/>
        <v>0</v>
      </c>
      <c r="AC122" s="475">
        <f t="shared" si="249"/>
        <v>0</v>
      </c>
      <c r="AD122" s="70">
        <f t="shared" si="250"/>
        <v>0</v>
      </c>
      <c r="AE122" s="70">
        <f t="shared" si="251"/>
        <v>0</v>
      </c>
      <c r="AF122" s="475">
        <v>0</v>
      </c>
      <c r="AG122" s="475">
        <v>0</v>
      </c>
      <c r="AH122" s="475">
        <f t="shared" si="252"/>
        <v>0</v>
      </c>
      <c r="AI122" s="475">
        <f t="shared" si="253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 t="shared" si="159"/>
        <v>0</v>
      </c>
      <c r="AS122" s="476">
        <f t="shared" si="160"/>
        <v>0</v>
      </c>
      <c r="AT122" s="478">
        <f t="shared" si="161"/>
        <v>0</v>
      </c>
      <c r="AU122" s="484">
        <f t="shared" si="254"/>
        <v>43092</v>
      </c>
      <c r="AV122" s="475">
        <f t="shared" si="255"/>
        <v>30473</v>
      </c>
      <c r="AW122" s="475">
        <f t="shared" si="256"/>
        <v>0</v>
      </c>
      <c r="AX122" s="475">
        <f t="shared" si="257"/>
        <v>10300</v>
      </c>
      <c r="AY122" s="475">
        <f t="shared" si="257"/>
        <v>609</v>
      </c>
      <c r="AZ122" s="475">
        <f t="shared" si="258"/>
        <v>1710</v>
      </c>
      <c r="BA122" s="476">
        <f t="shared" si="259"/>
        <v>0.12</v>
      </c>
      <c r="BB122" s="476">
        <f t="shared" si="260"/>
        <v>0</v>
      </c>
      <c r="BC122" s="478">
        <f t="shared" si="260"/>
        <v>0.12</v>
      </c>
    </row>
    <row r="123" spans="1:55" s="102" customFormat="1" ht="14.1" customHeight="1" x14ac:dyDescent="0.2">
      <c r="A123" s="125">
        <v>19</v>
      </c>
      <c r="B123" s="80">
        <v>2497</v>
      </c>
      <c r="C123" s="99">
        <v>600080064</v>
      </c>
      <c r="D123" s="80">
        <v>72744189</v>
      </c>
      <c r="E123" s="80" t="s">
        <v>777</v>
      </c>
      <c r="F123" s="100">
        <v>3143</v>
      </c>
      <c r="G123" s="80" t="s">
        <v>317</v>
      </c>
      <c r="H123" s="101" t="s">
        <v>278</v>
      </c>
      <c r="I123" s="477">
        <v>389038</v>
      </c>
      <c r="J123" s="631">
        <v>276199</v>
      </c>
      <c r="K123" s="631">
        <v>10000</v>
      </c>
      <c r="L123" s="472">
        <v>96735</v>
      </c>
      <c r="M123" s="472">
        <v>5524</v>
      </c>
      <c r="N123" s="631">
        <v>580</v>
      </c>
      <c r="O123" s="473">
        <v>0.6100000000000001</v>
      </c>
      <c r="P123" s="474">
        <v>0.55000000000000004</v>
      </c>
      <c r="Q123" s="670">
        <v>0.06</v>
      </c>
      <c r="R123" s="485">
        <f t="shared" si="246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247"/>
        <v>0</v>
      </c>
      <c r="Y123" s="475">
        <v>0</v>
      </c>
      <c r="Z123" s="475">
        <v>0</v>
      </c>
      <c r="AA123" s="475">
        <v>0</v>
      </c>
      <c r="AB123" s="475">
        <f t="shared" si="248"/>
        <v>0</v>
      </c>
      <c r="AC123" s="475">
        <f t="shared" si="249"/>
        <v>0</v>
      </c>
      <c r="AD123" s="70">
        <f t="shared" si="250"/>
        <v>0</v>
      </c>
      <c r="AE123" s="70">
        <f t="shared" si="251"/>
        <v>0</v>
      </c>
      <c r="AF123" s="475">
        <v>0</v>
      </c>
      <c r="AG123" s="475">
        <v>0</v>
      </c>
      <c r="AH123" s="475">
        <f t="shared" si="252"/>
        <v>0</v>
      </c>
      <c r="AI123" s="475">
        <f t="shared" si="253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 t="shared" si="159"/>
        <v>0</v>
      </c>
      <c r="AS123" s="476">
        <f t="shared" si="160"/>
        <v>0</v>
      </c>
      <c r="AT123" s="478">
        <f t="shared" si="161"/>
        <v>0</v>
      </c>
      <c r="AU123" s="484">
        <f t="shared" si="254"/>
        <v>389038</v>
      </c>
      <c r="AV123" s="475">
        <f t="shared" si="255"/>
        <v>276199</v>
      </c>
      <c r="AW123" s="475">
        <f t="shared" si="256"/>
        <v>10000</v>
      </c>
      <c r="AX123" s="475">
        <f t="shared" si="257"/>
        <v>96735</v>
      </c>
      <c r="AY123" s="475">
        <f t="shared" si="257"/>
        <v>5524</v>
      </c>
      <c r="AZ123" s="475">
        <f t="shared" si="258"/>
        <v>580</v>
      </c>
      <c r="BA123" s="476">
        <f t="shared" si="259"/>
        <v>0.6100000000000001</v>
      </c>
      <c r="BB123" s="476">
        <f t="shared" si="260"/>
        <v>0.55000000000000004</v>
      </c>
      <c r="BC123" s="478">
        <f t="shared" si="260"/>
        <v>0.06</v>
      </c>
    </row>
    <row r="124" spans="1:55" s="102" customFormat="1" ht="14.1" customHeight="1" x14ac:dyDescent="0.2">
      <c r="A124" s="126">
        <v>19</v>
      </c>
      <c r="B124" s="103">
        <v>2497</v>
      </c>
      <c r="C124" s="104">
        <v>600080064</v>
      </c>
      <c r="D124" s="103">
        <v>72744189</v>
      </c>
      <c r="E124" s="103" t="s">
        <v>778</v>
      </c>
      <c r="F124" s="105"/>
      <c r="G124" s="106"/>
      <c r="H124" s="107"/>
      <c r="I124" s="505">
        <v>37325244</v>
      </c>
      <c r="J124" s="501">
        <v>26885578</v>
      </c>
      <c r="K124" s="501">
        <v>290039</v>
      </c>
      <c r="L124" s="501">
        <v>9180276</v>
      </c>
      <c r="M124" s="501">
        <v>537711</v>
      </c>
      <c r="N124" s="501">
        <v>431640</v>
      </c>
      <c r="O124" s="502">
        <v>57.899899999999988</v>
      </c>
      <c r="P124" s="502">
        <v>43.140599999999999</v>
      </c>
      <c r="Q124" s="507">
        <v>14.7593</v>
      </c>
      <c r="R124" s="505">
        <f t="shared" ref="R124:BC124" si="261">SUM(R116:R123)</f>
        <v>0</v>
      </c>
      <c r="S124" s="501">
        <f t="shared" si="261"/>
        <v>12030</v>
      </c>
      <c r="T124" s="501">
        <f t="shared" si="261"/>
        <v>-21763</v>
      </c>
      <c r="U124" s="501">
        <f t="shared" si="261"/>
        <v>0</v>
      </c>
      <c r="V124" s="501">
        <f t="shared" si="261"/>
        <v>0</v>
      </c>
      <c r="W124" s="501">
        <f t="shared" si="261"/>
        <v>0</v>
      </c>
      <c r="X124" s="501">
        <f t="shared" si="261"/>
        <v>-9733</v>
      </c>
      <c r="Y124" s="501">
        <f t="shared" si="261"/>
        <v>0</v>
      </c>
      <c r="Z124" s="501">
        <f t="shared" si="261"/>
        <v>0</v>
      </c>
      <c r="AA124" s="501">
        <f t="shared" si="261"/>
        <v>0</v>
      </c>
      <c r="AB124" s="501">
        <f t="shared" si="261"/>
        <v>0</v>
      </c>
      <c r="AC124" s="501">
        <f t="shared" si="261"/>
        <v>-9733</v>
      </c>
      <c r="AD124" s="501">
        <f t="shared" si="261"/>
        <v>-3290</v>
      </c>
      <c r="AE124" s="501">
        <f t="shared" si="261"/>
        <v>-194</v>
      </c>
      <c r="AF124" s="501">
        <f t="shared" si="261"/>
        <v>0</v>
      </c>
      <c r="AG124" s="501">
        <f t="shared" si="261"/>
        <v>0</v>
      </c>
      <c r="AH124" s="501">
        <f t="shared" si="261"/>
        <v>0</v>
      </c>
      <c r="AI124" s="501">
        <f t="shared" si="261"/>
        <v>-13217</v>
      </c>
      <c r="AJ124" s="502">
        <f t="shared" si="261"/>
        <v>0</v>
      </c>
      <c r="AK124" s="502">
        <f t="shared" si="261"/>
        <v>0</v>
      </c>
      <c r="AL124" s="502">
        <f t="shared" si="261"/>
        <v>0.03</v>
      </c>
      <c r="AM124" s="502">
        <f t="shared" si="261"/>
        <v>0</v>
      </c>
      <c r="AN124" s="502">
        <f t="shared" si="261"/>
        <v>-7.0000000000000007E-2</v>
      </c>
      <c r="AO124" s="502">
        <f t="shared" si="261"/>
        <v>0</v>
      </c>
      <c r="AP124" s="502">
        <f t="shared" si="261"/>
        <v>0</v>
      </c>
      <c r="AQ124" s="502">
        <f t="shared" si="261"/>
        <v>0</v>
      </c>
      <c r="AR124" s="502">
        <f t="shared" si="261"/>
        <v>0.03</v>
      </c>
      <c r="AS124" s="502">
        <f t="shared" si="261"/>
        <v>-7.0000000000000007E-2</v>
      </c>
      <c r="AT124" s="109">
        <f t="shared" si="261"/>
        <v>-4.0000000000000008E-2</v>
      </c>
      <c r="AU124" s="509">
        <f t="shared" si="261"/>
        <v>37312027</v>
      </c>
      <c r="AV124" s="501">
        <f t="shared" si="261"/>
        <v>26875845</v>
      </c>
      <c r="AW124" s="501">
        <f t="shared" si="261"/>
        <v>290039</v>
      </c>
      <c r="AX124" s="501">
        <f t="shared" si="261"/>
        <v>9176986</v>
      </c>
      <c r="AY124" s="501">
        <f t="shared" si="261"/>
        <v>537517</v>
      </c>
      <c r="AZ124" s="501">
        <f t="shared" si="261"/>
        <v>431640</v>
      </c>
      <c r="BA124" s="502">
        <f t="shared" si="261"/>
        <v>57.859899999999989</v>
      </c>
      <c r="BB124" s="502">
        <f t="shared" si="261"/>
        <v>43.1706</v>
      </c>
      <c r="BC124" s="109">
        <f t="shared" si="261"/>
        <v>14.689299999999999</v>
      </c>
    </row>
    <row r="125" spans="1:55" s="102" customFormat="1" ht="14.1" customHeight="1" x14ac:dyDescent="0.2">
      <c r="A125" s="125">
        <v>20</v>
      </c>
      <c r="B125" s="108">
        <v>2446</v>
      </c>
      <c r="C125" s="99">
        <v>600080129</v>
      </c>
      <c r="D125" s="80">
        <v>72743522</v>
      </c>
      <c r="E125" s="80" t="s">
        <v>779</v>
      </c>
      <c r="F125" s="100">
        <v>3111</v>
      </c>
      <c r="G125" s="80" t="s">
        <v>311</v>
      </c>
      <c r="H125" s="101" t="s">
        <v>277</v>
      </c>
      <c r="I125" s="477">
        <v>2335595</v>
      </c>
      <c r="J125" s="631">
        <v>1696771</v>
      </c>
      <c r="K125" s="631">
        <v>10000</v>
      </c>
      <c r="L125" s="472">
        <v>576889</v>
      </c>
      <c r="M125" s="472">
        <v>33935</v>
      </c>
      <c r="N125" s="631">
        <v>18000</v>
      </c>
      <c r="O125" s="473">
        <v>3.9218000000000002</v>
      </c>
      <c r="P125" s="474">
        <v>3</v>
      </c>
      <c r="Q125" s="670">
        <v>0.92179999999999995</v>
      </c>
      <c r="R125" s="485">
        <f t="shared" ref="R125:R129" si="262">Y125*-1</f>
        <v>0</v>
      </c>
      <c r="S125" s="475">
        <v>0</v>
      </c>
      <c r="T125" s="475">
        <v>143393</v>
      </c>
      <c r="U125" s="475">
        <v>0</v>
      </c>
      <c r="V125" s="475">
        <v>0</v>
      </c>
      <c r="W125" s="475">
        <v>0</v>
      </c>
      <c r="X125" s="475">
        <f t="shared" ref="X125:X129" si="263">SUM(R125:W125)</f>
        <v>143393</v>
      </c>
      <c r="Y125" s="475">
        <v>0</v>
      </c>
      <c r="Z125" s="475">
        <v>0</v>
      </c>
      <c r="AA125" s="475">
        <v>0</v>
      </c>
      <c r="AB125" s="475">
        <f t="shared" ref="AB125:AB129" si="264">SUM(Y125:AA125)</f>
        <v>0</v>
      </c>
      <c r="AC125" s="475">
        <f t="shared" ref="AC125:AC129" si="265">X125+AB125</f>
        <v>143393</v>
      </c>
      <c r="AD125" s="70">
        <f t="shared" ref="AD125:AD129" si="266">ROUND((X125+Y125+Z125)*33.8%,0)</f>
        <v>48467</v>
      </c>
      <c r="AE125" s="70">
        <f t="shared" ref="AE125:AE129" si="267">ROUND(X125*2%,0)</f>
        <v>2868</v>
      </c>
      <c r="AF125" s="475">
        <v>0</v>
      </c>
      <c r="AG125" s="475">
        <v>0</v>
      </c>
      <c r="AH125" s="475">
        <f t="shared" ref="AH125:AH129" si="268">SUM(AF125:AG125)</f>
        <v>0</v>
      </c>
      <c r="AI125" s="475">
        <f t="shared" ref="AI125:AI129" si="269">AC125+AD125+AE125+AH125</f>
        <v>194728</v>
      </c>
      <c r="AJ125" s="476">
        <v>0</v>
      </c>
      <c r="AK125" s="476">
        <v>0</v>
      </c>
      <c r="AL125" s="476">
        <v>0</v>
      </c>
      <c r="AM125" s="476">
        <v>0.28999999999999998</v>
      </c>
      <c r="AN125" s="476">
        <v>0</v>
      </c>
      <c r="AO125" s="476">
        <v>0</v>
      </c>
      <c r="AP125" s="476">
        <v>0</v>
      </c>
      <c r="AQ125" s="476">
        <v>0</v>
      </c>
      <c r="AR125" s="476">
        <f t="shared" si="159"/>
        <v>0.28999999999999998</v>
      </c>
      <c r="AS125" s="476">
        <f t="shared" si="160"/>
        <v>0</v>
      </c>
      <c r="AT125" s="478">
        <f t="shared" si="161"/>
        <v>0.28999999999999998</v>
      </c>
      <c r="AU125" s="484">
        <f>I125+AI125</f>
        <v>2530323</v>
      </c>
      <c r="AV125" s="475">
        <f>J125+X125</f>
        <v>1840164</v>
      </c>
      <c r="AW125" s="475">
        <f>K125+AB125</f>
        <v>10000</v>
      </c>
      <c r="AX125" s="475">
        <f t="shared" ref="AX125:AY129" si="270">L125+AD125</f>
        <v>625356</v>
      </c>
      <c r="AY125" s="475">
        <f t="shared" si="270"/>
        <v>36803</v>
      </c>
      <c r="AZ125" s="475">
        <f>N125+AH125</f>
        <v>18000</v>
      </c>
      <c r="BA125" s="476">
        <f>O125+AT125</f>
        <v>4.2118000000000002</v>
      </c>
      <c r="BB125" s="476">
        <f t="shared" ref="BB125:BC129" si="271">P125+AR125</f>
        <v>3.29</v>
      </c>
      <c r="BC125" s="478">
        <f t="shared" si="271"/>
        <v>0.92179999999999995</v>
      </c>
    </row>
    <row r="126" spans="1:55" s="102" customFormat="1" ht="14.1" customHeight="1" x14ac:dyDescent="0.2">
      <c r="A126" s="125">
        <v>20</v>
      </c>
      <c r="B126" s="110">
        <v>2446</v>
      </c>
      <c r="C126" s="99">
        <v>600080129</v>
      </c>
      <c r="D126" s="80">
        <v>72743522</v>
      </c>
      <c r="E126" s="110" t="s">
        <v>779</v>
      </c>
      <c r="F126" s="111">
        <v>3117</v>
      </c>
      <c r="G126" s="110" t="s">
        <v>329</v>
      </c>
      <c r="H126" s="101" t="s">
        <v>277</v>
      </c>
      <c r="I126" s="477">
        <v>5858032</v>
      </c>
      <c r="J126" s="631">
        <v>4162203</v>
      </c>
      <c r="K126" s="631">
        <v>98151</v>
      </c>
      <c r="L126" s="472">
        <v>1416964</v>
      </c>
      <c r="M126" s="472">
        <v>83244</v>
      </c>
      <c r="N126" s="631">
        <v>97470</v>
      </c>
      <c r="O126" s="473">
        <v>8.3839000000000006</v>
      </c>
      <c r="P126" s="474">
        <v>5.7270000000000003</v>
      </c>
      <c r="Q126" s="670">
        <v>2.6568999999999998</v>
      </c>
      <c r="R126" s="485">
        <f t="shared" si="262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263"/>
        <v>0</v>
      </c>
      <c r="Y126" s="475">
        <v>0</v>
      </c>
      <c r="Z126" s="475">
        <v>0</v>
      </c>
      <c r="AA126" s="475">
        <v>0</v>
      </c>
      <c r="AB126" s="475">
        <f t="shared" si="264"/>
        <v>0</v>
      </c>
      <c r="AC126" s="475">
        <f t="shared" si="265"/>
        <v>0</v>
      </c>
      <c r="AD126" s="70">
        <f t="shared" si="266"/>
        <v>0</v>
      </c>
      <c r="AE126" s="70">
        <f t="shared" si="267"/>
        <v>0</v>
      </c>
      <c r="AF126" s="475">
        <v>0</v>
      </c>
      <c r="AG126" s="475">
        <v>0</v>
      </c>
      <c r="AH126" s="475">
        <f t="shared" si="268"/>
        <v>0</v>
      </c>
      <c r="AI126" s="475">
        <f t="shared" si="269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 t="shared" si="159"/>
        <v>0</v>
      </c>
      <c r="AS126" s="476">
        <f t="shared" si="160"/>
        <v>0</v>
      </c>
      <c r="AT126" s="478">
        <f t="shared" si="161"/>
        <v>0</v>
      </c>
      <c r="AU126" s="484">
        <f>I126+AI126</f>
        <v>5858032</v>
      </c>
      <c r="AV126" s="475">
        <f>J126+X126</f>
        <v>4162203</v>
      </c>
      <c r="AW126" s="475">
        <f>K126+AB126</f>
        <v>98151</v>
      </c>
      <c r="AX126" s="475">
        <f t="shared" si="270"/>
        <v>1416964</v>
      </c>
      <c r="AY126" s="475">
        <f t="shared" si="270"/>
        <v>83244</v>
      </c>
      <c r="AZ126" s="475">
        <f>N126+AH126</f>
        <v>97470</v>
      </c>
      <c r="BA126" s="476">
        <f>O126+AT126</f>
        <v>8.3839000000000006</v>
      </c>
      <c r="BB126" s="476">
        <f t="shared" si="271"/>
        <v>5.7270000000000003</v>
      </c>
      <c r="BC126" s="478">
        <f t="shared" si="271"/>
        <v>2.6568999999999998</v>
      </c>
    </row>
    <row r="127" spans="1:55" s="102" customFormat="1" ht="14.1" customHeight="1" x14ac:dyDescent="0.2">
      <c r="A127" s="125">
        <v>20</v>
      </c>
      <c r="B127" s="108">
        <v>2446</v>
      </c>
      <c r="C127" s="99">
        <v>600080129</v>
      </c>
      <c r="D127" s="80">
        <v>72743522</v>
      </c>
      <c r="E127" s="108" t="s">
        <v>779</v>
      </c>
      <c r="F127" s="100">
        <v>3117</v>
      </c>
      <c r="G127" s="80" t="s">
        <v>312</v>
      </c>
      <c r="H127" s="101" t="s">
        <v>278</v>
      </c>
      <c r="I127" s="477">
        <v>1333181</v>
      </c>
      <c r="J127" s="472">
        <v>979883</v>
      </c>
      <c r="K127" s="472">
        <v>0</v>
      </c>
      <c r="L127" s="472">
        <v>331200</v>
      </c>
      <c r="M127" s="472">
        <v>19598</v>
      </c>
      <c r="N127" s="472">
        <v>2500</v>
      </c>
      <c r="O127" s="473">
        <v>2.7399999999999998</v>
      </c>
      <c r="P127" s="474">
        <v>2.7399999999999998</v>
      </c>
      <c r="Q127" s="483">
        <v>0</v>
      </c>
      <c r="R127" s="485">
        <f t="shared" si="262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263"/>
        <v>0</v>
      </c>
      <c r="Y127" s="475">
        <v>0</v>
      </c>
      <c r="Z127" s="475">
        <v>0</v>
      </c>
      <c r="AA127" s="475">
        <v>0</v>
      </c>
      <c r="AB127" s="475">
        <f t="shared" si="264"/>
        <v>0</v>
      </c>
      <c r="AC127" s="475">
        <f t="shared" si="265"/>
        <v>0</v>
      </c>
      <c r="AD127" s="70">
        <f t="shared" si="266"/>
        <v>0</v>
      </c>
      <c r="AE127" s="70">
        <f t="shared" si="267"/>
        <v>0</v>
      </c>
      <c r="AF127" s="475">
        <v>1250</v>
      </c>
      <c r="AG127" s="475">
        <v>0</v>
      </c>
      <c r="AH127" s="475">
        <f t="shared" si="268"/>
        <v>1250</v>
      </c>
      <c r="AI127" s="475">
        <f t="shared" si="269"/>
        <v>1250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 t="shared" si="159"/>
        <v>0</v>
      </c>
      <c r="AS127" s="476">
        <f t="shared" si="160"/>
        <v>0</v>
      </c>
      <c r="AT127" s="478">
        <f t="shared" si="161"/>
        <v>0</v>
      </c>
      <c r="AU127" s="484">
        <f>I127+AI127</f>
        <v>1334431</v>
      </c>
      <c r="AV127" s="475">
        <f>J127+X127</f>
        <v>979883</v>
      </c>
      <c r="AW127" s="475">
        <f>K127+AB127</f>
        <v>0</v>
      </c>
      <c r="AX127" s="475">
        <f t="shared" si="270"/>
        <v>331200</v>
      </c>
      <c r="AY127" s="475">
        <f t="shared" si="270"/>
        <v>19598</v>
      </c>
      <c r="AZ127" s="475">
        <f>N127+AH127</f>
        <v>3750</v>
      </c>
      <c r="BA127" s="476">
        <f>O127+AT127</f>
        <v>2.7399999999999998</v>
      </c>
      <c r="BB127" s="476">
        <f t="shared" si="271"/>
        <v>2.7399999999999998</v>
      </c>
      <c r="BC127" s="478">
        <f t="shared" si="271"/>
        <v>0</v>
      </c>
    </row>
    <row r="128" spans="1:55" s="102" customFormat="1" ht="14.1" customHeight="1" x14ac:dyDescent="0.2">
      <c r="A128" s="125">
        <v>20</v>
      </c>
      <c r="B128" s="80">
        <v>2446</v>
      </c>
      <c r="C128" s="99">
        <v>600080129</v>
      </c>
      <c r="D128" s="80">
        <v>72743522</v>
      </c>
      <c r="E128" s="80" t="s">
        <v>779</v>
      </c>
      <c r="F128" s="100">
        <v>3143</v>
      </c>
      <c r="G128" s="80" t="s">
        <v>626</v>
      </c>
      <c r="H128" s="101" t="s">
        <v>277</v>
      </c>
      <c r="I128" s="477">
        <v>814775</v>
      </c>
      <c r="J128" s="632">
        <v>599981</v>
      </c>
      <c r="K128" s="632">
        <v>0</v>
      </c>
      <c r="L128" s="472">
        <v>202794</v>
      </c>
      <c r="M128" s="472">
        <v>12000</v>
      </c>
      <c r="N128" s="472">
        <v>0</v>
      </c>
      <c r="O128" s="473">
        <v>1.3280000000000001</v>
      </c>
      <c r="P128" s="13">
        <v>1.3280000000000001</v>
      </c>
      <c r="Q128" s="483">
        <v>0</v>
      </c>
      <c r="R128" s="485">
        <f t="shared" si="262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263"/>
        <v>0</v>
      </c>
      <c r="Y128" s="475">
        <v>0</v>
      </c>
      <c r="Z128" s="475">
        <v>0</v>
      </c>
      <c r="AA128" s="475">
        <v>0</v>
      </c>
      <c r="AB128" s="475">
        <f t="shared" si="264"/>
        <v>0</v>
      </c>
      <c r="AC128" s="475">
        <f t="shared" si="265"/>
        <v>0</v>
      </c>
      <c r="AD128" s="70">
        <f t="shared" si="266"/>
        <v>0</v>
      </c>
      <c r="AE128" s="70">
        <f t="shared" si="267"/>
        <v>0</v>
      </c>
      <c r="AF128" s="475">
        <v>0</v>
      </c>
      <c r="AG128" s="475">
        <v>0</v>
      </c>
      <c r="AH128" s="475">
        <f t="shared" si="268"/>
        <v>0</v>
      </c>
      <c r="AI128" s="475">
        <f t="shared" si="269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 t="shared" si="159"/>
        <v>0</v>
      </c>
      <c r="AS128" s="476">
        <f t="shared" si="160"/>
        <v>0</v>
      </c>
      <c r="AT128" s="478">
        <f t="shared" si="161"/>
        <v>0</v>
      </c>
      <c r="AU128" s="484">
        <f>I128+AI128</f>
        <v>814775</v>
      </c>
      <c r="AV128" s="475">
        <f>J128+X128</f>
        <v>599981</v>
      </c>
      <c r="AW128" s="475">
        <f>K128+AB128</f>
        <v>0</v>
      </c>
      <c r="AX128" s="475">
        <f t="shared" si="270"/>
        <v>202794</v>
      </c>
      <c r="AY128" s="475">
        <f t="shared" si="270"/>
        <v>12000</v>
      </c>
      <c r="AZ128" s="475">
        <f>N128+AH128</f>
        <v>0</v>
      </c>
      <c r="BA128" s="476">
        <f>O128+AT128</f>
        <v>1.3280000000000001</v>
      </c>
      <c r="BB128" s="476">
        <f t="shared" si="271"/>
        <v>1.3280000000000001</v>
      </c>
      <c r="BC128" s="478">
        <f t="shared" si="271"/>
        <v>0</v>
      </c>
    </row>
    <row r="129" spans="1:55" s="102" customFormat="1" ht="14.1" customHeight="1" x14ac:dyDescent="0.2">
      <c r="A129" s="125">
        <v>20</v>
      </c>
      <c r="B129" s="80">
        <v>2446</v>
      </c>
      <c r="C129" s="99">
        <v>600080129</v>
      </c>
      <c r="D129" s="80">
        <v>72743522</v>
      </c>
      <c r="E129" s="80" t="s">
        <v>779</v>
      </c>
      <c r="F129" s="100">
        <v>3143</v>
      </c>
      <c r="G129" s="80" t="s">
        <v>627</v>
      </c>
      <c r="H129" s="101" t="s">
        <v>278</v>
      </c>
      <c r="I129" s="477">
        <v>26198</v>
      </c>
      <c r="J129" s="631">
        <v>17642</v>
      </c>
      <c r="K129" s="631">
        <v>0</v>
      </c>
      <c r="L129" s="472">
        <v>5963</v>
      </c>
      <c r="M129" s="472">
        <v>353</v>
      </c>
      <c r="N129" s="631">
        <v>2240</v>
      </c>
      <c r="O129" s="473">
        <v>7.0000000000000007E-2</v>
      </c>
      <c r="P129" s="474">
        <v>0</v>
      </c>
      <c r="Q129" s="670">
        <v>7.0000000000000007E-2</v>
      </c>
      <c r="R129" s="485">
        <f t="shared" si="262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263"/>
        <v>0</v>
      </c>
      <c r="Y129" s="475">
        <v>0</v>
      </c>
      <c r="Z129" s="475">
        <v>0</v>
      </c>
      <c r="AA129" s="475">
        <v>0</v>
      </c>
      <c r="AB129" s="475">
        <f t="shared" si="264"/>
        <v>0</v>
      </c>
      <c r="AC129" s="475">
        <f t="shared" si="265"/>
        <v>0</v>
      </c>
      <c r="AD129" s="70">
        <f t="shared" si="266"/>
        <v>0</v>
      </c>
      <c r="AE129" s="70">
        <f t="shared" si="267"/>
        <v>0</v>
      </c>
      <c r="AF129" s="475">
        <v>0</v>
      </c>
      <c r="AG129" s="475">
        <v>0</v>
      </c>
      <c r="AH129" s="475">
        <f t="shared" si="268"/>
        <v>0</v>
      </c>
      <c r="AI129" s="475">
        <f t="shared" si="269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 t="shared" si="159"/>
        <v>0</v>
      </c>
      <c r="AS129" s="476">
        <f t="shared" si="160"/>
        <v>0</v>
      </c>
      <c r="AT129" s="478">
        <f t="shared" si="161"/>
        <v>0</v>
      </c>
      <c r="AU129" s="484">
        <f>I129+AI129</f>
        <v>26198</v>
      </c>
      <c r="AV129" s="475">
        <f>J129+X129</f>
        <v>17642</v>
      </c>
      <c r="AW129" s="475">
        <f>K129+AB129</f>
        <v>0</v>
      </c>
      <c r="AX129" s="475">
        <f t="shared" si="270"/>
        <v>5963</v>
      </c>
      <c r="AY129" s="475">
        <f t="shared" si="270"/>
        <v>353</v>
      </c>
      <c r="AZ129" s="475">
        <f>N129+AH129</f>
        <v>2240</v>
      </c>
      <c r="BA129" s="476">
        <f>O129+AT129</f>
        <v>7.0000000000000007E-2</v>
      </c>
      <c r="BB129" s="476">
        <f t="shared" si="271"/>
        <v>0</v>
      </c>
      <c r="BC129" s="478">
        <f t="shared" si="271"/>
        <v>7.0000000000000007E-2</v>
      </c>
    </row>
    <row r="130" spans="1:55" s="102" customFormat="1" ht="14.1" customHeight="1" thickBot="1" x14ac:dyDescent="0.25">
      <c r="A130" s="127">
        <v>20</v>
      </c>
      <c r="B130" s="114">
        <v>2446</v>
      </c>
      <c r="C130" s="115">
        <v>600080129</v>
      </c>
      <c r="D130" s="114">
        <v>72743522</v>
      </c>
      <c r="E130" s="114" t="s">
        <v>780</v>
      </c>
      <c r="F130" s="116"/>
      <c r="G130" s="117"/>
      <c r="H130" s="118"/>
      <c r="I130" s="649">
        <v>10367781</v>
      </c>
      <c r="J130" s="511">
        <v>7456480</v>
      </c>
      <c r="K130" s="511">
        <v>108151</v>
      </c>
      <c r="L130" s="511">
        <v>2533810</v>
      </c>
      <c r="M130" s="511">
        <v>149130</v>
      </c>
      <c r="N130" s="511">
        <v>120210</v>
      </c>
      <c r="O130" s="512">
        <v>16.443700000000003</v>
      </c>
      <c r="P130" s="512">
        <v>12.795</v>
      </c>
      <c r="Q130" s="513">
        <v>3.6486999999999994</v>
      </c>
      <c r="R130" s="717">
        <f t="shared" ref="R130:BC130" si="272">SUM(R125:R129)</f>
        <v>0</v>
      </c>
      <c r="S130" s="633">
        <f t="shared" si="272"/>
        <v>0</v>
      </c>
      <c r="T130" s="633">
        <f t="shared" si="272"/>
        <v>143393</v>
      </c>
      <c r="U130" s="633">
        <f t="shared" si="272"/>
        <v>0</v>
      </c>
      <c r="V130" s="633">
        <f t="shared" si="272"/>
        <v>0</v>
      </c>
      <c r="W130" s="633">
        <f t="shared" si="272"/>
        <v>0</v>
      </c>
      <c r="X130" s="633">
        <f t="shared" si="272"/>
        <v>143393</v>
      </c>
      <c r="Y130" s="633">
        <f t="shared" si="272"/>
        <v>0</v>
      </c>
      <c r="Z130" s="633">
        <f t="shared" si="272"/>
        <v>0</v>
      </c>
      <c r="AA130" s="633">
        <f t="shared" si="272"/>
        <v>0</v>
      </c>
      <c r="AB130" s="633">
        <f t="shared" si="272"/>
        <v>0</v>
      </c>
      <c r="AC130" s="633">
        <f t="shared" si="272"/>
        <v>143393</v>
      </c>
      <c r="AD130" s="633">
        <f t="shared" si="272"/>
        <v>48467</v>
      </c>
      <c r="AE130" s="633">
        <f t="shared" si="272"/>
        <v>2868</v>
      </c>
      <c r="AF130" s="633">
        <f t="shared" si="272"/>
        <v>1250</v>
      </c>
      <c r="AG130" s="633">
        <f t="shared" si="272"/>
        <v>0</v>
      </c>
      <c r="AH130" s="633">
        <f t="shared" si="272"/>
        <v>1250</v>
      </c>
      <c r="AI130" s="633">
        <f t="shared" si="272"/>
        <v>195978</v>
      </c>
      <c r="AJ130" s="634">
        <f t="shared" si="272"/>
        <v>0</v>
      </c>
      <c r="AK130" s="634">
        <f t="shared" si="272"/>
        <v>0</v>
      </c>
      <c r="AL130" s="634">
        <f t="shared" si="272"/>
        <v>0</v>
      </c>
      <c r="AM130" s="634">
        <f t="shared" si="272"/>
        <v>0.28999999999999998</v>
      </c>
      <c r="AN130" s="634">
        <f t="shared" si="272"/>
        <v>0</v>
      </c>
      <c r="AO130" s="634">
        <f t="shared" si="272"/>
        <v>0</v>
      </c>
      <c r="AP130" s="634">
        <f t="shared" si="272"/>
        <v>0</v>
      </c>
      <c r="AQ130" s="634">
        <f t="shared" si="272"/>
        <v>0</v>
      </c>
      <c r="AR130" s="634">
        <f t="shared" si="272"/>
        <v>0.28999999999999998</v>
      </c>
      <c r="AS130" s="634">
        <f t="shared" si="272"/>
        <v>0</v>
      </c>
      <c r="AT130" s="635">
        <f t="shared" si="272"/>
        <v>0.28999999999999998</v>
      </c>
      <c r="AU130" s="695">
        <f t="shared" si="272"/>
        <v>10563759</v>
      </c>
      <c r="AV130" s="633">
        <f t="shared" si="272"/>
        <v>7599873</v>
      </c>
      <c r="AW130" s="633">
        <f t="shared" si="272"/>
        <v>108151</v>
      </c>
      <c r="AX130" s="633">
        <f t="shared" si="272"/>
        <v>2582277</v>
      </c>
      <c r="AY130" s="633">
        <f t="shared" si="272"/>
        <v>151998</v>
      </c>
      <c r="AZ130" s="633">
        <f t="shared" si="272"/>
        <v>121460</v>
      </c>
      <c r="BA130" s="634">
        <f t="shared" si="272"/>
        <v>16.733700000000002</v>
      </c>
      <c r="BB130" s="634">
        <f t="shared" si="272"/>
        <v>13.084999999999999</v>
      </c>
      <c r="BC130" s="635">
        <f t="shared" si="272"/>
        <v>3.6486999999999994</v>
      </c>
    </row>
    <row r="131" spans="1:55" s="102" customFormat="1" ht="14.1" customHeight="1" thickBot="1" x14ac:dyDescent="0.25">
      <c r="A131" s="267"/>
      <c r="B131" s="268"/>
      <c r="C131" s="268"/>
      <c r="D131" s="268"/>
      <c r="E131" s="268" t="s">
        <v>781</v>
      </c>
      <c r="F131" s="268"/>
      <c r="G131" s="268"/>
      <c r="H131" s="269"/>
      <c r="I131" s="514">
        <f t="shared" ref="I131:BC131" si="273">I130+I124+I115+I113+I107+I105+I101+I95+I91+I84+I77+I70+I63+I56+I49+I42+I35+I28+I19+I13</f>
        <v>330750844</v>
      </c>
      <c r="J131" s="515">
        <f t="shared" si="273"/>
        <v>238076592</v>
      </c>
      <c r="K131" s="515">
        <f t="shared" si="273"/>
        <v>2367028</v>
      </c>
      <c r="L131" s="515">
        <f t="shared" si="273"/>
        <v>81216785</v>
      </c>
      <c r="M131" s="515">
        <f t="shared" si="273"/>
        <v>4761532</v>
      </c>
      <c r="N131" s="515">
        <f t="shared" si="273"/>
        <v>4328907</v>
      </c>
      <c r="O131" s="516">
        <f t="shared" si="273"/>
        <v>510.04560000000004</v>
      </c>
      <c r="P131" s="516">
        <f t="shared" si="273"/>
        <v>370.34770000000003</v>
      </c>
      <c r="Q131" s="694">
        <f t="shared" si="273"/>
        <v>139.6979</v>
      </c>
      <c r="R131" s="716">
        <f t="shared" si="273"/>
        <v>-10000</v>
      </c>
      <c r="S131" s="629">
        <f t="shared" si="273"/>
        <v>31070</v>
      </c>
      <c r="T131" s="629">
        <f t="shared" si="273"/>
        <v>679076</v>
      </c>
      <c r="U131" s="629">
        <f t="shared" si="273"/>
        <v>0</v>
      </c>
      <c r="V131" s="629">
        <f t="shared" si="273"/>
        <v>0</v>
      </c>
      <c r="W131" s="629">
        <f t="shared" si="273"/>
        <v>0</v>
      </c>
      <c r="X131" s="629">
        <f t="shared" si="273"/>
        <v>700146</v>
      </c>
      <c r="Y131" s="629">
        <f t="shared" si="273"/>
        <v>10000</v>
      </c>
      <c r="Z131" s="629">
        <f t="shared" si="273"/>
        <v>0</v>
      </c>
      <c r="AA131" s="629">
        <f t="shared" si="273"/>
        <v>0</v>
      </c>
      <c r="AB131" s="629">
        <f t="shared" si="273"/>
        <v>10000</v>
      </c>
      <c r="AC131" s="629">
        <f t="shared" si="273"/>
        <v>710146</v>
      </c>
      <c r="AD131" s="629">
        <f t="shared" si="273"/>
        <v>240031</v>
      </c>
      <c r="AE131" s="629">
        <f t="shared" si="273"/>
        <v>14005</v>
      </c>
      <c r="AF131" s="629">
        <f t="shared" si="273"/>
        <v>19200</v>
      </c>
      <c r="AG131" s="629">
        <f t="shared" si="273"/>
        <v>0</v>
      </c>
      <c r="AH131" s="629">
        <f t="shared" si="273"/>
        <v>19200</v>
      </c>
      <c r="AI131" s="629">
        <f t="shared" si="273"/>
        <v>983382</v>
      </c>
      <c r="AJ131" s="630">
        <f t="shared" si="273"/>
        <v>-0.02</v>
      </c>
      <c r="AK131" s="630">
        <f t="shared" si="273"/>
        <v>0</v>
      </c>
      <c r="AL131" s="630">
        <f t="shared" si="273"/>
        <v>4.0000000000000008E-2</v>
      </c>
      <c r="AM131" s="630">
        <f t="shared" ref="AM131:AN131" si="274">AM130+AM124+AM115+AM113+AM107+AM105+AM101+AM95+AM91+AM84+AM77+AM70+AM63+AM56+AM49+AM42+AM35+AM28+AM19+AM13</f>
        <v>1.52</v>
      </c>
      <c r="AN131" s="630">
        <f t="shared" si="274"/>
        <v>-0.63000000000000012</v>
      </c>
      <c r="AO131" s="630">
        <f t="shared" ref="AO131:AT131" si="275">AO130+AO124+AO115+AO113+AO107+AO105+AO101+AO95+AO91+AO84+AO77+AO70+AO63+AO56+AO49+AO42+AO35+AO28+AO19+AO13</f>
        <v>0</v>
      </c>
      <c r="AP131" s="630">
        <f t="shared" si="275"/>
        <v>0</v>
      </c>
      <c r="AQ131" s="630">
        <f t="shared" si="275"/>
        <v>0</v>
      </c>
      <c r="AR131" s="630">
        <f t="shared" si="275"/>
        <v>1.54</v>
      </c>
      <c r="AS131" s="630">
        <f t="shared" si="275"/>
        <v>-0.63000000000000012</v>
      </c>
      <c r="AT131" s="637">
        <f t="shared" si="275"/>
        <v>0.91</v>
      </c>
      <c r="AU131" s="636">
        <f t="shared" si="273"/>
        <v>331734226</v>
      </c>
      <c r="AV131" s="629">
        <f t="shared" si="273"/>
        <v>238776738</v>
      </c>
      <c r="AW131" s="629">
        <f t="shared" si="273"/>
        <v>2377028</v>
      </c>
      <c r="AX131" s="629">
        <f t="shared" si="273"/>
        <v>81456816</v>
      </c>
      <c r="AY131" s="629">
        <f t="shared" si="273"/>
        <v>4775537</v>
      </c>
      <c r="AZ131" s="629">
        <f t="shared" si="273"/>
        <v>4348107</v>
      </c>
      <c r="BA131" s="630">
        <f t="shared" si="273"/>
        <v>510.95560000000006</v>
      </c>
      <c r="BB131" s="630">
        <f t="shared" si="273"/>
        <v>371.8877</v>
      </c>
      <c r="BC131" s="637">
        <f t="shared" si="273"/>
        <v>139.06789999999998</v>
      </c>
    </row>
    <row r="132" spans="1:55" s="102" customFormat="1" ht="14.1" customHeight="1" x14ac:dyDescent="0.2">
      <c r="A132" s="120"/>
      <c r="E132" s="119"/>
      <c r="F132" s="119"/>
      <c r="G132" s="119"/>
      <c r="H132" s="119"/>
      <c r="I132" s="490">
        <f>SUM(J131:N131)</f>
        <v>330750844</v>
      </c>
      <c r="J132" s="490"/>
      <c r="K132" s="490"/>
      <c r="L132" s="490"/>
      <c r="M132" s="490"/>
      <c r="N132" s="490"/>
      <c r="O132" s="491">
        <f>SUM(P131:Q131)</f>
        <v>510.04560000000004</v>
      </c>
      <c r="P132" s="491"/>
      <c r="Q132" s="491"/>
      <c r="R132" s="490">
        <f>Y131</f>
        <v>10000</v>
      </c>
      <c r="S132" s="491"/>
      <c r="T132" s="491"/>
      <c r="U132" s="491"/>
      <c r="V132" s="491"/>
      <c r="W132" s="491"/>
      <c r="X132" s="497">
        <f>SUM(R131:W131)</f>
        <v>700146</v>
      </c>
      <c r="Y132" s="497">
        <f>R131</f>
        <v>-10000</v>
      </c>
      <c r="Z132" s="498"/>
      <c r="AA132" s="498"/>
      <c r="AB132" s="497">
        <f>SUM(Y131:AA131)</f>
        <v>10000</v>
      </c>
      <c r="AC132" s="497">
        <f>X131+AB131</f>
        <v>710146</v>
      </c>
      <c r="AD132" s="499"/>
      <c r="AE132" s="499"/>
      <c r="AF132" s="498"/>
      <c r="AG132" s="498"/>
      <c r="AH132" s="497">
        <f>SUM(AF131:AG131)</f>
        <v>19200</v>
      </c>
      <c r="AI132" s="497">
        <f>AC131+AD131+AE131+AH131</f>
        <v>983382</v>
      </c>
      <c r="AJ132" s="500"/>
      <c r="AK132" s="500"/>
      <c r="AL132" s="500"/>
      <c r="AM132" s="500"/>
      <c r="AN132" s="500"/>
      <c r="AO132" s="500"/>
      <c r="AP132" s="500"/>
      <c r="AQ132" s="500"/>
      <c r="AR132" s="706">
        <f>AJ131+AL131+AM131+AO131+AP131</f>
        <v>1.54</v>
      </c>
      <c r="AS132" s="706">
        <f>AK131+AN131+AQ131</f>
        <v>-0.63000000000000012</v>
      </c>
      <c r="AT132" s="706">
        <f>SUM(AR131:AS131)</f>
        <v>0.90999999999999992</v>
      </c>
      <c r="AU132" s="490">
        <f>SUM(AV131:AZ131)</f>
        <v>331734226</v>
      </c>
      <c r="AV132" s="55"/>
      <c r="AW132" s="55"/>
      <c r="AX132" s="55"/>
      <c r="AY132" s="55"/>
      <c r="AZ132" s="55"/>
      <c r="BA132" s="491">
        <f>SUM(BB131:BC131)</f>
        <v>510.9556</v>
      </c>
      <c r="BB132" s="93"/>
      <c r="BC132" s="93"/>
    </row>
    <row r="133" spans="1:55" customFormat="1" ht="13.5" thickBot="1" x14ac:dyDescent="0.25">
      <c r="D133" s="23"/>
      <c r="E133" s="24"/>
      <c r="F133" s="23"/>
      <c r="G133" s="42"/>
      <c r="H133" s="24"/>
      <c r="I133" s="91">
        <f>SUM(J134:N134)</f>
        <v>330750844</v>
      </c>
      <c r="J133" s="53"/>
      <c r="K133" s="53"/>
      <c r="L133" s="496"/>
      <c r="M133" s="496"/>
      <c r="N133" s="53"/>
      <c r="O133" s="92">
        <f>SUM(P134:Q134)</f>
        <v>510.04559999999998</v>
      </c>
      <c r="P133" s="183"/>
      <c r="Q133" s="183"/>
      <c r="R133" s="491"/>
      <c r="S133" s="491"/>
      <c r="T133" s="491"/>
      <c r="U133" s="491"/>
      <c r="V133" s="491"/>
      <c r="W133" s="491"/>
      <c r="X133" s="497">
        <f>SUM(R134:W134)</f>
        <v>700146</v>
      </c>
      <c r="Y133" s="498"/>
      <c r="Z133" s="498"/>
      <c r="AA133" s="498"/>
      <c r="AB133" s="497">
        <f>SUM(Y134:AA134)</f>
        <v>10000</v>
      </c>
      <c r="AC133" s="497">
        <f>X134+AB134</f>
        <v>710146</v>
      </c>
      <c r="AD133" s="499"/>
      <c r="AE133" s="499"/>
      <c r="AF133" s="498"/>
      <c r="AG133" s="498"/>
      <c r="AH133" s="497">
        <f>SUM(AF134:AG134)</f>
        <v>19200</v>
      </c>
      <c r="AI133" s="497">
        <f>AC134+AD134+AE134+AH134</f>
        <v>983382</v>
      </c>
      <c r="AJ133" s="500"/>
      <c r="AK133" s="500"/>
      <c r="AL133" s="500"/>
      <c r="AM133" s="500"/>
      <c r="AN133" s="500"/>
      <c r="AO133" s="500"/>
      <c r="AP133" s="500"/>
      <c r="AQ133" s="500"/>
      <c r="AR133" s="663">
        <f>AJ134+AL134+AM134+AO134+AP134</f>
        <v>1.5399999999999998</v>
      </c>
      <c r="AS133" s="663">
        <f>AK134+AN134+AQ134</f>
        <v>-0.63000000000000012</v>
      </c>
      <c r="AT133" s="663">
        <f>SUM(AR134:AS134)</f>
        <v>0.9099999999999997</v>
      </c>
      <c r="AU133" s="490">
        <f>SUM(AV134:AZ134)</f>
        <v>331734226</v>
      </c>
      <c r="AV133" s="55"/>
      <c r="AW133" s="55"/>
      <c r="AX133" s="55"/>
      <c r="AY133" s="55"/>
      <c r="AZ133" s="55"/>
      <c r="BA133" s="491">
        <f>SUM(BB134:BC134)</f>
        <v>510.9556</v>
      </c>
      <c r="BB133" s="93"/>
      <c r="BC133" s="93"/>
    </row>
    <row r="134" spans="1:55" customFormat="1" ht="13.5" thickBot="1" x14ac:dyDescent="0.25">
      <c r="D134" s="23"/>
      <c r="E134" s="24"/>
      <c r="F134" s="23"/>
      <c r="G134" s="42"/>
      <c r="H134" s="517" t="s">
        <v>0</v>
      </c>
      <c r="I134" s="146">
        <f t="shared" ref="I134:BC134" si="276">SUM(I135:I144)</f>
        <v>330750844</v>
      </c>
      <c r="J134" s="34">
        <f t="shared" si="276"/>
        <v>238076592</v>
      </c>
      <c r="K134" s="34">
        <f t="shared" ref="K134" si="277">SUM(K135:K144)</f>
        <v>2367028</v>
      </c>
      <c r="L134" s="34">
        <f t="shared" si="276"/>
        <v>81216785</v>
      </c>
      <c r="M134" s="34">
        <f t="shared" si="276"/>
        <v>4761532</v>
      </c>
      <c r="N134" s="34">
        <f t="shared" si="276"/>
        <v>4328907</v>
      </c>
      <c r="O134" s="35">
        <f t="shared" si="276"/>
        <v>510.04560000000004</v>
      </c>
      <c r="P134" s="35">
        <f t="shared" si="276"/>
        <v>370.34769999999997</v>
      </c>
      <c r="Q134" s="155">
        <f t="shared" si="276"/>
        <v>139.6979</v>
      </c>
      <c r="R134" s="146">
        <f t="shared" si="276"/>
        <v>-10000</v>
      </c>
      <c r="S134" s="34">
        <f t="shared" si="276"/>
        <v>31070</v>
      </c>
      <c r="T134" s="34">
        <f t="shared" ref="T134:U134" si="278">SUM(T135:T144)</f>
        <v>679076</v>
      </c>
      <c r="U134" s="34">
        <f t="shared" si="278"/>
        <v>0</v>
      </c>
      <c r="V134" s="34">
        <f t="shared" si="276"/>
        <v>0</v>
      </c>
      <c r="W134" s="34">
        <f t="shared" si="276"/>
        <v>0</v>
      </c>
      <c r="X134" s="34">
        <f t="shared" si="276"/>
        <v>700146</v>
      </c>
      <c r="Y134" s="34">
        <f t="shared" si="276"/>
        <v>10000</v>
      </c>
      <c r="Z134" s="34">
        <f t="shared" si="276"/>
        <v>0</v>
      </c>
      <c r="AA134" s="34">
        <f t="shared" si="276"/>
        <v>0</v>
      </c>
      <c r="AB134" s="34">
        <f t="shared" si="276"/>
        <v>10000</v>
      </c>
      <c r="AC134" s="34">
        <f t="shared" si="276"/>
        <v>710146</v>
      </c>
      <c r="AD134" s="34">
        <f t="shared" si="276"/>
        <v>240031</v>
      </c>
      <c r="AE134" s="34">
        <f t="shared" si="276"/>
        <v>14005</v>
      </c>
      <c r="AF134" s="34">
        <f t="shared" si="276"/>
        <v>19200</v>
      </c>
      <c r="AG134" s="34">
        <f t="shared" si="276"/>
        <v>0</v>
      </c>
      <c r="AH134" s="34">
        <f t="shared" si="276"/>
        <v>19200</v>
      </c>
      <c r="AI134" s="34">
        <f t="shared" si="276"/>
        <v>983382</v>
      </c>
      <c r="AJ134" s="35">
        <f t="shared" si="276"/>
        <v>-0.02</v>
      </c>
      <c r="AK134" s="35">
        <f t="shared" si="276"/>
        <v>0</v>
      </c>
      <c r="AL134" s="35">
        <f t="shared" si="276"/>
        <v>4.0000000000000036E-2</v>
      </c>
      <c r="AM134" s="35">
        <f t="shared" ref="AM134:AN134" si="279">SUM(AM135:AM144)</f>
        <v>1.5199999999999998</v>
      </c>
      <c r="AN134" s="35">
        <f t="shared" si="279"/>
        <v>-0.63000000000000012</v>
      </c>
      <c r="AO134" s="35">
        <f t="shared" ref="AO134:AT134" si="280">SUM(AO135:AO144)</f>
        <v>0</v>
      </c>
      <c r="AP134" s="35">
        <f t="shared" si="280"/>
        <v>0</v>
      </c>
      <c r="AQ134" s="35">
        <f t="shared" si="280"/>
        <v>0</v>
      </c>
      <c r="AR134" s="35">
        <f t="shared" si="280"/>
        <v>1.5399999999999998</v>
      </c>
      <c r="AS134" s="35">
        <f t="shared" si="280"/>
        <v>-0.63000000000000012</v>
      </c>
      <c r="AT134" s="35">
        <f t="shared" si="280"/>
        <v>0.90999999999999981</v>
      </c>
      <c r="AU134" s="156">
        <f t="shared" si="276"/>
        <v>331734226</v>
      </c>
      <c r="AV134" s="34">
        <f t="shared" si="276"/>
        <v>238776738</v>
      </c>
      <c r="AW134" s="34">
        <f t="shared" si="276"/>
        <v>2377028</v>
      </c>
      <c r="AX134" s="34">
        <f t="shared" si="276"/>
        <v>81456816</v>
      </c>
      <c r="AY134" s="34">
        <f t="shared" si="276"/>
        <v>4775537</v>
      </c>
      <c r="AZ134" s="34">
        <f t="shared" si="276"/>
        <v>4348107</v>
      </c>
      <c r="BA134" s="35">
        <f t="shared" si="276"/>
        <v>510.9556</v>
      </c>
      <c r="BB134" s="35">
        <f t="shared" si="276"/>
        <v>371.8877</v>
      </c>
      <c r="BC134" s="36">
        <f t="shared" si="276"/>
        <v>139.06789999999998</v>
      </c>
    </row>
    <row r="135" spans="1:55" customFormat="1" ht="12.75" x14ac:dyDescent="0.2">
      <c r="D135" s="23"/>
      <c r="E135" s="24"/>
      <c r="F135" s="23"/>
      <c r="G135" s="42"/>
      <c r="H135" s="518">
        <v>3111</v>
      </c>
      <c r="I135" s="31">
        <f t="shared" ref="I135:BC135" si="281">SUMIF($F$12:$F$411,"=3111",I$12:I$411)</f>
        <v>61111037</v>
      </c>
      <c r="J135" s="153">
        <f t="shared" si="281"/>
        <v>44180872</v>
      </c>
      <c r="K135" s="153">
        <f t="shared" si="281"/>
        <v>553000</v>
      </c>
      <c r="L135" s="153">
        <f t="shared" si="281"/>
        <v>15120048</v>
      </c>
      <c r="M135" s="153">
        <f t="shared" si="281"/>
        <v>883617</v>
      </c>
      <c r="N135" s="153">
        <f t="shared" si="281"/>
        <v>373500</v>
      </c>
      <c r="O135" s="154">
        <f t="shared" si="281"/>
        <v>97.812500000000014</v>
      </c>
      <c r="P135" s="154">
        <f t="shared" si="281"/>
        <v>78.767099999999999</v>
      </c>
      <c r="Q135" s="487">
        <f t="shared" si="281"/>
        <v>19.045400000000001</v>
      </c>
      <c r="R135" s="31">
        <f t="shared" si="281"/>
        <v>0</v>
      </c>
      <c r="S135" s="153">
        <f t="shared" si="281"/>
        <v>86611</v>
      </c>
      <c r="T135" s="153">
        <f t="shared" si="281"/>
        <v>143393</v>
      </c>
      <c r="U135" s="153">
        <f t="shared" si="281"/>
        <v>0</v>
      </c>
      <c r="V135" s="153">
        <f t="shared" si="281"/>
        <v>0</v>
      </c>
      <c r="W135" s="153">
        <f t="shared" si="281"/>
        <v>0</v>
      </c>
      <c r="X135" s="153">
        <f t="shared" si="281"/>
        <v>230004</v>
      </c>
      <c r="Y135" s="153">
        <f t="shared" si="281"/>
        <v>0</v>
      </c>
      <c r="Z135" s="153">
        <f t="shared" si="281"/>
        <v>0</v>
      </c>
      <c r="AA135" s="153">
        <f t="shared" si="281"/>
        <v>0</v>
      </c>
      <c r="AB135" s="153">
        <f t="shared" si="281"/>
        <v>0</v>
      </c>
      <c r="AC135" s="153">
        <f t="shared" si="281"/>
        <v>230004</v>
      </c>
      <c r="AD135" s="153">
        <f t="shared" si="281"/>
        <v>77742</v>
      </c>
      <c r="AE135" s="153">
        <f t="shared" si="281"/>
        <v>4600</v>
      </c>
      <c r="AF135" s="153">
        <f t="shared" si="281"/>
        <v>2750</v>
      </c>
      <c r="AG135" s="153">
        <f t="shared" si="281"/>
        <v>0</v>
      </c>
      <c r="AH135" s="153">
        <f t="shared" si="281"/>
        <v>2750</v>
      </c>
      <c r="AI135" s="153">
        <f t="shared" si="281"/>
        <v>315096</v>
      </c>
      <c r="AJ135" s="154">
        <f t="shared" si="281"/>
        <v>0</v>
      </c>
      <c r="AK135" s="154">
        <f t="shared" si="281"/>
        <v>0</v>
      </c>
      <c r="AL135" s="154">
        <f t="shared" si="281"/>
        <v>0.25</v>
      </c>
      <c r="AM135" s="154">
        <f t="shared" si="281"/>
        <v>0.28999999999999998</v>
      </c>
      <c r="AN135" s="154">
        <f t="shared" si="281"/>
        <v>0</v>
      </c>
      <c r="AO135" s="154">
        <f t="shared" si="281"/>
        <v>0</v>
      </c>
      <c r="AP135" s="154">
        <f t="shared" si="281"/>
        <v>0</v>
      </c>
      <c r="AQ135" s="154">
        <f t="shared" si="281"/>
        <v>0</v>
      </c>
      <c r="AR135" s="154">
        <f t="shared" si="281"/>
        <v>0.54</v>
      </c>
      <c r="AS135" s="154">
        <f t="shared" si="281"/>
        <v>0</v>
      </c>
      <c r="AT135" s="154">
        <f t="shared" si="281"/>
        <v>0.54</v>
      </c>
      <c r="AU135" s="32">
        <f t="shared" si="281"/>
        <v>61426133</v>
      </c>
      <c r="AV135" s="153">
        <f t="shared" si="281"/>
        <v>44410876</v>
      </c>
      <c r="AW135" s="153">
        <f t="shared" si="281"/>
        <v>553000</v>
      </c>
      <c r="AX135" s="153">
        <f t="shared" si="281"/>
        <v>15197790</v>
      </c>
      <c r="AY135" s="153">
        <f t="shared" si="281"/>
        <v>888217</v>
      </c>
      <c r="AZ135" s="153">
        <f t="shared" si="281"/>
        <v>376250</v>
      </c>
      <c r="BA135" s="154">
        <f t="shared" si="281"/>
        <v>98.352500000000006</v>
      </c>
      <c r="BB135" s="154">
        <f t="shared" si="281"/>
        <v>79.307100000000005</v>
      </c>
      <c r="BC135" s="259">
        <f t="shared" si="281"/>
        <v>19.045400000000001</v>
      </c>
    </row>
    <row r="136" spans="1:55" customFormat="1" ht="12.75" x14ac:dyDescent="0.2">
      <c r="D136" s="23"/>
      <c r="E136" s="24"/>
      <c r="F136" s="23"/>
      <c r="G136" s="42"/>
      <c r="H136" s="2">
        <v>3113</v>
      </c>
      <c r="I136" s="25">
        <f t="shared" ref="I136:BC136" si="282">SUMIF($F$12:$F$411,"=3113",I$12:I$411)</f>
        <v>157188027</v>
      </c>
      <c r="J136" s="26">
        <f t="shared" si="282"/>
        <v>113097325</v>
      </c>
      <c r="K136" s="26">
        <f t="shared" si="282"/>
        <v>584127</v>
      </c>
      <c r="L136" s="26">
        <f t="shared" si="282"/>
        <v>38394207</v>
      </c>
      <c r="M136" s="26">
        <f t="shared" si="282"/>
        <v>2261948</v>
      </c>
      <c r="N136" s="26">
        <f t="shared" si="282"/>
        <v>2850420</v>
      </c>
      <c r="O136" s="27">
        <f t="shared" si="282"/>
        <v>225.23009999999994</v>
      </c>
      <c r="P136" s="27">
        <f t="shared" si="282"/>
        <v>181.82179999999997</v>
      </c>
      <c r="Q136" s="488">
        <f t="shared" si="282"/>
        <v>43.408299999999997</v>
      </c>
      <c r="R136" s="25">
        <f t="shared" si="282"/>
        <v>0</v>
      </c>
      <c r="S136" s="26">
        <f t="shared" si="282"/>
        <v>9930</v>
      </c>
      <c r="T136" s="26">
        <f t="shared" si="282"/>
        <v>375311</v>
      </c>
      <c r="U136" s="26">
        <f t="shared" si="282"/>
        <v>0</v>
      </c>
      <c r="V136" s="26">
        <f t="shared" si="282"/>
        <v>0</v>
      </c>
      <c r="W136" s="26">
        <f t="shared" si="282"/>
        <v>0</v>
      </c>
      <c r="X136" s="26">
        <f t="shared" si="282"/>
        <v>385241</v>
      </c>
      <c r="Y136" s="26">
        <f t="shared" si="282"/>
        <v>0</v>
      </c>
      <c r="Z136" s="26">
        <f t="shared" si="282"/>
        <v>0</v>
      </c>
      <c r="AA136" s="26">
        <f t="shared" si="282"/>
        <v>0</v>
      </c>
      <c r="AB136" s="26">
        <f t="shared" si="282"/>
        <v>0</v>
      </c>
      <c r="AC136" s="26">
        <f t="shared" si="282"/>
        <v>385241</v>
      </c>
      <c r="AD136" s="26">
        <f t="shared" si="282"/>
        <v>130211</v>
      </c>
      <c r="AE136" s="26">
        <f t="shared" si="282"/>
        <v>7705</v>
      </c>
      <c r="AF136" s="26">
        <f t="shared" si="282"/>
        <v>6250</v>
      </c>
      <c r="AG136" s="26">
        <f t="shared" si="282"/>
        <v>0</v>
      </c>
      <c r="AH136" s="26">
        <f t="shared" si="282"/>
        <v>6250</v>
      </c>
      <c r="AI136" s="26">
        <f t="shared" si="282"/>
        <v>529407</v>
      </c>
      <c r="AJ136" s="27">
        <f t="shared" si="282"/>
        <v>0</v>
      </c>
      <c r="AK136" s="27">
        <f t="shared" si="282"/>
        <v>0</v>
      </c>
      <c r="AL136" s="27">
        <f t="shared" si="282"/>
        <v>4.0000000000000008E-2</v>
      </c>
      <c r="AM136" s="27">
        <f t="shared" si="282"/>
        <v>0.59</v>
      </c>
      <c r="AN136" s="27">
        <f t="shared" si="282"/>
        <v>0</v>
      </c>
      <c r="AO136" s="27">
        <f t="shared" si="282"/>
        <v>0</v>
      </c>
      <c r="AP136" s="27">
        <f t="shared" si="282"/>
        <v>0</v>
      </c>
      <c r="AQ136" s="27">
        <f t="shared" si="282"/>
        <v>0</v>
      </c>
      <c r="AR136" s="27">
        <f t="shared" si="282"/>
        <v>0.63</v>
      </c>
      <c r="AS136" s="27">
        <f t="shared" si="282"/>
        <v>0</v>
      </c>
      <c r="AT136" s="27">
        <f t="shared" si="282"/>
        <v>0.63</v>
      </c>
      <c r="AU136" s="39">
        <f t="shared" si="282"/>
        <v>157717434</v>
      </c>
      <c r="AV136" s="26">
        <f t="shared" si="282"/>
        <v>113482566</v>
      </c>
      <c r="AW136" s="26">
        <f t="shared" si="282"/>
        <v>584127</v>
      </c>
      <c r="AX136" s="26">
        <f t="shared" si="282"/>
        <v>38524418</v>
      </c>
      <c r="AY136" s="26">
        <f t="shared" si="282"/>
        <v>2269653</v>
      </c>
      <c r="AZ136" s="26">
        <f t="shared" si="282"/>
        <v>2856670</v>
      </c>
      <c r="BA136" s="27">
        <f t="shared" si="282"/>
        <v>225.86009999999996</v>
      </c>
      <c r="BB136" s="27">
        <f t="shared" si="282"/>
        <v>182.45179999999999</v>
      </c>
      <c r="BC136" s="260">
        <f t="shared" si="282"/>
        <v>43.408299999999997</v>
      </c>
    </row>
    <row r="137" spans="1:55" customFormat="1" ht="12.75" x14ac:dyDescent="0.2">
      <c r="D137" s="23"/>
      <c r="E137" s="24"/>
      <c r="F137" s="23"/>
      <c r="G137" s="42"/>
      <c r="H137" s="2">
        <v>3114</v>
      </c>
      <c r="I137" s="25">
        <f t="shared" ref="I137:BC137" si="283">SUMIF($F$12:$F$411,"=3114",I$12:I$411)</f>
        <v>13702160</v>
      </c>
      <c r="J137" s="26">
        <f t="shared" si="283"/>
        <v>9928561</v>
      </c>
      <c r="K137" s="26">
        <f t="shared" si="283"/>
        <v>65750</v>
      </c>
      <c r="L137" s="26">
        <f t="shared" si="283"/>
        <v>3378078</v>
      </c>
      <c r="M137" s="26">
        <f t="shared" si="283"/>
        <v>198571</v>
      </c>
      <c r="N137" s="26">
        <f t="shared" si="283"/>
        <v>131200</v>
      </c>
      <c r="O137" s="27">
        <f t="shared" si="283"/>
        <v>19.142600000000002</v>
      </c>
      <c r="P137" s="27">
        <f t="shared" si="283"/>
        <v>15.154299999999999</v>
      </c>
      <c r="Q137" s="488">
        <f t="shared" si="283"/>
        <v>3.9882999999999997</v>
      </c>
      <c r="R137" s="25">
        <f t="shared" si="283"/>
        <v>0</v>
      </c>
      <c r="S137" s="26">
        <f t="shared" si="283"/>
        <v>0</v>
      </c>
      <c r="T137" s="26">
        <f t="shared" si="283"/>
        <v>0</v>
      </c>
      <c r="U137" s="26">
        <f t="shared" si="283"/>
        <v>0</v>
      </c>
      <c r="V137" s="26">
        <f t="shared" si="283"/>
        <v>0</v>
      </c>
      <c r="W137" s="26">
        <f t="shared" si="283"/>
        <v>0</v>
      </c>
      <c r="X137" s="26">
        <f t="shared" si="283"/>
        <v>0</v>
      </c>
      <c r="Y137" s="26">
        <f t="shared" si="283"/>
        <v>0</v>
      </c>
      <c r="Z137" s="26">
        <f t="shared" si="283"/>
        <v>0</v>
      </c>
      <c r="AA137" s="26">
        <f t="shared" si="283"/>
        <v>0</v>
      </c>
      <c r="AB137" s="26">
        <f t="shared" si="283"/>
        <v>0</v>
      </c>
      <c r="AC137" s="26">
        <f t="shared" si="283"/>
        <v>0</v>
      </c>
      <c r="AD137" s="26">
        <f t="shared" si="283"/>
        <v>0</v>
      </c>
      <c r="AE137" s="26">
        <f t="shared" si="283"/>
        <v>0</v>
      </c>
      <c r="AF137" s="26">
        <f t="shared" si="283"/>
        <v>2000</v>
      </c>
      <c r="AG137" s="26">
        <f t="shared" si="283"/>
        <v>0</v>
      </c>
      <c r="AH137" s="26">
        <f t="shared" si="283"/>
        <v>2000</v>
      </c>
      <c r="AI137" s="26">
        <f t="shared" si="283"/>
        <v>2000</v>
      </c>
      <c r="AJ137" s="27">
        <f t="shared" si="283"/>
        <v>0</v>
      </c>
      <c r="AK137" s="27">
        <f t="shared" si="283"/>
        <v>0</v>
      </c>
      <c r="AL137" s="27">
        <f t="shared" si="283"/>
        <v>0</v>
      </c>
      <c r="AM137" s="27">
        <f t="shared" si="283"/>
        <v>0</v>
      </c>
      <c r="AN137" s="27">
        <f t="shared" si="283"/>
        <v>0</v>
      </c>
      <c r="AO137" s="27">
        <f t="shared" si="283"/>
        <v>0</v>
      </c>
      <c r="AP137" s="27">
        <f t="shared" si="283"/>
        <v>0</v>
      </c>
      <c r="AQ137" s="27">
        <f t="shared" si="283"/>
        <v>0</v>
      </c>
      <c r="AR137" s="27">
        <f t="shared" si="283"/>
        <v>0</v>
      </c>
      <c r="AS137" s="27">
        <f t="shared" si="283"/>
        <v>0</v>
      </c>
      <c r="AT137" s="27">
        <f t="shared" si="283"/>
        <v>0</v>
      </c>
      <c r="AU137" s="39">
        <f t="shared" si="283"/>
        <v>13704160</v>
      </c>
      <c r="AV137" s="26">
        <f t="shared" si="283"/>
        <v>9928561</v>
      </c>
      <c r="AW137" s="26">
        <f t="shared" si="283"/>
        <v>65750</v>
      </c>
      <c r="AX137" s="26">
        <f t="shared" si="283"/>
        <v>3378078</v>
      </c>
      <c r="AY137" s="26">
        <f t="shared" si="283"/>
        <v>198571</v>
      </c>
      <c r="AZ137" s="26">
        <f t="shared" si="283"/>
        <v>133200</v>
      </c>
      <c r="BA137" s="27">
        <f t="shared" si="283"/>
        <v>19.142600000000002</v>
      </c>
      <c r="BB137" s="27">
        <f t="shared" si="283"/>
        <v>15.154299999999999</v>
      </c>
      <c r="BC137" s="260">
        <f t="shared" si="283"/>
        <v>3.9882999999999997</v>
      </c>
    </row>
    <row r="138" spans="1:55" customFormat="1" ht="12.75" x14ac:dyDescent="0.2">
      <c r="D138" s="23"/>
      <c r="E138" s="24"/>
      <c r="F138" s="23"/>
      <c r="G138" s="42"/>
      <c r="H138" s="2">
        <v>3117</v>
      </c>
      <c r="I138" s="25">
        <f t="shared" ref="I138:BC138" si="284">SUMIF($F$12:$F$411,"=3117",I$12:I$411)</f>
        <v>41501450</v>
      </c>
      <c r="J138" s="26">
        <f t="shared" si="284"/>
        <v>29583654</v>
      </c>
      <c r="K138" s="26">
        <f t="shared" si="284"/>
        <v>465151</v>
      </c>
      <c r="L138" s="26">
        <f t="shared" si="284"/>
        <v>10133460</v>
      </c>
      <c r="M138" s="26">
        <f t="shared" si="284"/>
        <v>591671</v>
      </c>
      <c r="N138" s="26">
        <f t="shared" si="284"/>
        <v>727514</v>
      </c>
      <c r="O138" s="27">
        <f t="shared" si="284"/>
        <v>64.606599999999986</v>
      </c>
      <c r="P138" s="27">
        <f t="shared" si="284"/>
        <v>49.205299999999987</v>
      </c>
      <c r="Q138" s="488">
        <f t="shared" si="284"/>
        <v>15.401300000000001</v>
      </c>
      <c r="R138" s="25">
        <f t="shared" si="284"/>
        <v>-10000</v>
      </c>
      <c r="S138" s="26">
        <f t="shared" si="284"/>
        <v>-65471</v>
      </c>
      <c r="T138" s="26">
        <f t="shared" si="284"/>
        <v>280099</v>
      </c>
      <c r="U138" s="26">
        <f t="shared" si="284"/>
        <v>0</v>
      </c>
      <c r="V138" s="26">
        <f t="shared" si="284"/>
        <v>0</v>
      </c>
      <c r="W138" s="26">
        <f t="shared" si="284"/>
        <v>0</v>
      </c>
      <c r="X138" s="26">
        <f t="shared" si="284"/>
        <v>204628</v>
      </c>
      <c r="Y138" s="26">
        <f t="shared" si="284"/>
        <v>10000</v>
      </c>
      <c r="Z138" s="26">
        <f t="shared" si="284"/>
        <v>0</v>
      </c>
      <c r="AA138" s="26">
        <f t="shared" si="284"/>
        <v>0</v>
      </c>
      <c r="AB138" s="26">
        <f t="shared" si="284"/>
        <v>10000</v>
      </c>
      <c r="AC138" s="26">
        <f t="shared" si="284"/>
        <v>214628</v>
      </c>
      <c r="AD138" s="26">
        <f t="shared" si="284"/>
        <v>72544</v>
      </c>
      <c r="AE138" s="26">
        <f t="shared" si="284"/>
        <v>4093</v>
      </c>
      <c r="AF138" s="26">
        <f t="shared" si="284"/>
        <v>8200</v>
      </c>
      <c r="AG138" s="26">
        <f t="shared" si="284"/>
        <v>0</v>
      </c>
      <c r="AH138" s="26">
        <f t="shared" si="284"/>
        <v>8200</v>
      </c>
      <c r="AI138" s="26">
        <f t="shared" si="284"/>
        <v>299465</v>
      </c>
      <c r="AJ138" s="27">
        <f t="shared" si="284"/>
        <v>-0.02</v>
      </c>
      <c r="AK138" s="27">
        <f t="shared" si="284"/>
        <v>0</v>
      </c>
      <c r="AL138" s="27">
        <f t="shared" si="284"/>
        <v>-0.25</v>
      </c>
      <c r="AM138" s="27">
        <f t="shared" si="284"/>
        <v>0.47</v>
      </c>
      <c r="AN138" s="27">
        <f t="shared" si="284"/>
        <v>0</v>
      </c>
      <c r="AO138" s="27">
        <f t="shared" si="284"/>
        <v>0</v>
      </c>
      <c r="AP138" s="27">
        <f t="shared" si="284"/>
        <v>0</v>
      </c>
      <c r="AQ138" s="27">
        <f t="shared" si="284"/>
        <v>0</v>
      </c>
      <c r="AR138" s="27">
        <f t="shared" si="284"/>
        <v>0.19999999999999996</v>
      </c>
      <c r="AS138" s="27">
        <f t="shared" si="284"/>
        <v>0</v>
      </c>
      <c r="AT138" s="27">
        <f t="shared" si="284"/>
        <v>0.19999999999999996</v>
      </c>
      <c r="AU138" s="39">
        <f t="shared" si="284"/>
        <v>41800915</v>
      </c>
      <c r="AV138" s="26">
        <f t="shared" si="284"/>
        <v>29788282</v>
      </c>
      <c r="AW138" s="26">
        <f t="shared" si="284"/>
        <v>475151</v>
      </c>
      <c r="AX138" s="26">
        <f t="shared" si="284"/>
        <v>10206004</v>
      </c>
      <c r="AY138" s="26">
        <f t="shared" si="284"/>
        <v>595764</v>
      </c>
      <c r="AZ138" s="26">
        <f t="shared" si="284"/>
        <v>735714</v>
      </c>
      <c r="BA138" s="27">
        <f t="shared" si="284"/>
        <v>64.806599999999989</v>
      </c>
      <c r="BB138" s="27">
        <f t="shared" si="284"/>
        <v>49.405300000000004</v>
      </c>
      <c r="BC138" s="260">
        <f t="shared" si="284"/>
        <v>15.401300000000001</v>
      </c>
    </row>
    <row r="139" spans="1:55" customFormat="1" x14ac:dyDescent="0.25">
      <c r="D139" s="23"/>
      <c r="E139" s="24"/>
      <c r="F139" s="96"/>
      <c r="G139" s="42"/>
      <c r="H139" s="2">
        <v>3122</v>
      </c>
      <c r="I139" s="25">
        <f t="shared" ref="I139:BC139" si="285">SUMIF($F$12:$F$411,"=3122",I$12:I$411)</f>
        <v>0</v>
      </c>
      <c r="J139" s="26">
        <f t="shared" si="285"/>
        <v>0</v>
      </c>
      <c r="K139" s="26">
        <f t="shared" si="285"/>
        <v>0</v>
      </c>
      <c r="L139" s="26">
        <f t="shared" si="285"/>
        <v>0</v>
      </c>
      <c r="M139" s="26">
        <f t="shared" si="285"/>
        <v>0</v>
      </c>
      <c r="N139" s="26">
        <f t="shared" si="285"/>
        <v>0</v>
      </c>
      <c r="O139" s="27">
        <f t="shared" si="285"/>
        <v>0</v>
      </c>
      <c r="P139" s="27">
        <f t="shared" si="285"/>
        <v>0</v>
      </c>
      <c r="Q139" s="488">
        <f t="shared" si="285"/>
        <v>0</v>
      </c>
      <c r="R139" s="25">
        <f t="shared" si="285"/>
        <v>0</v>
      </c>
      <c r="S139" s="26">
        <f t="shared" si="285"/>
        <v>0</v>
      </c>
      <c r="T139" s="26">
        <f t="shared" si="285"/>
        <v>0</v>
      </c>
      <c r="U139" s="26">
        <f t="shared" si="285"/>
        <v>0</v>
      </c>
      <c r="V139" s="26">
        <f t="shared" si="285"/>
        <v>0</v>
      </c>
      <c r="W139" s="26">
        <f t="shared" si="285"/>
        <v>0</v>
      </c>
      <c r="X139" s="26">
        <f t="shared" si="285"/>
        <v>0</v>
      </c>
      <c r="Y139" s="26">
        <f t="shared" si="285"/>
        <v>0</v>
      </c>
      <c r="Z139" s="26">
        <f t="shared" si="285"/>
        <v>0</v>
      </c>
      <c r="AA139" s="26">
        <f t="shared" si="285"/>
        <v>0</v>
      </c>
      <c r="AB139" s="26">
        <f t="shared" si="285"/>
        <v>0</v>
      </c>
      <c r="AC139" s="26">
        <f t="shared" si="285"/>
        <v>0</v>
      </c>
      <c r="AD139" s="26">
        <f t="shared" si="285"/>
        <v>0</v>
      </c>
      <c r="AE139" s="26">
        <f t="shared" si="285"/>
        <v>0</v>
      </c>
      <c r="AF139" s="26">
        <f t="shared" si="285"/>
        <v>0</v>
      </c>
      <c r="AG139" s="26">
        <f t="shared" si="285"/>
        <v>0</v>
      </c>
      <c r="AH139" s="26">
        <f t="shared" si="285"/>
        <v>0</v>
      </c>
      <c r="AI139" s="26">
        <f t="shared" si="285"/>
        <v>0</v>
      </c>
      <c r="AJ139" s="27">
        <f t="shared" si="285"/>
        <v>0</v>
      </c>
      <c r="AK139" s="27">
        <f t="shared" si="285"/>
        <v>0</v>
      </c>
      <c r="AL139" s="27">
        <f t="shared" si="285"/>
        <v>0</v>
      </c>
      <c r="AM139" s="27">
        <f t="shared" si="285"/>
        <v>0</v>
      </c>
      <c r="AN139" s="27">
        <f t="shared" si="285"/>
        <v>0</v>
      </c>
      <c r="AO139" s="27">
        <f t="shared" si="285"/>
        <v>0</v>
      </c>
      <c r="AP139" s="27">
        <f t="shared" si="285"/>
        <v>0</v>
      </c>
      <c r="AQ139" s="27">
        <f t="shared" si="285"/>
        <v>0</v>
      </c>
      <c r="AR139" s="27">
        <f t="shared" si="285"/>
        <v>0</v>
      </c>
      <c r="AS139" s="27">
        <f t="shared" si="285"/>
        <v>0</v>
      </c>
      <c r="AT139" s="27">
        <f t="shared" si="285"/>
        <v>0</v>
      </c>
      <c r="AU139" s="39">
        <f t="shared" si="285"/>
        <v>0</v>
      </c>
      <c r="AV139" s="26">
        <f t="shared" si="285"/>
        <v>0</v>
      </c>
      <c r="AW139" s="26">
        <f t="shared" si="285"/>
        <v>0</v>
      </c>
      <c r="AX139" s="26">
        <f t="shared" si="285"/>
        <v>0</v>
      </c>
      <c r="AY139" s="26">
        <f t="shared" si="285"/>
        <v>0</v>
      </c>
      <c r="AZ139" s="26">
        <f t="shared" si="285"/>
        <v>0</v>
      </c>
      <c r="BA139" s="27">
        <f t="shared" si="285"/>
        <v>0</v>
      </c>
      <c r="BB139" s="27">
        <f t="shared" si="285"/>
        <v>0</v>
      </c>
      <c r="BC139" s="260">
        <f t="shared" si="285"/>
        <v>0</v>
      </c>
    </row>
    <row r="140" spans="1:55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C140" si="286">SUMIF($F$12:$F$411,"=3124",I$12:I$411)</f>
        <v>0</v>
      </c>
      <c r="J140" s="26">
        <f t="shared" si="286"/>
        <v>0</v>
      </c>
      <c r="K140" s="26">
        <f t="shared" si="286"/>
        <v>0</v>
      </c>
      <c r="L140" s="26">
        <f t="shared" si="286"/>
        <v>0</v>
      </c>
      <c r="M140" s="26">
        <f t="shared" si="286"/>
        <v>0</v>
      </c>
      <c r="N140" s="26">
        <f t="shared" si="286"/>
        <v>0</v>
      </c>
      <c r="O140" s="27">
        <f t="shared" si="286"/>
        <v>0</v>
      </c>
      <c r="P140" s="27">
        <f t="shared" si="286"/>
        <v>0</v>
      </c>
      <c r="Q140" s="488">
        <f t="shared" si="286"/>
        <v>0</v>
      </c>
      <c r="R140" s="25">
        <f t="shared" si="286"/>
        <v>0</v>
      </c>
      <c r="S140" s="26">
        <f t="shared" si="286"/>
        <v>0</v>
      </c>
      <c r="T140" s="26">
        <f t="shared" si="286"/>
        <v>0</v>
      </c>
      <c r="U140" s="26">
        <f t="shared" si="286"/>
        <v>0</v>
      </c>
      <c r="V140" s="26">
        <f t="shared" si="286"/>
        <v>0</v>
      </c>
      <c r="W140" s="26">
        <f t="shared" si="286"/>
        <v>0</v>
      </c>
      <c r="X140" s="26">
        <f t="shared" si="286"/>
        <v>0</v>
      </c>
      <c r="Y140" s="26">
        <f t="shared" si="286"/>
        <v>0</v>
      </c>
      <c r="Z140" s="26">
        <f t="shared" si="286"/>
        <v>0</v>
      </c>
      <c r="AA140" s="26">
        <f t="shared" si="286"/>
        <v>0</v>
      </c>
      <c r="AB140" s="26">
        <f t="shared" si="286"/>
        <v>0</v>
      </c>
      <c r="AC140" s="26">
        <f t="shared" si="286"/>
        <v>0</v>
      </c>
      <c r="AD140" s="26">
        <f t="shared" si="286"/>
        <v>0</v>
      </c>
      <c r="AE140" s="26">
        <f t="shared" si="286"/>
        <v>0</v>
      </c>
      <c r="AF140" s="26">
        <f t="shared" si="286"/>
        <v>0</v>
      </c>
      <c r="AG140" s="26">
        <f t="shared" si="286"/>
        <v>0</v>
      </c>
      <c r="AH140" s="26">
        <f t="shared" si="286"/>
        <v>0</v>
      </c>
      <c r="AI140" s="26">
        <f t="shared" si="286"/>
        <v>0</v>
      </c>
      <c r="AJ140" s="27">
        <f t="shared" si="286"/>
        <v>0</v>
      </c>
      <c r="AK140" s="27">
        <f t="shared" si="286"/>
        <v>0</v>
      </c>
      <c r="AL140" s="27">
        <f t="shared" si="286"/>
        <v>0</v>
      </c>
      <c r="AM140" s="27">
        <f t="shared" si="286"/>
        <v>0</v>
      </c>
      <c r="AN140" s="27">
        <f t="shared" si="286"/>
        <v>0</v>
      </c>
      <c r="AO140" s="27">
        <f t="shared" si="286"/>
        <v>0</v>
      </c>
      <c r="AP140" s="27">
        <f t="shared" si="286"/>
        <v>0</v>
      </c>
      <c r="AQ140" s="27">
        <f t="shared" si="286"/>
        <v>0</v>
      </c>
      <c r="AR140" s="27">
        <f t="shared" si="286"/>
        <v>0</v>
      </c>
      <c r="AS140" s="27">
        <f t="shared" si="286"/>
        <v>0</v>
      </c>
      <c r="AT140" s="27">
        <f t="shared" si="286"/>
        <v>0</v>
      </c>
      <c r="AU140" s="39">
        <f t="shared" si="286"/>
        <v>0</v>
      </c>
      <c r="AV140" s="26">
        <f t="shared" si="286"/>
        <v>0</v>
      </c>
      <c r="AW140" s="26">
        <f t="shared" si="286"/>
        <v>0</v>
      </c>
      <c r="AX140" s="26">
        <f t="shared" si="286"/>
        <v>0</v>
      </c>
      <c r="AY140" s="26">
        <f t="shared" si="286"/>
        <v>0</v>
      </c>
      <c r="AZ140" s="26">
        <f t="shared" si="286"/>
        <v>0</v>
      </c>
      <c r="BA140" s="27">
        <f t="shared" si="286"/>
        <v>0</v>
      </c>
      <c r="BB140" s="27">
        <f t="shared" si="286"/>
        <v>0</v>
      </c>
      <c r="BC140" s="260">
        <f t="shared" si="286"/>
        <v>0</v>
      </c>
    </row>
    <row r="141" spans="1:55" customFormat="1" ht="12.75" x14ac:dyDescent="0.2">
      <c r="D141" s="23"/>
      <c r="E141" s="24"/>
      <c r="F141" s="24"/>
      <c r="G141" s="42"/>
      <c r="H141" s="2">
        <v>3141</v>
      </c>
      <c r="I141" s="25">
        <f t="shared" ref="I141:BC141" si="287">SUMIF($F$12:$F$411,"=3141",I$12:I$411)</f>
        <v>22847249</v>
      </c>
      <c r="J141" s="26">
        <f t="shared" si="287"/>
        <v>16498921</v>
      </c>
      <c r="K141" s="26">
        <f t="shared" si="287"/>
        <v>217000</v>
      </c>
      <c r="L141" s="26">
        <f t="shared" si="287"/>
        <v>5649980</v>
      </c>
      <c r="M141" s="26">
        <f t="shared" si="287"/>
        <v>329980</v>
      </c>
      <c r="N141" s="26">
        <f t="shared" si="287"/>
        <v>151368</v>
      </c>
      <c r="O141" s="27">
        <f t="shared" si="287"/>
        <v>52.330000000000005</v>
      </c>
      <c r="P141" s="27">
        <f t="shared" si="287"/>
        <v>0</v>
      </c>
      <c r="Q141" s="488">
        <f t="shared" si="287"/>
        <v>52.330000000000005</v>
      </c>
      <c r="R141" s="25">
        <f t="shared" si="287"/>
        <v>0</v>
      </c>
      <c r="S141" s="26">
        <f t="shared" si="287"/>
        <v>0</v>
      </c>
      <c r="T141" s="26">
        <f t="shared" si="287"/>
        <v>-200177</v>
      </c>
      <c r="U141" s="26">
        <f t="shared" si="287"/>
        <v>0</v>
      </c>
      <c r="V141" s="26">
        <f t="shared" si="287"/>
        <v>0</v>
      </c>
      <c r="W141" s="26">
        <f t="shared" si="287"/>
        <v>0</v>
      </c>
      <c r="X141" s="26">
        <f t="shared" si="287"/>
        <v>-200177</v>
      </c>
      <c r="Y141" s="26">
        <f t="shared" si="287"/>
        <v>0</v>
      </c>
      <c r="Z141" s="26">
        <f t="shared" si="287"/>
        <v>0</v>
      </c>
      <c r="AA141" s="26">
        <f t="shared" si="287"/>
        <v>0</v>
      </c>
      <c r="AB141" s="26">
        <f t="shared" si="287"/>
        <v>0</v>
      </c>
      <c r="AC141" s="26">
        <f t="shared" si="287"/>
        <v>-200177</v>
      </c>
      <c r="AD141" s="26">
        <f t="shared" si="287"/>
        <v>-67658</v>
      </c>
      <c r="AE141" s="26">
        <f t="shared" si="287"/>
        <v>-4002</v>
      </c>
      <c r="AF141" s="26">
        <f t="shared" si="287"/>
        <v>0</v>
      </c>
      <c r="AG141" s="26">
        <f t="shared" si="287"/>
        <v>0</v>
      </c>
      <c r="AH141" s="26">
        <f t="shared" si="287"/>
        <v>0</v>
      </c>
      <c r="AI141" s="26">
        <f t="shared" si="287"/>
        <v>-271837</v>
      </c>
      <c r="AJ141" s="27">
        <f t="shared" si="287"/>
        <v>0</v>
      </c>
      <c r="AK141" s="27">
        <f t="shared" si="287"/>
        <v>0</v>
      </c>
      <c r="AL141" s="27">
        <f t="shared" si="287"/>
        <v>0</v>
      </c>
      <c r="AM141" s="27">
        <f t="shared" si="287"/>
        <v>0</v>
      </c>
      <c r="AN141" s="27">
        <f t="shared" si="287"/>
        <v>-0.63000000000000012</v>
      </c>
      <c r="AO141" s="27">
        <f t="shared" si="287"/>
        <v>0</v>
      </c>
      <c r="AP141" s="27">
        <f t="shared" si="287"/>
        <v>0</v>
      </c>
      <c r="AQ141" s="27">
        <f t="shared" si="287"/>
        <v>0</v>
      </c>
      <c r="AR141" s="27">
        <f t="shared" si="287"/>
        <v>0</v>
      </c>
      <c r="AS141" s="27">
        <f t="shared" si="287"/>
        <v>-0.63000000000000012</v>
      </c>
      <c r="AT141" s="27">
        <f t="shared" si="287"/>
        <v>-0.63000000000000012</v>
      </c>
      <c r="AU141" s="39">
        <f t="shared" si="287"/>
        <v>22575412</v>
      </c>
      <c r="AV141" s="26">
        <f t="shared" si="287"/>
        <v>16298744</v>
      </c>
      <c r="AW141" s="26">
        <f t="shared" si="287"/>
        <v>217000</v>
      </c>
      <c r="AX141" s="26">
        <f t="shared" si="287"/>
        <v>5582322</v>
      </c>
      <c r="AY141" s="26">
        <f t="shared" si="287"/>
        <v>325978</v>
      </c>
      <c r="AZ141" s="26">
        <f t="shared" si="287"/>
        <v>151368</v>
      </c>
      <c r="BA141" s="27">
        <f t="shared" si="287"/>
        <v>51.7</v>
      </c>
      <c r="BB141" s="27">
        <f t="shared" si="287"/>
        <v>0</v>
      </c>
      <c r="BC141" s="260">
        <f t="shared" si="287"/>
        <v>51.7</v>
      </c>
    </row>
    <row r="142" spans="1:55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C142" si="288">SUMIF($F$12:$F$411,"=3143",I$12:I$411)</f>
        <v>17002880</v>
      </c>
      <c r="J142" s="26">
        <f t="shared" si="288"/>
        <v>12295448</v>
      </c>
      <c r="K142" s="26">
        <f t="shared" si="288"/>
        <v>211000</v>
      </c>
      <c r="L142" s="26">
        <f t="shared" si="288"/>
        <v>4227182</v>
      </c>
      <c r="M142" s="26">
        <f t="shared" si="288"/>
        <v>245910</v>
      </c>
      <c r="N142" s="26">
        <f t="shared" si="288"/>
        <v>23340</v>
      </c>
      <c r="O142" s="27">
        <f t="shared" si="288"/>
        <v>26.676500000000015</v>
      </c>
      <c r="P142" s="27">
        <f t="shared" si="288"/>
        <v>25.116500000000009</v>
      </c>
      <c r="Q142" s="488">
        <f t="shared" si="288"/>
        <v>1.5600000000000003</v>
      </c>
      <c r="R142" s="25">
        <f t="shared" si="288"/>
        <v>0</v>
      </c>
      <c r="S142" s="26">
        <f t="shared" si="288"/>
        <v>0</v>
      </c>
      <c r="T142" s="26">
        <f t="shared" si="288"/>
        <v>80450</v>
      </c>
      <c r="U142" s="26">
        <f t="shared" si="288"/>
        <v>0</v>
      </c>
      <c r="V142" s="26">
        <f t="shared" si="288"/>
        <v>0</v>
      </c>
      <c r="W142" s="26">
        <f t="shared" si="288"/>
        <v>0</v>
      </c>
      <c r="X142" s="26">
        <f t="shared" si="288"/>
        <v>80450</v>
      </c>
      <c r="Y142" s="26">
        <f t="shared" si="288"/>
        <v>0</v>
      </c>
      <c r="Z142" s="26">
        <f t="shared" si="288"/>
        <v>0</v>
      </c>
      <c r="AA142" s="26">
        <f t="shared" si="288"/>
        <v>0</v>
      </c>
      <c r="AB142" s="26">
        <f t="shared" si="288"/>
        <v>0</v>
      </c>
      <c r="AC142" s="26">
        <f t="shared" si="288"/>
        <v>80450</v>
      </c>
      <c r="AD142" s="26">
        <f t="shared" si="288"/>
        <v>27192</v>
      </c>
      <c r="AE142" s="26">
        <f t="shared" si="288"/>
        <v>1609</v>
      </c>
      <c r="AF142" s="26">
        <f t="shared" si="288"/>
        <v>0</v>
      </c>
      <c r="AG142" s="26">
        <f t="shared" si="288"/>
        <v>0</v>
      </c>
      <c r="AH142" s="26">
        <f t="shared" si="288"/>
        <v>0</v>
      </c>
      <c r="AI142" s="26">
        <f t="shared" si="288"/>
        <v>109251</v>
      </c>
      <c r="AJ142" s="27">
        <f t="shared" si="288"/>
        <v>0</v>
      </c>
      <c r="AK142" s="27">
        <f t="shared" si="288"/>
        <v>0</v>
      </c>
      <c r="AL142" s="27">
        <f t="shared" si="288"/>
        <v>0</v>
      </c>
      <c r="AM142" s="27">
        <f t="shared" si="288"/>
        <v>0.17</v>
      </c>
      <c r="AN142" s="27">
        <f t="shared" si="288"/>
        <v>0</v>
      </c>
      <c r="AO142" s="27">
        <f t="shared" si="288"/>
        <v>0</v>
      </c>
      <c r="AP142" s="27">
        <f t="shared" si="288"/>
        <v>0</v>
      </c>
      <c r="AQ142" s="27">
        <f t="shared" si="288"/>
        <v>0</v>
      </c>
      <c r="AR142" s="27">
        <f t="shared" si="288"/>
        <v>0.17</v>
      </c>
      <c r="AS142" s="27">
        <f t="shared" si="288"/>
        <v>0</v>
      </c>
      <c r="AT142" s="27">
        <f t="shared" si="288"/>
        <v>0.17</v>
      </c>
      <c r="AU142" s="39">
        <f t="shared" si="288"/>
        <v>17112131</v>
      </c>
      <c r="AV142" s="26">
        <f t="shared" si="288"/>
        <v>12375898</v>
      </c>
      <c r="AW142" s="26">
        <f t="shared" si="288"/>
        <v>211000</v>
      </c>
      <c r="AX142" s="26">
        <f t="shared" si="288"/>
        <v>4254374</v>
      </c>
      <c r="AY142" s="26">
        <f t="shared" si="288"/>
        <v>247519</v>
      </c>
      <c r="AZ142" s="26">
        <f t="shared" si="288"/>
        <v>23340</v>
      </c>
      <c r="BA142" s="27">
        <f t="shared" si="288"/>
        <v>26.846500000000013</v>
      </c>
      <c r="BB142" s="27">
        <f t="shared" si="288"/>
        <v>25.286500000000007</v>
      </c>
      <c r="BC142" s="260">
        <f t="shared" si="288"/>
        <v>1.5600000000000003</v>
      </c>
    </row>
    <row r="143" spans="1:55" customFormat="1" ht="12.75" x14ac:dyDescent="0.2">
      <c r="D143" s="23"/>
      <c r="E143" s="24"/>
      <c r="F143" s="23"/>
      <c r="G143" s="42"/>
      <c r="H143" s="2">
        <v>3231</v>
      </c>
      <c r="I143" s="25">
        <f t="shared" ref="I143:BC143" si="289">SUMIF($F$12:$F$411,"=3231",I$12:I$411)</f>
        <v>12785271</v>
      </c>
      <c r="J143" s="26">
        <f t="shared" si="289"/>
        <v>9260671</v>
      </c>
      <c r="K143" s="26">
        <f t="shared" si="289"/>
        <v>125000</v>
      </c>
      <c r="L143" s="26">
        <f t="shared" si="289"/>
        <v>3172357</v>
      </c>
      <c r="M143" s="26">
        <f t="shared" si="289"/>
        <v>185213</v>
      </c>
      <c r="N143" s="26">
        <f t="shared" si="289"/>
        <v>42030</v>
      </c>
      <c r="O143" s="27">
        <f t="shared" si="289"/>
        <v>17.337300000000003</v>
      </c>
      <c r="P143" s="27">
        <f t="shared" si="289"/>
        <v>15.352700000000002</v>
      </c>
      <c r="Q143" s="488">
        <f t="shared" si="289"/>
        <v>1.9845999999999999</v>
      </c>
      <c r="R143" s="25">
        <f t="shared" si="289"/>
        <v>0</v>
      </c>
      <c r="S143" s="26">
        <f t="shared" si="289"/>
        <v>0</v>
      </c>
      <c r="T143" s="26">
        <f t="shared" si="289"/>
        <v>0</v>
      </c>
      <c r="U143" s="26">
        <f t="shared" si="289"/>
        <v>0</v>
      </c>
      <c r="V143" s="26">
        <f t="shared" si="289"/>
        <v>0</v>
      </c>
      <c r="W143" s="26">
        <f t="shared" si="289"/>
        <v>0</v>
      </c>
      <c r="X143" s="26">
        <f t="shared" si="289"/>
        <v>0</v>
      </c>
      <c r="Y143" s="26">
        <f t="shared" si="289"/>
        <v>0</v>
      </c>
      <c r="Z143" s="26">
        <f t="shared" si="289"/>
        <v>0</v>
      </c>
      <c r="AA143" s="26">
        <f t="shared" si="289"/>
        <v>0</v>
      </c>
      <c r="AB143" s="26">
        <f t="shared" si="289"/>
        <v>0</v>
      </c>
      <c r="AC143" s="26">
        <f t="shared" si="289"/>
        <v>0</v>
      </c>
      <c r="AD143" s="26">
        <f t="shared" si="289"/>
        <v>0</v>
      </c>
      <c r="AE143" s="26">
        <f t="shared" si="289"/>
        <v>0</v>
      </c>
      <c r="AF143" s="26">
        <f t="shared" si="289"/>
        <v>0</v>
      </c>
      <c r="AG143" s="26">
        <f t="shared" si="289"/>
        <v>0</v>
      </c>
      <c r="AH143" s="26">
        <f t="shared" si="289"/>
        <v>0</v>
      </c>
      <c r="AI143" s="26">
        <f t="shared" si="289"/>
        <v>0</v>
      </c>
      <c r="AJ143" s="27">
        <f t="shared" si="289"/>
        <v>0</v>
      </c>
      <c r="AK143" s="27">
        <f t="shared" si="289"/>
        <v>0</v>
      </c>
      <c r="AL143" s="27">
        <f t="shared" si="289"/>
        <v>0</v>
      </c>
      <c r="AM143" s="27">
        <f t="shared" si="289"/>
        <v>0</v>
      </c>
      <c r="AN143" s="27">
        <f t="shared" si="289"/>
        <v>0</v>
      </c>
      <c r="AO143" s="27">
        <f t="shared" si="289"/>
        <v>0</v>
      </c>
      <c r="AP143" s="27">
        <f t="shared" si="289"/>
        <v>0</v>
      </c>
      <c r="AQ143" s="27">
        <f t="shared" si="289"/>
        <v>0</v>
      </c>
      <c r="AR143" s="27">
        <f t="shared" si="289"/>
        <v>0</v>
      </c>
      <c r="AS143" s="27">
        <f t="shared" si="289"/>
        <v>0</v>
      </c>
      <c r="AT143" s="27">
        <f t="shared" si="289"/>
        <v>0</v>
      </c>
      <c r="AU143" s="39">
        <f t="shared" si="289"/>
        <v>12785271</v>
      </c>
      <c r="AV143" s="26">
        <f t="shared" si="289"/>
        <v>9260671</v>
      </c>
      <c r="AW143" s="26">
        <f t="shared" si="289"/>
        <v>125000</v>
      </c>
      <c r="AX143" s="26">
        <f t="shared" si="289"/>
        <v>3172357</v>
      </c>
      <c r="AY143" s="26">
        <f t="shared" si="289"/>
        <v>185213</v>
      </c>
      <c r="AZ143" s="26">
        <f t="shared" si="289"/>
        <v>42030</v>
      </c>
      <c r="BA143" s="27">
        <f t="shared" si="289"/>
        <v>17.337300000000003</v>
      </c>
      <c r="BB143" s="27">
        <f t="shared" si="289"/>
        <v>15.352700000000002</v>
      </c>
      <c r="BC143" s="260">
        <f t="shared" si="289"/>
        <v>1.9845999999999999</v>
      </c>
    </row>
    <row r="144" spans="1:55" customFormat="1" ht="13.5" thickBot="1" x14ac:dyDescent="0.25">
      <c r="D144" s="23"/>
      <c r="E144" s="24"/>
      <c r="F144" s="23"/>
      <c r="G144" s="42"/>
      <c r="H144" s="158">
        <v>3233</v>
      </c>
      <c r="I144" s="28">
        <f t="shared" ref="I144:BC144" si="290">SUMIF($F$12:$F$411,"=3233",I$12:I$411)</f>
        <v>4612770</v>
      </c>
      <c r="J144" s="29">
        <f t="shared" si="290"/>
        <v>3231140</v>
      </c>
      <c r="K144" s="29">
        <f t="shared" si="290"/>
        <v>146000</v>
      </c>
      <c r="L144" s="29">
        <f t="shared" si="290"/>
        <v>1141473</v>
      </c>
      <c r="M144" s="29">
        <f t="shared" si="290"/>
        <v>64622</v>
      </c>
      <c r="N144" s="29">
        <f t="shared" si="290"/>
        <v>29535</v>
      </c>
      <c r="O144" s="152">
        <f t="shared" si="290"/>
        <v>6.91</v>
      </c>
      <c r="P144" s="152">
        <f t="shared" si="290"/>
        <v>4.93</v>
      </c>
      <c r="Q144" s="489">
        <f t="shared" si="290"/>
        <v>1.9799999999999998</v>
      </c>
      <c r="R144" s="28">
        <f t="shared" si="290"/>
        <v>0</v>
      </c>
      <c r="S144" s="29">
        <f t="shared" si="290"/>
        <v>0</v>
      </c>
      <c r="T144" s="29">
        <f t="shared" si="290"/>
        <v>0</v>
      </c>
      <c r="U144" s="29">
        <f t="shared" si="290"/>
        <v>0</v>
      </c>
      <c r="V144" s="29">
        <f t="shared" si="290"/>
        <v>0</v>
      </c>
      <c r="W144" s="29">
        <f t="shared" si="290"/>
        <v>0</v>
      </c>
      <c r="X144" s="29">
        <f t="shared" si="290"/>
        <v>0</v>
      </c>
      <c r="Y144" s="29">
        <f t="shared" si="290"/>
        <v>0</v>
      </c>
      <c r="Z144" s="29">
        <f t="shared" si="290"/>
        <v>0</v>
      </c>
      <c r="AA144" s="29">
        <f t="shared" si="290"/>
        <v>0</v>
      </c>
      <c r="AB144" s="29">
        <f t="shared" si="290"/>
        <v>0</v>
      </c>
      <c r="AC144" s="29">
        <f t="shared" si="290"/>
        <v>0</v>
      </c>
      <c r="AD144" s="29">
        <f t="shared" si="290"/>
        <v>0</v>
      </c>
      <c r="AE144" s="29">
        <f t="shared" si="290"/>
        <v>0</v>
      </c>
      <c r="AF144" s="29">
        <f t="shared" si="290"/>
        <v>0</v>
      </c>
      <c r="AG144" s="29">
        <f t="shared" si="290"/>
        <v>0</v>
      </c>
      <c r="AH144" s="29">
        <f t="shared" si="290"/>
        <v>0</v>
      </c>
      <c r="AI144" s="29">
        <f t="shared" si="290"/>
        <v>0</v>
      </c>
      <c r="AJ144" s="152">
        <f t="shared" si="290"/>
        <v>0</v>
      </c>
      <c r="AK144" s="152">
        <f t="shared" si="290"/>
        <v>0</v>
      </c>
      <c r="AL144" s="152">
        <f t="shared" si="290"/>
        <v>0</v>
      </c>
      <c r="AM144" s="152">
        <f t="shared" si="290"/>
        <v>0</v>
      </c>
      <c r="AN144" s="152">
        <f t="shared" si="290"/>
        <v>0</v>
      </c>
      <c r="AO144" s="152">
        <f t="shared" si="290"/>
        <v>0</v>
      </c>
      <c r="AP144" s="152">
        <f t="shared" si="290"/>
        <v>0</v>
      </c>
      <c r="AQ144" s="152">
        <f t="shared" si="290"/>
        <v>0</v>
      </c>
      <c r="AR144" s="152">
        <f t="shared" si="290"/>
        <v>0</v>
      </c>
      <c r="AS144" s="152">
        <f t="shared" si="290"/>
        <v>0</v>
      </c>
      <c r="AT144" s="152">
        <f t="shared" si="290"/>
        <v>0</v>
      </c>
      <c r="AU144" s="157">
        <f t="shared" si="290"/>
        <v>4612770</v>
      </c>
      <c r="AV144" s="29">
        <f t="shared" si="290"/>
        <v>3231140</v>
      </c>
      <c r="AW144" s="29">
        <f t="shared" si="290"/>
        <v>146000</v>
      </c>
      <c r="AX144" s="29">
        <f t="shared" si="290"/>
        <v>1141473</v>
      </c>
      <c r="AY144" s="29">
        <f t="shared" si="290"/>
        <v>64622</v>
      </c>
      <c r="AZ144" s="29">
        <f t="shared" si="290"/>
        <v>29535</v>
      </c>
      <c r="BA144" s="152">
        <f t="shared" si="290"/>
        <v>6.91</v>
      </c>
      <c r="BB144" s="152">
        <f t="shared" si="290"/>
        <v>4.93</v>
      </c>
      <c r="BC144" s="261">
        <f t="shared" si="290"/>
        <v>1.9799999999999998</v>
      </c>
    </row>
    <row r="146" spans="1:55" s="56" customFormat="1" x14ac:dyDescent="0.25">
      <c r="A146" s="96"/>
      <c r="B146" s="95"/>
      <c r="C146" s="95"/>
      <c r="D146" s="95"/>
      <c r="E146" s="96"/>
      <c r="F146" s="119"/>
      <c r="G146" s="96"/>
      <c r="H146" s="96"/>
      <c r="O146" s="57"/>
      <c r="P146" s="57"/>
      <c r="Q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BA146" s="57"/>
      <c r="BB146" s="57"/>
      <c r="BC146" s="57"/>
    </row>
    <row r="156" spans="1:55" x14ac:dyDescent="0.25">
      <c r="E156" s="53"/>
    </row>
    <row r="157" spans="1:55" x14ac:dyDescent="0.25">
      <c r="E157" s="53"/>
    </row>
    <row r="158" spans="1:55" x14ac:dyDescent="0.25">
      <c r="E158" s="53"/>
    </row>
    <row r="159" spans="1:55" x14ac:dyDescent="0.25">
      <c r="E159" s="53"/>
    </row>
    <row r="160" spans="1:55" x14ac:dyDescent="0.25">
      <c r="E160" s="256"/>
    </row>
    <row r="161" spans="1:55" x14ac:dyDescent="0.25">
      <c r="E161" s="256"/>
    </row>
    <row r="162" spans="1:55" x14ac:dyDescent="0.25">
      <c r="E162" s="256"/>
    </row>
    <row r="163" spans="1:55" x14ac:dyDescent="0.25">
      <c r="E163" s="256"/>
    </row>
    <row r="164" spans="1:55" x14ac:dyDescent="0.25">
      <c r="E164" s="256"/>
    </row>
    <row r="165" spans="1:55" x14ac:dyDescent="0.25">
      <c r="E165" s="256"/>
    </row>
    <row r="166" spans="1:55" x14ac:dyDescent="0.25">
      <c r="E166" s="256"/>
    </row>
    <row r="167" spans="1:55" x14ac:dyDescent="0.25">
      <c r="E167" s="256"/>
    </row>
    <row r="168" spans="1:55" x14ac:dyDescent="0.25">
      <c r="E168" s="256"/>
    </row>
    <row r="169" spans="1:55" x14ac:dyDescent="0.25">
      <c r="E169" s="256"/>
    </row>
    <row r="170" spans="1:55" x14ac:dyDescent="0.25">
      <c r="E170" s="256"/>
    </row>
    <row r="171" spans="1:55" x14ac:dyDescent="0.25">
      <c r="E171" s="256"/>
    </row>
    <row r="173" spans="1:55" s="102" customFormat="1" ht="11.25" x14ac:dyDescent="0.2">
      <c r="A173" s="119"/>
      <c r="H173" s="119"/>
      <c r="I173" s="257"/>
      <c r="J173" s="257"/>
      <c r="K173" s="257"/>
      <c r="L173" s="257"/>
      <c r="M173" s="257"/>
      <c r="N173" s="257"/>
      <c r="O173" s="258"/>
      <c r="P173" s="258"/>
      <c r="Q173" s="258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7"/>
      <c r="AV173" s="257"/>
      <c r="AW173" s="257"/>
      <c r="AX173" s="257"/>
      <c r="AY173" s="257"/>
      <c r="AZ173" s="257"/>
      <c r="BA173" s="258"/>
      <c r="BB173" s="258"/>
      <c r="BC173" s="258"/>
    </row>
    <row r="174" spans="1:55" s="102" customFormat="1" ht="11.25" x14ac:dyDescent="0.2">
      <c r="A174" s="119"/>
      <c r="H174" s="119"/>
      <c r="I174" s="257"/>
      <c r="J174" s="257"/>
      <c r="K174" s="257"/>
      <c r="L174" s="257"/>
      <c r="M174" s="257"/>
      <c r="N174" s="257"/>
      <c r="O174" s="258"/>
      <c r="P174" s="258"/>
      <c r="Q174" s="258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7"/>
      <c r="AV174" s="257"/>
      <c r="AW174" s="257"/>
      <c r="AX174" s="257"/>
      <c r="AY174" s="257"/>
      <c r="AZ174" s="257"/>
      <c r="BA174" s="258"/>
      <c r="BB174" s="258"/>
      <c r="BC174" s="258"/>
    </row>
    <row r="175" spans="1:55" s="102" customFormat="1" ht="11.25" x14ac:dyDescent="0.2">
      <c r="A175" s="119"/>
      <c r="H175" s="119"/>
      <c r="I175" s="257"/>
      <c r="J175" s="257"/>
      <c r="K175" s="257"/>
      <c r="L175" s="257"/>
      <c r="M175" s="257"/>
      <c r="N175" s="257"/>
      <c r="O175" s="258"/>
      <c r="P175" s="258"/>
      <c r="Q175" s="258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7"/>
      <c r="AV175" s="257"/>
      <c r="AW175" s="257"/>
      <c r="AX175" s="257"/>
      <c r="AY175" s="257"/>
      <c r="AZ175" s="257"/>
      <c r="BA175" s="258"/>
      <c r="BB175" s="258"/>
      <c r="BC175" s="258"/>
    </row>
    <row r="176" spans="1:55" s="102" customFormat="1" ht="11.25" x14ac:dyDescent="0.2">
      <c r="A176" s="119"/>
      <c r="H176" s="119"/>
      <c r="I176" s="257"/>
      <c r="J176" s="257"/>
      <c r="K176" s="257"/>
      <c r="L176" s="257"/>
      <c r="M176" s="257"/>
      <c r="N176" s="257"/>
      <c r="O176" s="258"/>
      <c r="P176" s="258"/>
      <c r="Q176" s="258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7"/>
      <c r="AV176" s="257"/>
      <c r="AW176" s="257"/>
      <c r="AX176" s="257"/>
      <c r="AY176" s="257"/>
      <c r="AZ176" s="257"/>
      <c r="BA176" s="258"/>
      <c r="BB176" s="258"/>
      <c r="BC176" s="258"/>
    </row>
    <row r="177" spans="1:55" s="102" customFormat="1" ht="11.25" x14ac:dyDescent="0.2">
      <c r="A177" s="119"/>
      <c r="H177" s="119"/>
      <c r="I177" s="257"/>
      <c r="J177" s="257"/>
      <c r="K177" s="257"/>
      <c r="L177" s="257"/>
      <c r="M177" s="257"/>
      <c r="N177" s="257"/>
      <c r="O177" s="258"/>
      <c r="P177" s="258"/>
      <c r="Q177" s="258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7"/>
      <c r="AV177" s="257"/>
      <c r="AW177" s="257"/>
      <c r="AX177" s="257"/>
      <c r="AY177" s="257"/>
      <c r="AZ177" s="257"/>
      <c r="BA177" s="258"/>
      <c r="BB177" s="258"/>
      <c r="BC177" s="258"/>
    </row>
    <row r="180" spans="1:55" x14ac:dyDescent="0.25">
      <c r="E180" s="53"/>
    </row>
    <row r="181" spans="1:55" x14ac:dyDescent="0.25">
      <c r="E181" s="53"/>
    </row>
    <row r="182" spans="1:55" x14ac:dyDescent="0.25">
      <c r="E182" s="53"/>
    </row>
    <row r="183" spans="1:55" x14ac:dyDescent="0.25">
      <c r="E183" s="53"/>
    </row>
    <row r="184" spans="1:55" x14ac:dyDescent="0.25">
      <c r="E184" s="53"/>
    </row>
    <row r="185" spans="1:55" x14ac:dyDescent="0.25">
      <c r="E185" s="53"/>
    </row>
    <row r="186" spans="1:55" x14ac:dyDescent="0.25">
      <c r="E186" s="53"/>
    </row>
    <row r="187" spans="1:55" x14ac:dyDescent="0.25">
      <c r="E187" s="53"/>
    </row>
    <row r="188" spans="1:55" x14ac:dyDescent="0.25">
      <c r="E188" s="53"/>
    </row>
    <row r="189" spans="1:55" x14ac:dyDescent="0.25">
      <c r="E189" s="53"/>
    </row>
    <row r="190" spans="1:55" x14ac:dyDescent="0.25">
      <c r="E190" s="53"/>
    </row>
    <row r="191" spans="1:55" x14ac:dyDescent="0.25">
      <c r="E191" s="53"/>
    </row>
    <row r="192" spans="1:55" x14ac:dyDescent="0.25">
      <c r="E192" s="53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5"/>
      <c r="F234" s="95"/>
      <c r="L234" s="7"/>
    </row>
    <row r="235" spans="4:12" x14ac:dyDescent="0.25">
      <c r="E235" s="95"/>
      <c r="F235" s="95"/>
      <c r="L235" s="7"/>
    </row>
    <row r="236" spans="4:12" x14ac:dyDescent="0.25">
      <c r="E236" s="95"/>
      <c r="F236" s="95"/>
      <c r="L236" s="7"/>
    </row>
    <row r="237" spans="4:12" x14ac:dyDescent="0.25">
      <c r="E237" s="95"/>
      <c r="F237" s="95"/>
      <c r="L237" s="7"/>
    </row>
    <row r="238" spans="4:12" x14ac:dyDescent="0.25">
      <c r="E238" s="95"/>
      <c r="F238" s="95"/>
      <c r="L238" s="7"/>
    </row>
    <row r="239" spans="4:12" x14ac:dyDescent="0.25">
      <c r="E239" s="95"/>
      <c r="F239" s="95"/>
      <c r="L239" s="7"/>
    </row>
    <row r="240" spans="4:12" x14ac:dyDescent="0.25">
      <c r="E240" s="95"/>
      <c r="F240" s="95"/>
      <c r="L240" s="7"/>
    </row>
    <row r="241" spans="5:15" x14ac:dyDescent="0.25">
      <c r="E241" s="95"/>
      <c r="F241" s="95"/>
      <c r="L241" s="7"/>
    </row>
    <row r="242" spans="5:15" x14ac:dyDescent="0.25">
      <c r="E242" s="95"/>
      <c r="F242" s="95"/>
      <c r="L242" s="7"/>
    </row>
    <row r="243" spans="5:15" x14ac:dyDescent="0.25">
      <c r="E243" s="95"/>
      <c r="F243" s="95"/>
      <c r="L243" s="7"/>
    </row>
    <row r="244" spans="5:15" x14ac:dyDescent="0.25">
      <c r="E244" s="95"/>
      <c r="F244" s="95"/>
      <c r="L244" s="7"/>
    </row>
    <row r="245" spans="5:15" x14ac:dyDescent="0.25">
      <c r="E245" s="95"/>
      <c r="F245" s="95"/>
      <c r="L245" s="7"/>
    </row>
    <row r="246" spans="5:15" x14ac:dyDescent="0.25">
      <c r="E246" s="95"/>
      <c r="F246" s="95"/>
      <c r="L246" s="7"/>
    </row>
    <row r="247" spans="5:15" x14ac:dyDescent="0.25">
      <c r="E247" s="95"/>
      <c r="F247" s="95"/>
      <c r="L247" s="7"/>
    </row>
    <row r="248" spans="5:15" x14ac:dyDescent="0.25">
      <c r="E248" s="95"/>
      <c r="F248" s="95"/>
      <c r="L248" s="7"/>
    </row>
    <row r="250" spans="5:15" x14ac:dyDescent="0.25">
      <c r="E250" s="95"/>
      <c r="F250" s="95"/>
      <c r="G250" s="95"/>
      <c r="L250" s="257"/>
      <c r="M250" s="257"/>
      <c r="N250" s="257"/>
      <c r="O250" s="258"/>
    </row>
    <row r="251" spans="5:15" x14ac:dyDescent="0.25">
      <c r="E251" s="95"/>
      <c r="F251" s="95"/>
      <c r="G251" s="95"/>
      <c r="L251" s="257"/>
      <c r="M251" s="257"/>
      <c r="N251" s="257"/>
      <c r="O251" s="258"/>
    </row>
    <row r="252" spans="5:15" x14ac:dyDescent="0.25">
      <c r="E252" s="95"/>
      <c r="F252" s="95"/>
      <c r="G252" s="95"/>
      <c r="L252" s="257"/>
      <c r="M252" s="257"/>
      <c r="N252" s="257"/>
      <c r="O252" s="258"/>
    </row>
    <row r="253" spans="5:15" x14ac:dyDescent="0.25">
      <c r="E253" s="95"/>
      <c r="F253" s="95"/>
      <c r="G253" s="95"/>
    </row>
    <row r="255" spans="5:15" x14ac:dyDescent="0.25">
      <c r="E255" s="628"/>
    </row>
    <row r="256" spans="5:15" x14ac:dyDescent="0.25">
      <c r="E256" s="628"/>
    </row>
    <row r="257" spans="5:7" x14ac:dyDescent="0.25">
      <c r="E257" s="628"/>
    </row>
    <row r="258" spans="5:7" x14ac:dyDescent="0.25">
      <c r="E258" s="628"/>
    </row>
    <row r="259" spans="5:7" x14ac:dyDescent="0.25">
      <c r="E259" s="628"/>
    </row>
    <row r="260" spans="5:7" x14ac:dyDescent="0.25">
      <c r="E260" s="628"/>
    </row>
    <row r="261" spans="5:7" x14ac:dyDescent="0.25">
      <c r="E261" s="628"/>
    </row>
    <row r="262" spans="5:7" x14ac:dyDescent="0.25">
      <c r="E262" s="628"/>
    </row>
    <row r="263" spans="5:7" x14ac:dyDescent="0.25">
      <c r="E263" s="628"/>
    </row>
    <row r="264" spans="5:7" x14ac:dyDescent="0.25">
      <c r="E264" s="628"/>
    </row>
    <row r="265" spans="5:7" x14ac:dyDescent="0.25">
      <c r="E265" s="628"/>
    </row>
    <row r="266" spans="5:7" x14ac:dyDescent="0.25">
      <c r="E266" s="628"/>
    </row>
    <row r="269" spans="5:7" x14ac:dyDescent="0.25">
      <c r="E269" s="95"/>
      <c r="F269" s="95"/>
      <c r="G269" s="95"/>
    </row>
    <row r="270" spans="5:7" x14ac:dyDescent="0.25">
      <c r="E270" s="95"/>
      <c r="F270" s="95"/>
      <c r="G270" s="95"/>
    </row>
    <row r="271" spans="5:7" x14ac:dyDescent="0.25">
      <c r="E271" s="95"/>
      <c r="F271" s="95"/>
      <c r="G271" s="95"/>
    </row>
    <row r="272" spans="5:7" x14ac:dyDescent="0.25">
      <c r="E272" s="95"/>
      <c r="F272" s="95"/>
      <c r="G272" s="95"/>
    </row>
    <row r="273" spans="5:9" x14ac:dyDescent="0.25">
      <c r="E273" s="95"/>
      <c r="F273" s="95"/>
      <c r="G273" s="95"/>
    </row>
    <row r="274" spans="5:9" x14ac:dyDescent="0.25">
      <c r="E274" s="95"/>
      <c r="F274" s="95"/>
      <c r="G274" s="95"/>
    </row>
    <row r="275" spans="5:9" x14ac:dyDescent="0.25">
      <c r="E275" s="95"/>
      <c r="F275" s="95"/>
      <c r="G275" s="95"/>
    </row>
    <row r="276" spans="5:9" x14ac:dyDescent="0.25">
      <c r="E276" s="95"/>
      <c r="F276" s="95"/>
      <c r="G276" s="95"/>
    </row>
    <row r="277" spans="5:9" x14ac:dyDescent="0.25">
      <c r="E277" s="95"/>
      <c r="F277" s="95"/>
      <c r="G277" s="95"/>
    </row>
    <row r="278" spans="5:9" x14ac:dyDescent="0.25">
      <c r="E278" s="95"/>
      <c r="F278" s="95"/>
      <c r="G278" s="95"/>
    </row>
    <row r="279" spans="5:9" x14ac:dyDescent="0.25">
      <c r="E279" s="95"/>
      <c r="F279" s="95"/>
      <c r="G279" s="95"/>
    </row>
    <row r="280" spans="5:9" x14ac:dyDescent="0.25">
      <c r="E280" s="95"/>
      <c r="F280" s="95"/>
      <c r="G280" s="95"/>
    </row>
    <row r="282" spans="5:9" x14ac:dyDescent="0.25">
      <c r="G282" s="645"/>
      <c r="H282" s="628"/>
      <c r="I282" s="645"/>
    </row>
    <row r="283" spans="5:9" x14ac:dyDescent="0.25">
      <c r="G283" s="645"/>
      <c r="H283" s="628"/>
      <c r="I283" s="645"/>
    </row>
    <row r="284" spans="5:9" x14ac:dyDescent="0.25">
      <c r="G284" s="645"/>
      <c r="H284" s="628"/>
      <c r="I284" s="645"/>
    </row>
    <row r="285" spans="5:9" x14ac:dyDescent="0.25">
      <c r="G285" s="645"/>
      <c r="H285" s="628"/>
      <c r="I285" s="645"/>
    </row>
    <row r="286" spans="5:9" x14ac:dyDescent="0.25">
      <c r="G286" s="645"/>
      <c r="H286" s="628"/>
      <c r="I286" s="645"/>
    </row>
    <row r="287" spans="5:9" x14ac:dyDescent="0.25">
      <c r="G287" s="645"/>
      <c r="H287" s="628"/>
      <c r="I287" s="645"/>
    </row>
    <row r="288" spans="5:9" x14ac:dyDescent="0.25">
      <c r="G288" s="645"/>
      <c r="H288" s="628"/>
      <c r="I288" s="645"/>
    </row>
    <row r="289" spans="1:55" x14ac:dyDescent="0.25">
      <c r="G289" s="645"/>
      <c r="H289" s="628"/>
      <c r="I289" s="645"/>
    </row>
    <row r="290" spans="1:55" x14ac:dyDescent="0.25">
      <c r="G290" s="645"/>
      <c r="H290" s="628"/>
      <c r="I290" s="645"/>
    </row>
    <row r="291" spans="1:55" x14ac:dyDescent="0.25">
      <c r="G291" s="645"/>
      <c r="H291" s="628"/>
      <c r="I291" s="645"/>
    </row>
    <row r="292" spans="1:55" x14ac:dyDescent="0.25">
      <c r="G292" s="645"/>
      <c r="H292" s="628"/>
      <c r="I292" s="645"/>
    </row>
    <row r="293" spans="1:55" x14ac:dyDescent="0.25">
      <c r="G293" s="645"/>
      <c r="H293" s="628"/>
      <c r="I293" s="645"/>
    </row>
    <row r="294" spans="1:55" x14ac:dyDescent="0.25">
      <c r="G294" s="645"/>
      <c r="H294" s="628"/>
      <c r="I294" s="645"/>
    </row>
    <row r="295" spans="1:55" x14ac:dyDescent="0.25">
      <c r="G295" s="645"/>
      <c r="H295" s="628"/>
      <c r="I295" s="645"/>
    </row>
    <row r="296" spans="1:55" x14ac:dyDescent="0.25">
      <c r="G296" s="645"/>
      <c r="H296" s="628"/>
      <c r="I296" s="645"/>
    </row>
    <row r="297" spans="1:55" x14ac:dyDescent="0.25">
      <c r="G297" s="645"/>
      <c r="H297" s="628"/>
      <c r="I297" s="645"/>
    </row>
    <row r="298" spans="1:55" x14ac:dyDescent="0.25">
      <c r="G298" s="645"/>
      <c r="H298" s="628"/>
      <c r="I298" s="645"/>
    </row>
    <row r="299" spans="1:55" x14ac:dyDescent="0.25">
      <c r="G299" s="645"/>
      <c r="H299" s="628"/>
      <c r="I299" s="645"/>
    </row>
    <row r="301" spans="1:55" s="102" customFormat="1" x14ac:dyDescent="0.25">
      <c r="A301" s="119"/>
      <c r="E301" s="647"/>
      <c r="F301" s="119"/>
      <c r="G301" s="96"/>
      <c r="H301" s="96"/>
      <c r="I301" s="56"/>
      <c r="L301" s="56">
        <v>2668</v>
      </c>
      <c r="M301" s="56">
        <v>1.55</v>
      </c>
      <c r="O301" s="57"/>
      <c r="P301" s="57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6"/>
      <c r="AV301" s="56"/>
      <c r="AW301" s="56"/>
      <c r="AX301" s="56"/>
      <c r="AY301" s="56"/>
      <c r="AZ301" s="56"/>
      <c r="BA301" s="57"/>
      <c r="BB301" s="57"/>
      <c r="BC301" s="57"/>
    </row>
    <row r="302" spans="1:55" s="102" customFormat="1" x14ac:dyDescent="0.25">
      <c r="A302" s="119"/>
      <c r="E302" s="647"/>
      <c r="F302" s="119"/>
      <c r="G302" s="96"/>
      <c r="H302" s="96"/>
      <c r="I302" s="56"/>
      <c r="L302" s="56">
        <v>1334</v>
      </c>
      <c r="M302" s="56">
        <v>0.89</v>
      </c>
      <c r="O302" s="57"/>
      <c r="P302" s="57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6"/>
      <c r="AV302" s="56"/>
      <c r="AW302" s="56"/>
      <c r="AX302" s="56"/>
      <c r="AY302" s="56"/>
      <c r="AZ302" s="56"/>
      <c r="BA302" s="57"/>
      <c r="BB302" s="57"/>
      <c r="BC302" s="57"/>
    </row>
    <row r="303" spans="1:55" s="102" customFormat="1" x14ac:dyDescent="0.25">
      <c r="A303" s="119"/>
      <c r="E303" s="647"/>
      <c r="F303" s="119"/>
      <c r="G303" s="96"/>
      <c r="H303" s="96"/>
      <c r="I303" s="56"/>
      <c r="L303" s="56">
        <v>2088</v>
      </c>
      <c r="M303" s="56">
        <v>1.27</v>
      </c>
      <c r="O303" s="57"/>
      <c r="P303" s="57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6"/>
      <c r="AV303" s="56"/>
      <c r="AW303" s="56"/>
      <c r="AX303" s="56"/>
      <c r="AY303" s="56"/>
      <c r="AZ303" s="56"/>
      <c r="BA303" s="57"/>
      <c r="BB303" s="57"/>
      <c r="BC303" s="57"/>
    </row>
    <row r="304" spans="1:55" s="102" customFormat="1" x14ac:dyDescent="0.25">
      <c r="A304" s="119"/>
      <c r="E304" s="647"/>
      <c r="F304" s="119"/>
      <c r="G304" s="96"/>
      <c r="H304" s="96"/>
      <c r="I304" s="56"/>
      <c r="L304" s="56">
        <v>1914</v>
      </c>
      <c r="M304" s="56">
        <v>1.17</v>
      </c>
      <c r="O304" s="57"/>
      <c r="P304" s="57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6"/>
      <c r="AV304" s="56"/>
      <c r="AW304" s="56"/>
      <c r="AX304" s="56"/>
      <c r="AY304" s="56"/>
      <c r="AZ304" s="56"/>
      <c r="BA304" s="57"/>
      <c r="BB304" s="57"/>
      <c r="BC304" s="57"/>
    </row>
    <row r="305" spans="1:55" s="102" customFormat="1" x14ac:dyDescent="0.25">
      <c r="A305" s="119"/>
      <c r="E305" s="647"/>
      <c r="F305" s="119"/>
      <c r="G305" s="96"/>
      <c r="H305" s="96"/>
      <c r="I305" s="56"/>
      <c r="L305" s="56">
        <v>15370</v>
      </c>
      <c r="M305" s="56">
        <v>5.56</v>
      </c>
      <c r="O305" s="57"/>
      <c r="P305" s="57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6"/>
      <c r="AV305" s="56"/>
      <c r="AW305" s="56"/>
      <c r="AX305" s="56"/>
      <c r="AY305" s="56"/>
      <c r="AZ305" s="56"/>
      <c r="BA305" s="57"/>
      <c r="BB305" s="57"/>
      <c r="BC305" s="57"/>
    </row>
    <row r="306" spans="1:55" s="102" customFormat="1" x14ac:dyDescent="0.25">
      <c r="A306" s="119"/>
      <c r="E306" s="647"/>
      <c r="F306" s="119"/>
      <c r="G306" s="96"/>
      <c r="H306" s="96"/>
      <c r="I306" s="56"/>
      <c r="J306" s="257"/>
      <c r="K306" s="257"/>
      <c r="L306" s="56"/>
      <c r="M306" s="56"/>
      <c r="N306" s="257"/>
      <c r="O306" s="57"/>
      <c r="P306" s="57"/>
      <c r="Q306" s="258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6"/>
      <c r="AV306" s="56"/>
      <c r="AW306" s="56"/>
      <c r="AX306" s="56"/>
      <c r="AY306" s="56"/>
      <c r="AZ306" s="56"/>
      <c r="BA306" s="57"/>
      <c r="BB306" s="57"/>
      <c r="BC306" s="57"/>
    </row>
    <row r="307" spans="1:55" s="102" customFormat="1" x14ac:dyDescent="0.25">
      <c r="A307" s="119"/>
      <c r="E307" s="647"/>
      <c r="F307" s="119"/>
      <c r="G307" s="96"/>
      <c r="H307" s="96"/>
      <c r="I307" s="56"/>
      <c r="J307" s="257"/>
      <c r="K307" s="257"/>
      <c r="L307" s="56">
        <v>6460</v>
      </c>
      <c r="M307" s="56">
        <v>1.23</v>
      </c>
      <c r="N307" s="257"/>
      <c r="O307" s="57"/>
      <c r="P307" s="57"/>
      <c r="Q307" s="258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6"/>
      <c r="AV307" s="56"/>
      <c r="AW307" s="56"/>
      <c r="AX307" s="56"/>
      <c r="AY307" s="56"/>
      <c r="AZ307" s="56"/>
      <c r="BA307" s="57"/>
      <c r="BB307" s="57"/>
      <c r="BC307" s="57"/>
    </row>
    <row r="308" spans="1:55" s="102" customFormat="1" x14ac:dyDescent="0.25">
      <c r="A308" s="119"/>
      <c r="E308" s="647"/>
      <c r="F308" s="119"/>
      <c r="G308" s="96"/>
      <c r="H308" s="96"/>
      <c r="I308" s="56"/>
      <c r="J308" s="257"/>
      <c r="K308" s="257"/>
      <c r="L308" s="56">
        <v>11970</v>
      </c>
      <c r="M308" s="56">
        <v>4.3</v>
      </c>
      <c r="N308" s="257"/>
      <c r="O308" s="57"/>
      <c r="P308" s="57"/>
      <c r="Q308" s="258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6"/>
      <c r="AV308" s="56"/>
      <c r="AW308" s="56"/>
      <c r="AX308" s="56"/>
      <c r="AY308" s="56"/>
      <c r="AZ308" s="56"/>
      <c r="BA308" s="57"/>
      <c r="BB308" s="57"/>
      <c r="BC308" s="57"/>
    </row>
    <row r="309" spans="1:55" s="102" customFormat="1" x14ac:dyDescent="0.25">
      <c r="A309" s="119"/>
      <c r="E309" s="647"/>
      <c r="F309" s="119"/>
      <c r="G309" s="96"/>
      <c r="H309" s="96"/>
      <c r="I309" s="56"/>
      <c r="L309" s="56">
        <v>18430</v>
      </c>
      <c r="M309" s="56">
        <v>5.5299999999999994</v>
      </c>
      <c r="O309" s="57"/>
      <c r="P309" s="57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6"/>
      <c r="AV309" s="56"/>
      <c r="AW309" s="56"/>
      <c r="AX309" s="56"/>
      <c r="AY309" s="56"/>
      <c r="AZ309" s="56"/>
      <c r="BA309" s="57"/>
      <c r="BB309" s="57"/>
      <c r="BC309" s="57"/>
    </row>
    <row r="310" spans="1:55" s="102" customFormat="1" x14ac:dyDescent="0.25">
      <c r="A310" s="119"/>
      <c r="E310" s="119"/>
      <c r="F310" s="119"/>
      <c r="G310" s="96"/>
      <c r="H310" s="96"/>
      <c r="I310" s="56"/>
      <c r="J310" s="257"/>
      <c r="K310" s="257"/>
      <c r="L310" s="56"/>
      <c r="M310" s="56"/>
      <c r="N310" s="257"/>
      <c r="O310" s="57"/>
      <c r="P310" s="57"/>
      <c r="Q310" s="258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6"/>
      <c r="AV310" s="56"/>
      <c r="AW310" s="56"/>
      <c r="AX310" s="56"/>
      <c r="AY310" s="56"/>
      <c r="AZ310" s="56"/>
      <c r="BA310" s="57"/>
      <c r="BB310" s="57"/>
      <c r="BC310" s="57"/>
    </row>
    <row r="311" spans="1:55" s="102" customFormat="1" x14ac:dyDescent="0.25">
      <c r="A311" s="119"/>
      <c r="E311" s="119"/>
      <c r="F311" s="119"/>
      <c r="G311" s="96"/>
      <c r="H311" s="96"/>
      <c r="I311" s="56"/>
      <c r="J311" s="257"/>
      <c r="K311" s="257"/>
      <c r="L311" s="56"/>
      <c r="M311" s="56"/>
      <c r="N311" s="257"/>
      <c r="O311" s="57"/>
      <c r="P311" s="57"/>
      <c r="Q311" s="258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6"/>
      <c r="AV311" s="56"/>
      <c r="AW311" s="56"/>
      <c r="AX311" s="56"/>
      <c r="AY311" s="56"/>
      <c r="AZ311" s="56"/>
      <c r="BA311" s="57"/>
      <c r="BB311" s="57"/>
      <c r="BC311" s="57"/>
    </row>
    <row r="312" spans="1:55" s="102" customFormat="1" x14ac:dyDescent="0.25">
      <c r="A312" s="119"/>
      <c r="E312" s="119"/>
      <c r="F312" s="119"/>
      <c r="G312" s="96"/>
      <c r="H312" s="96"/>
      <c r="I312" s="56"/>
      <c r="J312" s="257"/>
      <c r="K312" s="257"/>
      <c r="L312" s="56"/>
      <c r="M312" s="56"/>
      <c r="N312" s="257"/>
      <c r="O312" s="57"/>
      <c r="P312" s="57"/>
      <c r="Q312" s="258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6"/>
      <c r="AV312" s="56"/>
      <c r="AW312" s="56"/>
      <c r="AX312" s="56"/>
      <c r="AY312" s="56"/>
      <c r="AZ312" s="56"/>
      <c r="BA312" s="57"/>
      <c r="BB312" s="57"/>
      <c r="BC312" s="57"/>
    </row>
    <row r="313" spans="1:55" s="102" customFormat="1" x14ac:dyDescent="0.25">
      <c r="A313" s="119"/>
      <c r="E313" s="119"/>
      <c r="F313" s="119"/>
      <c r="G313" s="96"/>
      <c r="H313" s="96"/>
      <c r="I313" s="56"/>
      <c r="J313" s="257"/>
      <c r="K313" s="257"/>
      <c r="L313" s="56"/>
      <c r="M313" s="56"/>
      <c r="N313" s="257"/>
      <c r="O313" s="57"/>
      <c r="P313" s="57"/>
      <c r="Q313" s="258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6"/>
      <c r="AV313" s="56"/>
      <c r="AW313" s="56"/>
      <c r="AX313" s="56"/>
      <c r="AY313" s="56"/>
      <c r="AZ313" s="56"/>
      <c r="BA313" s="57"/>
      <c r="BB313" s="57"/>
      <c r="BC313" s="57"/>
    </row>
    <row r="314" spans="1:55" s="102" customFormat="1" x14ac:dyDescent="0.25">
      <c r="A314" s="119"/>
      <c r="E314" s="119"/>
      <c r="F314" s="119"/>
      <c r="G314" s="96"/>
      <c r="H314" s="96"/>
      <c r="I314" s="56"/>
      <c r="J314" s="257"/>
      <c r="K314" s="257"/>
      <c r="L314" s="56"/>
      <c r="M314" s="56"/>
      <c r="N314" s="257"/>
      <c r="O314" s="57"/>
      <c r="P314" s="57"/>
      <c r="Q314" s="258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6"/>
      <c r="AV314" s="56"/>
      <c r="AW314" s="56"/>
      <c r="AX314" s="56"/>
      <c r="AY314" s="56"/>
      <c r="AZ314" s="56"/>
      <c r="BA314" s="57"/>
      <c r="BB314" s="57"/>
      <c r="BC314" s="57"/>
    </row>
    <row r="315" spans="1:55" s="102" customFormat="1" x14ac:dyDescent="0.25">
      <c r="A315" s="119"/>
      <c r="E315" s="119"/>
      <c r="F315" s="119"/>
      <c r="G315" s="96"/>
      <c r="H315" s="96"/>
      <c r="I315" s="56"/>
      <c r="J315" s="257"/>
      <c r="K315" s="257"/>
      <c r="L315" s="56"/>
      <c r="M315" s="56"/>
      <c r="N315" s="257"/>
      <c r="O315" s="57"/>
      <c r="P315" s="57"/>
      <c r="Q315" s="258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6"/>
      <c r="AV315" s="56"/>
      <c r="AW315" s="56"/>
      <c r="AX315" s="56"/>
      <c r="AY315" s="56"/>
      <c r="AZ315" s="56"/>
      <c r="BA315" s="57"/>
      <c r="BB315" s="57"/>
      <c r="BC315" s="57"/>
    </row>
    <row r="316" spans="1:55" s="102" customFormat="1" x14ac:dyDescent="0.25">
      <c r="A316" s="119"/>
      <c r="E316" s="119"/>
      <c r="F316" s="119"/>
      <c r="G316" s="96"/>
      <c r="H316" s="96"/>
      <c r="I316" s="56"/>
      <c r="J316" s="257"/>
      <c r="K316" s="257"/>
      <c r="L316" s="56"/>
      <c r="M316" s="56"/>
      <c r="N316" s="257"/>
      <c r="O316" s="57"/>
      <c r="P316" s="57"/>
      <c r="Q316" s="258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6"/>
      <c r="AV316" s="56"/>
      <c r="AW316" s="56"/>
      <c r="AX316" s="56"/>
      <c r="AY316" s="56"/>
      <c r="AZ316" s="56"/>
      <c r="BA316" s="57"/>
      <c r="BB316" s="57"/>
      <c r="BC316" s="57"/>
    </row>
    <row r="317" spans="1:55" s="102" customFormat="1" x14ac:dyDescent="0.25">
      <c r="A317" s="119"/>
      <c r="E317" s="119"/>
      <c r="F317" s="119"/>
      <c r="G317" s="96"/>
      <c r="H317" s="96"/>
      <c r="I317" s="56"/>
      <c r="J317" s="257"/>
      <c r="K317" s="257"/>
      <c r="L317" s="56"/>
      <c r="M317" s="56"/>
      <c r="N317" s="257"/>
      <c r="O317" s="57"/>
      <c r="P317" s="57"/>
      <c r="Q317" s="258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6"/>
      <c r="AV317" s="56"/>
      <c r="AW317" s="56"/>
      <c r="AX317" s="56"/>
      <c r="AY317" s="56"/>
      <c r="AZ317" s="56"/>
      <c r="BA317" s="57"/>
      <c r="BB317" s="57"/>
      <c r="BC317" s="57"/>
    </row>
    <row r="318" spans="1:55" s="102" customFormat="1" x14ac:dyDescent="0.25">
      <c r="A318" s="119"/>
      <c r="E318" s="647"/>
      <c r="F318" s="119"/>
      <c r="G318" s="119"/>
      <c r="H318" s="119"/>
      <c r="I318" s="56"/>
      <c r="L318" s="56"/>
      <c r="M318" s="56"/>
      <c r="O318" s="57"/>
      <c r="P318" s="258"/>
      <c r="R318" s="257"/>
      <c r="S318" s="257"/>
      <c r="T318" s="257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258"/>
      <c r="AK318" s="258"/>
      <c r="AL318" s="258"/>
      <c r="AM318" s="258"/>
      <c r="AN318" s="258"/>
      <c r="AO318" s="258"/>
      <c r="AP318" s="258"/>
      <c r="AQ318" s="258"/>
      <c r="AR318" s="258"/>
      <c r="AS318" s="258"/>
      <c r="AT318" s="258"/>
      <c r="AU318" s="257"/>
      <c r="AV318" s="257"/>
      <c r="AW318" s="257"/>
      <c r="AX318" s="257"/>
      <c r="AY318" s="257"/>
      <c r="AZ318" s="257"/>
      <c r="BA318" s="258"/>
      <c r="BB318" s="258"/>
      <c r="BC318" s="258"/>
    </row>
    <row r="319" spans="1:55" s="102" customFormat="1" x14ac:dyDescent="0.25">
      <c r="A319" s="119"/>
      <c r="E319" s="647"/>
      <c r="F319" s="119"/>
      <c r="G319" s="119"/>
      <c r="H319" s="119"/>
      <c r="I319" s="56"/>
      <c r="L319" s="56"/>
      <c r="M319" s="56"/>
      <c r="O319" s="57"/>
      <c r="P319" s="258"/>
      <c r="R319" s="257"/>
      <c r="S319" s="257"/>
      <c r="T319" s="257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258"/>
      <c r="AK319" s="258"/>
      <c r="AL319" s="258"/>
      <c r="AM319" s="258"/>
      <c r="AN319" s="258"/>
      <c r="AO319" s="258"/>
      <c r="AP319" s="258"/>
      <c r="AQ319" s="258"/>
      <c r="AR319" s="258"/>
      <c r="AS319" s="258"/>
      <c r="AT319" s="258"/>
      <c r="AU319" s="257"/>
      <c r="AV319" s="257"/>
      <c r="AW319" s="257"/>
      <c r="AX319" s="257"/>
      <c r="AY319" s="257"/>
      <c r="AZ319" s="257"/>
      <c r="BA319" s="258"/>
      <c r="BB319" s="258"/>
      <c r="BC319" s="258"/>
    </row>
    <row r="320" spans="1:55" s="102" customFormat="1" x14ac:dyDescent="0.25">
      <c r="A320" s="119"/>
      <c r="E320" s="647"/>
      <c r="F320" s="119"/>
      <c r="G320" s="119"/>
      <c r="H320" s="119"/>
      <c r="I320" s="56"/>
      <c r="L320" s="56"/>
      <c r="M320" s="56"/>
      <c r="O320" s="57"/>
      <c r="P320" s="258"/>
      <c r="R320" s="257"/>
      <c r="S320" s="257"/>
      <c r="T320" s="257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7"/>
      <c r="AV320" s="257"/>
      <c r="AW320" s="257"/>
      <c r="AX320" s="257"/>
      <c r="AY320" s="257"/>
      <c r="AZ320" s="257"/>
      <c r="BA320" s="258"/>
      <c r="BB320" s="258"/>
      <c r="BC320" s="258"/>
    </row>
    <row r="321" spans="1:55" s="102" customFormat="1" x14ac:dyDescent="0.25">
      <c r="A321" s="119"/>
      <c r="E321" s="647"/>
      <c r="F321" s="119"/>
      <c r="G321" s="119"/>
      <c r="H321" s="119"/>
      <c r="I321" s="56"/>
      <c r="L321" s="56"/>
      <c r="M321" s="56"/>
      <c r="O321" s="57"/>
      <c r="P321" s="258"/>
      <c r="R321" s="257"/>
      <c r="S321" s="257"/>
      <c r="T321" s="257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258"/>
      <c r="AK321" s="258"/>
      <c r="AL321" s="258"/>
      <c r="AM321" s="258"/>
      <c r="AN321" s="258"/>
      <c r="AO321" s="258"/>
      <c r="AP321" s="258"/>
      <c r="AQ321" s="258"/>
      <c r="AR321" s="258"/>
      <c r="AS321" s="258"/>
      <c r="AT321" s="258"/>
      <c r="AU321" s="257"/>
      <c r="AV321" s="257"/>
      <c r="AW321" s="257"/>
      <c r="AX321" s="257"/>
      <c r="AY321" s="257"/>
      <c r="AZ321" s="257"/>
      <c r="BA321" s="258"/>
      <c r="BB321" s="258"/>
      <c r="BC321" s="258"/>
    </row>
    <row r="322" spans="1:55" s="102" customFormat="1" x14ac:dyDescent="0.25">
      <c r="A322" s="119"/>
      <c r="E322" s="647"/>
      <c r="F322" s="119"/>
      <c r="G322" s="119"/>
      <c r="H322" s="119"/>
      <c r="I322" s="56"/>
      <c r="L322" s="56"/>
      <c r="M322" s="56"/>
      <c r="O322" s="57"/>
      <c r="P322" s="258"/>
      <c r="R322" s="257"/>
      <c r="S322" s="257"/>
      <c r="T322" s="257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258"/>
      <c r="AK322" s="258"/>
      <c r="AL322" s="258"/>
      <c r="AM322" s="258"/>
      <c r="AN322" s="258"/>
      <c r="AO322" s="258"/>
      <c r="AP322" s="258"/>
      <c r="AQ322" s="258"/>
      <c r="AR322" s="258"/>
      <c r="AS322" s="258"/>
      <c r="AT322" s="258"/>
      <c r="AU322" s="257"/>
      <c r="AV322" s="257"/>
      <c r="AW322" s="257"/>
      <c r="AX322" s="257"/>
      <c r="AY322" s="257"/>
      <c r="AZ322" s="257"/>
      <c r="BA322" s="258"/>
      <c r="BB322" s="258"/>
      <c r="BC322" s="258"/>
    </row>
    <row r="323" spans="1:55" s="102" customFormat="1" x14ac:dyDescent="0.25">
      <c r="A323" s="119"/>
      <c r="E323" s="647"/>
      <c r="F323" s="119"/>
      <c r="G323" s="119"/>
      <c r="H323" s="119"/>
      <c r="I323" s="56"/>
      <c r="L323" s="56"/>
      <c r="M323" s="56"/>
      <c r="O323" s="57"/>
      <c r="P323" s="258"/>
      <c r="R323" s="257"/>
      <c r="S323" s="257"/>
      <c r="T323" s="257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7"/>
      <c r="AV323" s="257"/>
      <c r="AW323" s="257"/>
      <c r="AX323" s="257"/>
      <c r="AY323" s="257"/>
      <c r="AZ323" s="257"/>
      <c r="BA323" s="258"/>
      <c r="BB323" s="258"/>
      <c r="BC323" s="258"/>
    </row>
    <row r="324" spans="1:55" s="102" customFormat="1" x14ac:dyDescent="0.25">
      <c r="A324" s="119"/>
      <c r="E324" s="647"/>
      <c r="F324" s="119"/>
      <c r="G324" s="119"/>
      <c r="H324" s="119"/>
      <c r="I324" s="56"/>
      <c r="L324" s="56"/>
      <c r="M324" s="56"/>
      <c r="O324" s="57"/>
      <c r="P324" s="258"/>
      <c r="R324" s="257"/>
      <c r="S324" s="257"/>
      <c r="T324" s="257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7"/>
      <c r="AV324" s="257"/>
      <c r="AW324" s="257"/>
      <c r="AX324" s="257"/>
      <c r="AY324" s="257"/>
      <c r="AZ324" s="257"/>
      <c r="BA324" s="258"/>
      <c r="BB324" s="258"/>
      <c r="BC324" s="258"/>
    </row>
    <row r="325" spans="1:55" s="102" customFormat="1" x14ac:dyDescent="0.25">
      <c r="A325" s="119"/>
      <c r="E325" s="647"/>
      <c r="F325" s="119"/>
      <c r="G325" s="119"/>
      <c r="H325" s="119"/>
      <c r="I325" s="56"/>
      <c r="L325" s="56"/>
      <c r="M325" s="56"/>
      <c r="O325" s="57"/>
      <c r="P325" s="258"/>
      <c r="R325" s="257"/>
      <c r="S325" s="257"/>
      <c r="T325" s="257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7"/>
      <c r="AV325" s="257"/>
      <c r="AW325" s="257"/>
      <c r="AX325" s="257"/>
      <c r="AY325" s="257"/>
      <c r="AZ325" s="257"/>
      <c r="BA325" s="258"/>
      <c r="BB325" s="258"/>
      <c r="BC325" s="258"/>
    </row>
    <row r="326" spans="1:55" s="102" customFormat="1" x14ac:dyDescent="0.25">
      <c r="A326" s="119"/>
      <c r="E326" s="647"/>
      <c r="F326" s="119"/>
      <c r="G326" s="119"/>
      <c r="H326" s="119"/>
      <c r="I326" s="56"/>
      <c r="L326" s="56"/>
      <c r="M326" s="56"/>
      <c r="O326" s="57"/>
      <c r="P326" s="258"/>
      <c r="R326" s="257"/>
      <c r="S326" s="257"/>
      <c r="T326" s="257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7"/>
      <c r="AV326" s="257"/>
      <c r="AW326" s="257"/>
      <c r="AX326" s="257"/>
      <c r="AY326" s="257"/>
      <c r="AZ326" s="257"/>
      <c r="BA326" s="258"/>
      <c r="BB326" s="258"/>
      <c r="BC326" s="258"/>
    </row>
    <row r="327" spans="1:55" s="102" customFormat="1" x14ac:dyDescent="0.25">
      <c r="A327" s="119"/>
      <c r="E327" s="647"/>
      <c r="F327" s="119"/>
      <c r="G327" s="119"/>
      <c r="H327" s="119"/>
      <c r="I327" s="56"/>
      <c r="L327" s="56"/>
      <c r="M327" s="56"/>
      <c r="O327" s="57"/>
      <c r="P327" s="258"/>
      <c r="R327" s="257"/>
      <c r="S327" s="257"/>
      <c r="T327" s="257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7"/>
      <c r="AV327" s="257"/>
      <c r="AW327" s="257"/>
      <c r="AX327" s="257"/>
      <c r="AY327" s="257"/>
      <c r="AZ327" s="257"/>
      <c r="BA327" s="258"/>
      <c r="BB327" s="258"/>
      <c r="BC327" s="258"/>
    </row>
    <row r="328" spans="1:55" s="102" customFormat="1" x14ac:dyDescent="0.25">
      <c r="A328" s="119"/>
      <c r="E328" s="647"/>
      <c r="F328" s="119"/>
      <c r="G328" s="119"/>
      <c r="H328" s="119"/>
      <c r="I328" s="56"/>
      <c r="L328" s="56"/>
      <c r="M328" s="56"/>
      <c r="O328" s="57"/>
      <c r="R328" s="257"/>
      <c r="S328" s="257"/>
      <c r="T328" s="257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7"/>
      <c r="AV328" s="257"/>
      <c r="AW328" s="257"/>
      <c r="AX328" s="257"/>
      <c r="AY328" s="257"/>
      <c r="AZ328" s="257"/>
      <c r="BA328" s="258"/>
      <c r="BB328" s="258"/>
      <c r="BC328" s="258"/>
    </row>
    <row r="329" spans="1:55" s="102" customFormat="1" x14ac:dyDescent="0.25">
      <c r="A329" s="119"/>
      <c r="E329" s="647"/>
      <c r="F329" s="119"/>
      <c r="G329" s="119"/>
      <c r="H329" s="119"/>
      <c r="I329" s="56"/>
      <c r="L329" s="56"/>
      <c r="M329" s="56"/>
      <c r="O329" s="57"/>
      <c r="P329" s="258"/>
      <c r="R329" s="257"/>
      <c r="S329" s="257"/>
      <c r="T329" s="257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7"/>
      <c r="AV329" s="257"/>
      <c r="AW329" s="257"/>
      <c r="AX329" s="257"/>
      <c r="AY329" s="257"/>
      <c r="AZ329" s="257"/>
      <c r="BA329" s="258"/>
      <c r="BB329" s="258"/>
      <c r="BC329" s="258"/>
    </row>
    <row r="335" spans="1:55" x14ac:dyDescent="0.25">
      <c r="O335" s="56"/>
      <c r="P335" s="56"/>
    </row>
    <row r="337" spans="56:62" x14ac:dyDescent="0.25">
      <c r="BD337" s="57"/>
      <c r="BE337" s="57"/>
      <c r="BF337" s="57"/>
      <c r="BG337" s="57"/>
      <c r="BH337" s="57"/>
      <c r="BI337" s="57"/>
      <c r="BJ337" s="57"/>
    </row>
    <row r="338" spans="56:62" x14ac:dyDescent="0.25">
      <c r="BD338" s="57"/>
      <c r="BE338" s="57"/>
      <c r="BF338" s="57"/>
      <c r="BG338" s="57"/>
      <c r="BH338" s="57"/>
      <c r="BI338" s="57"/>
      <c r="BJ338" s="57"/>
    </row>
    <row r="339" spans="56:62" x14ac:dyDescent="0.25">
      <c r="BD339" s="57"/>
      <c r="BE339" s="57"/>
      <c r="BF339" s="57"/>
      <c r="BG339" s="57"/>
      <c r="BH339" s="57"/>
      <c r="BI339" s="57"/>
      <c r="BJ339" s="57"/>
    </row>
    <row r="340" spans="56:62" x14ac:dyDescent="0.25">
      <c r="BD340" s="57"/>
      <c r="BE340" s="57"/>
      <c r="BF340" s="57"/>
      <c r="BG340" s="57"/>
      <c r="BH340" s="57"/>
      <c r="BI340" s="57"/>
      <c r="BJ340" s="57"/>
    </row>
    <row r="341" spans="56:62" x14ac:dyDescent="0.25">
      <c r="BD341" s="57"/>
      <c r="BE341" s="57"/>
      <c r="BF341" s="57"/>
      <c r="BG341" s="57"/>
      <c r="BH341" s="57"/>
      <c r="BI341" s="57"/>
      <c r="BJ341" s="57"/>
    </row>
    <row r="342" spans="56:62" x14ac:dyDescent="0.25">
      <c r="BD342" s="57"/>
      <c r="BE342" s="57"/>
      <c r="BF342" s="57"/>
      <c r="BG342" s="57"/>
      <c r="BH342" s="57"/>
      <c r="BI342" s="57"/>
      <c r="BJ342" s="57"/>
    </row>
  </sheetData>
  <mergeCells count="26">
    <mergeCell ref="BA8:BA10"/>
    <mergeCell ref="BB8:BC9"/>
    <mergeCell ref="A3:E3"/>
    <mergeCell ref="I6:Q7"/>
    <mergeCell ref="I8:I10"/>
    <mergeCell ref="J8:N9"/>
    <mergeCell ref="O8:O10"/>
    <mergeCell ref="P8:Q9"/>
    <mergeCell ref="R6:AT6"/>
    <mergeCell ref="AU6:BC7"/>
    <mergeCell ref="R7:X9"/>
    <mergeCell ref="Y7:AB9"/>
    <mergeCell ref="AC7:AC10"/>
    <mergeCell ref="AD7:AD10"/>
    <mergeCell ref="AE7:AE10"/>
    <mergeCell ref="AF7:AH9"/>
    <mergeCell ref="AU8:AU10"/>
    <mergeCell ref="AV8:AZ9"/>
    <mergeCell ref="AI7:AI10"/>
    <mergeCell ref="AJ7:AT7"/>
    <mergeCell ref="AJ8:AK9"/>
    <mergeCell ref="AL8:AL9"/>
    <mergeCell ref="AP8:AQ9"/>
    <mergeCell ref="AR8:AT9"/>
    <mergeCell ref="AM8:AN8"/>
    <mergeCell ref="AO8:AO9"/>
  </mergeCells>
  <phoneticPr fontId="43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C203"/>
  <sheetViews>
    <sheetView workbookViewId="0">
      <pane xSplit="8" ySplit="11" topLeftCell="I17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9" width="11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673" customWidth="1"/>
    <col min="47" max="47" width="9.7109375" style="8" customWidth="1"/>
    <col min="48" max="48" width="10" style="8" customWidth="1"/>
    <col min="49" max="49" width="9.140625" style="8"/>
    <col min="50" max="50" width="9.85546875" style="8" customWidth="1"/>
    <col min="51" max="52" width="9.140625" style="8"/>
    <col min="53" max="53" width="11.42578125" style="7" customWidth="1"/>
    <col min="54" max="55" width="9.28515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5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customHeight="1" x14ac:dyDescent="0.25">
      <c r="A2" s="52" t="s">
        <v>3</v>
      </c>
      <c r="B2" s="52"/>
      <c r="C2" s="43"/>
      <c r="D2" s="52"/>
      <c r="E2" s="52"/>
      <c r="F2" s="96"/>
      <c r="G2" s="95"/>
      <c r="H2" s="96"/>
    </row>
    <row r="3" spans="1:55" ht="12.75" customHeight="1" x14ac:dyDescent="0.25">
      <c r="A3" s="820" t="s">
        <v>4</v>
      </c>
      <c r="B3" s="820"/>
      <c r="C3" s="820"/>
      <c r="D3" s="820"/>
      <c r="E3" s="820"/>
      <c r="F3" s="96"/>
      <c r="G3" s="95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5"/>
      <c r="H4" s="96"/>
      <c r="S4" s="698"/>
      <c r="T4" s="698"/>
      <c r="U4" s="698"/>
    </row>
    <row r="5" spans="1:55" ht="16.5" customHeight="1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5"/>
      <c r="H6" s="96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95"/>
      <c r="B7" s="6"/>
      <c r="D7" s="10"/>
      <c r="E7" s="6"/>
      <c r="F7" s="96"/>
      <c r="G7" s="95"/>
      <c r="H7" s="96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3.5" customHeight="1" thickBot="1" x14ac:dyDescent="0.25">
      <c r="A9" s="12" t="s">
        <v>807</v>
      </c>
      <c r="D9" s="12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8.75" customHeight="1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229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230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702" t="s">
        <v>306</v>
      </c>
      <c r="AK11" s="702" t="s">
        <v>307</v>
      </c>
      <c r="AL11" s="702" t="s">
        <v>306</v>
      </c>
      <c r="AM11" s="702" t="s">
        <v>306</v>
      </c>
      <c r="AN11" s="702" t="s">
        <v>307</v>
      </c>
      <c r="AO11" s="197" t="s">
        <v>306</v>
      </c>
      <c r="AP11" s="702" t="s">
        <v>306</v>
      </c>
      <c r="AQ11" s="702" t="s">
        <v>307</v>
      </c>
      <c r="AR11" s="702" t="s">
        <v>306</v>
      </c>
      <c r="AS11" s="702" t="s">
        <v>307</v>
      </c>
      <c r="AT11" s="703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ht="12.75" customHeight="1" x14ac:dyDescent="0.2">
      <c r="A12" s="231">
        <v>1</v>
      </c>
      <c r="B12" s="232">
        <v>3454</v>
      </c>
      <c r="C12" s="232">
        <v>600029085</v>
      </c>
      <c r="D12" s="232">
        <v>75122294</v>
      </c>
      <c r="E12" s="233" t="s">
        <v>8</v>
      </c>
      <c r="F12" s="232">
        <v>3233</v>
      </c>
      <c r="G12" s="233" t="s">
        <v>318</v>
      </c>
      <c r="H12" s="271" t="s">
        <v>278</v>
      </c>
      <c r="I12" s="465">
        <v>6460900</v>
      </c>
      <c r="J12" s="466">
        <v>4577080</v>
      </c>
      <c r="K12" s="466">
        <v>115000</v>
      </c>
      <c r="L12" s="466">
        <v>1585923</v>
      </c>
      <c r="M12" s="466">
        <v>91542</v>
      </c>
      <c r="N12" s="466">
        <v>91355</v>
      </c>
      <c r="O12" s="467">
        <v>10.469999999999999</v>
      </c>
      <c r="P12" s="468">
        <v>6.03</v>
      </c>
      <c r="Q12" s="519">
        <v>4.4399999999999995</v>
      </c>
      <c r="R12" s="462">
        <f t="shared" ref="R12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682">
        <f>I12+AI12</f>
        <v>6460900</v>
      </c>
      <c r="AV12" s="469">
        <f>J12+X12</f>
        <v>4577080</v>
      </c>
      <c r="AW12" s="469">
        <f>K12+AB12</f>
        <v>115000</v>
      </c>
      <c r="AX12" s="469">
        <f>L12+AD12</f>
        <v>1585923</v>
      </c>
      <c r="AY12" s="469">
        <f>M12+AE12</f>
        <v>91542</v>
      </c>
      <c r="AZ12" s="469">
        <f>N12+AH12</f>
        <v>91355</v>
      </c>
      <c r="BA12" s="470">
        <f>O12+AT12</f>
        <v>10.469999999999999</v>
      </c>
      <c r="BB12" s="470">
        <f>P12+AR12</f>
        <v>6.03</v>
      </c>
      <c r="BC12" s="471">
        <f>Q12+AS12</f>
        <v>4.4399999999999995</v>
      </c>
    </row>
    <row r="13" spans="1:55" s="234" customFormat="1" ht="12.75" customHeight="1" x14ac:dyDescent="0.2">
      <c r="A13" s="160">
        <v>1</v>
      </c>
      <c r="B13" s="14">
        <v>3454</v>
      </c>
      <c r="C13" s="159">
        <v>600029085</v>
      </c>
      <c r="D13" s="159">
        <v>75122294</v>
      </c>
      <c r="E13" s="235" t="s">
        <v>9</v>
      </c>
      <c r="F13" s="14"/>
      <c r="G13" s="235"/>
      <c r="H13" s="272"/>
      <c r="I13" s="479">
        <v>6460900</v>
      </c>
      <c r="J13" s="479">
        <v>4577080</v>
      </c>
      <c r="K13" s="479">
        <v>115000</v>
      </c>
      <c r="L13" s="479">
        <v>1585923</v>
      </c>
      <c r="M13" s="479">
        <v>91542</v>
      </c>
      <c r="N13" s="479">
        <v>91355</v>
      </c>
      <c r="O13" s="441">
        <v>10.469999999999999</v>
      </c>
      <c r="P13" s="441">
        <v>6.03</v>
      </c>
      <c r="Q13" s="441">
        <v>4.4399999999999995</v>
      </c>
      <c r="R13" s="687">
        <f t="shared" ref="R13:BC13" si="8">SUM(R12)</f>
        <v>0</v>
      </c>
      <c r="S13" s="685">
        <f t="shared" si="8"/>
        <v>0</v>
      </c>
      <c r="T13" s="685">
        <f t="shared" si="8"/>
        <v>0</v>
      </c>
      <c r="U13" s="685">
        <f t="shared" si="8"/>
        <v>0</v>
      </c>
      <c r="V13" s="685">
        <f t="shared" si="8"/>
        <v>0</v>
      </c>
      <c r="W13" s="685">
        <f t="shared" si="8"/>
        <v>0</v>
      </c>
      <c r="X13" s="685">
        <f t="shared" si="8"/>
        <v>0</v>
      </c>
      <c r="Y13" s="685">
        <f t="shared" si="8"/>
        <v>0</v>
      </c>
      <c r="Z13" s="685">
        <f t="shared" si="8"/>
        <v>0</v>
      </c>
      <c r="AA13" s="685">
        <f t="shared" si="8"/>
        <v>0</v>
      </c>
      <c r="AB13" s="685">
        <f t="shared" si="8"/>
        <v>0</v>
      </c>
      <c r="AC13" s="685">
        <f t="shared" si="8"/>
        <v>0</v>
      </c>
      <c r="AD13" s="685">
        <f t="shared" si="8"/>
        <v>0</v>
      </c>
      <c r="AE13" s="685">
        <f t="shared" si="8"/>
        <v>0</v>
      </c>
      <c r="AF13" s="685">
        <f t="shared" si="8"/>
        <v>0</v>
      </c>
      <c r="AG13" s="685">
        <f t="shared" si="8"/>
        <v>0</v>
      </c>
      <c r="AH13" s="685">
        <f t="shared" si="8"/>
        <v>0</v>
      </c>
      <c r="AI13" s="685">
        <f t="shared" si="8"/>
        <v>0</v>
      </c>
      <c r="AJ13" s="686">
        <f t="shared" si="8"/>
        <v>0</v>
      </c>
      <c r="AK13" s="686">
        <f t="shared" si="8"/>
        <v>0</v>
      </c>
      <c r="AL13" s="686">
        <f t="shared" si="8"/>
        <v>0</v>
      </c>
      <c r="AM13" s="686">
        <f t="shared" si="8"/>
        <v>0</v>
      </c>
      <c r="AN13" s="686">
        <f t="shared" si="8"/>
        <v>0</v>
      </c>
      <c r="AO13" s="686">
        <f t="shared" si="8"/>
        <v>0</v>
      </c>
      <c r="AP13" s="686">
        <f t="shared" si="8"/>
        <v>0</v>
      </c>
      <c r="AQ13" s="686">
        <f t="shared" si="8"/>
        <v>0</v>
      </c>
      <c r="AR13" s="686">
        <f t="shared" si="8"/>
        <v>0</v>
      </c>
      <c r="AS13" s="686">
        <f t="shared" si="8"/>
        <v>0</v>
      </c>
      <c r="AT13" s="688">
        <f t="shared" si="8"/>
        <v>0</v>
      </c>
      <c r="AU13" s="683">
        <f t="shared" si="8"/>
        <v>6460900</v>
      </c>
      <c r="AV13" s="479">
        <f t="shared" si="8"/>
        <v>4577080</v>
      </c>
      <c r="AW13" s="479">
        <f t="shared" si="8"/>
        <v>115000</v>
      </c>
      <c r="AX13" s="479">
        <f t="shared" si="8"/>
        <v>1585923</v>
      </c>
      <c r="AY13" s="479">
        <f t="shared" si="8"/>
        <v>91542</v>
      </c>
      <c r="AZ13" s="479">
        <f t="shared" si="8"/>
        <v>91355</v>
      </c>
      <c r="BA13" s="441">
        <f t="shared" si="8"/>
        <v>10.469999999999999</v>
      </c>
      <c r="BB13" s="441">
        <f t="shared" si="8"/>
        <v>6.03</v>
      </c>
      <c r="BC13" s="520">
        <f t="shared" si="8"/>
        <v>4.4399999999999995</v>
      </c>
    </row>
    <row r="14" spans="1:55" s="234" customFormat="1" ht="12.75" customHeight="1" x14ac:dyDescent="0.2">
      <c r="A14" s="236">
        <v>2</v>
      </c>
      <c r="B14" s="237">
        <v>3470</v>
      </c>
      <c r="C14" s="237">
        <v>691003572</v>
      </c>
      <c r="D14" s="237">
        <v>72550341</v>
      </c>
      <c r="E14" s="238" t="s">
        <v>10</v>
      </c>
      <c r="F14" s="237">
        <v>3111</v>
      </c>
      <c r="G14" s="238" t="s">
        <v>311</v>
      </c>
      <c r="H14" s="273" t="s">
        <v>277</v>
      </c>
      <c r="I14" s="472">
        <v>5102487</v>
      </c>
      <c r="J14" s="472">
        <v>3704600</v>
      </c>
      <c r="K14" s="472">
        <v>30000</v>
      </c>
      <c r="L14" s="472">
        <v>1262295</v>
      </c>
      <c r="M14" s="472">
        <v>74092</v>
      </c>
      <c r="N14" s="472">
        <v>31500</v>
      </c>
      <c r="O14" s="473">
        <v>7.9842000000000004</v>
      </c>
      <c r="P14" s="474">
        <v>6</v>
      </c>
      <c r="Q14" s="483">
        <v>1.9841999999999997</v>
      </c>
      <c r="R14" s="485">
        <f t="shared" ref="R14:R15" si="9">Y14*-1</f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>SUM(R14:W14)</f>
        <v>0</v>
      </c>
      <c r="Y14" s="475">
        <v>0</v>
      </c>
      <c r="Z14" s="475">
        <v>0</v>
      </c>
      <c r="AA14" s="475">
        <v>0</v>
      </c>
      <c r="AB14" s="475">
        <f t="shared" ref="AB14:AB15" si="10">SUM(Y14:AA14)</f>
        <v>0</v>
      </c>
      <c r="AC14" s="475">
        <f t="shared" ref="AC14:AC15" si="11">X14+AB14</f>
        <v>0</v>
      </c>
      <c r="AD14" s="70">
        <f t="shared" ref="AD14:AD15" si="12">ROUND((X14+Y14+Z14)*33.8%,0)</f>
        <v>0</v>
      </c>
      <c r="AE14" s="70">
        <f t="shared" ref="AE14:AE15" si="13">ROUND(X14*2%,0)</f>
        <v>0</v>
      </c>
      <c r="AF14" s="475">
        <v>0</v>
      </c>
      <c r="AG14" s="475">
        <v>0</v>
      </c>
      <c r="AH14" s="475">
        <f t="shared" ref="AH14:AH15" si="14">SUM(AF14:AG14)</f>
        <v>0</v>
      </c>
      <c r="AI14" s="475">
        <f t="shared" ref="AI14:AI15" si="15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ref="AT14:AT15" si="16">SUM(AR14:AS14)</f>
        <v>0</v>
      </c>
      <c r="AU14" s="484">
        <f t="shared" ref="AU14:AU77" si="17">I14+AI14</f>
        <v>5102487</v>
      </c>
      <c r="AV14" s="475">
        <f t="shared" ref="AV14:AV77" si="18">J14+X14</f>
        <v>3704600</v>
      </c>
      <c r="AW14" s="475">
        <f>K14+AB14</f>
        <v>30000</v>
      </c>
      <c r="AX14" s="475">
        <f>L14+AD14</f>
        <v>1262295</v>
      </c>
      <c r="AY14" s="475">
        <f>M14+AE14</f>
        <v>74092</v>
      </c>
      <c r="AZ14" s="475">
        <f t="shared" ref="AZ14:AZ77" si="19">N14+AH14</f>
        <v>31500</v>
      </c>
      <c r="BA14" s="476">
        <f t="shared" ref="BA14:BA77" si="20">O14+AT14</f>
        <v>7.9842000000000004</v>
      </c>
      <c r="BB14" s="476">
        <f>P14+AR14</f>
        <v>6</v>
      </c>
      <c r="BC14" s="478">
        <f>Q14+AS14</f>
        <v>1.9841999999999997</v>
      </c>
    </row>
    <row r="15" spans="1:55" s="234" customFormat="1" ht="12.75" customHeight="1" x14ac:dyDescent="0.2">
      <c r="A15" s="236">
        <v>2</v>
      </c>
      <c r="B15" s="237">
        <v>3470</v>
      </c>
      <c r="C15" s="237">
        <v>691003572</v>
      </c>
      <c r="D15" s="237">
        <v>72550341</v>
      </c>
      <c r="E15" s="238" t="s">
        <v>10</v>
      </c>
      <c r="F15" s="237">
        <v>3141</v>
      </c>
      <c r="G15" s="238" t="s">
        <v>315</v>
      </c>
      <c r="H15" s="273" t="s">
        <v>278</v>
      </c>
      <c r="I15" s="472">
        <v>863507</v>
      </c>
      <c r="J15" s="472">
        <v>632877</v>
      </c>
      <c r="K15" s="472">
        <v>0</v>
      </c>
      <c r="L15" s="472">
        <v>213912</v>
      </c>
      <c r="M15" s="472">
        <v>12658</v>
      </c>
      <c r="N15" s="472">
        <v>4060</v>
      </c>
      <c r="O15" s="473">
        <v>1.99</v>
      </c>
      <c r="P15" s="474">
        <v>0</v>
      </c>
      <c r="Q15" s="483">
        <v>1.99</v>
      </c>
      <c r="R15" s="485">
        <f t="shared" si="9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0"/>
        <v>0</v>
      </c>
      <c r="AC15" s="475">
        <f t="shared" si="11"/>
        <v>0</v>
      </c>
      <c r="AD15" s="70">
        <f t="shared" si="12"/>
        <v>0</v>
      </c>
      <c r="AE15" s="70">
        <f t="shared" si="13"/>
        <v>0</v>
      </c>
      <c r="AF15" s="475">
        <v>0</v>
      </c>
      <c r="AG15" s="475">
        <v>0</v>
      </c>
      <c r="AH15" s="475">
        <f t="shared" si="14"/>
        <v>0</v>
      </c>
      <c r="AI15" s="475">
        <f t="shared" si="15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6"/>
        <v>0</v>
      </c>
      <c r="AU15" s="484">
        <f t="shared" si="17"/>
        <v>863507</v>
      </c>
      <c r="AV15" s="475">
        <f t="shared" si="18"/>
        <v>632877</v>
      </c>
      <c r="AW15" s="475">
        <f>K15+AB15</f>
        <v>0</v>
      </c>
      <c r="AX15" s="475">
        <f>L15+AD15</f>
        <v>213912</v>
      </c>
      <c r="AY15" s="475">
        <f>M15+AE15</f>
        <v>12658</v>
      </c>
      <c r="AZ15" s="475">
        <f t="shared" si="19"/>
        <v>4060</v>
      </c>
      <c r="BA15" s="476">
        <f t="shared" si="20"/>
        <v>1.99</v>
      </c>
      <c r="BB15" s="476">
        <f>P15+AR15</f>
        <v>0</v>
      </c>
      <c r="BC15" s="478">
        <f>Q15+AS15</f>
        <v>1.99</v>
      </c>
    </row>
    <row r="16" spans="1:55" s="234" customFormat="1" ht="12.75" customHeight="1" x14ac:dyDescent="0.2">
      <c r="A16" s="160">
        <v>2</v>
      </c>
      <c r="B16" s="14">
        <v>3470</v>
      </c>
      <c r="C16" s="159">
        <v>691003572</v>
      </c>
      <c r="D16" s="159">
        <v>72550341</v>
      </c>
      <c r="E16" s="235" t="s">
        <v>11</v>
      </c>
      <c r="F16" s="14"/>
      <c r="G16" s="235"/>
      <c r="H16" s="272"/>
      <c r="I16" s="479">
        <v>5965994</v>
      </c>
      <c r="J16" s="479">
        <v>4337477</v>
      </c>
      <c r="K16" s="479">
        <v>30000</v>
      </c>
      <c r="L16" s="479">
        <v>1476207</v>
      </c>
      <c r="M16" s="479">
        <v>86750</v>
      </c>
      <c r="N16" s="479">
        <v>35560</v>
      </c>
      <c r="O16" s="441">
        <v>9.9741999999999997</v>
      </c>
      <c r="P16" s="441">
        <v>6</v>
      </c>
      <c r="Q16" s="441">
        <v>3.9741999999999997</v>
      </c>
      <c r="R16" s="687">
        <f t="shared" ref="R16:BC16" si="21">SUM(R14:R15)</f>
        <v>0</v>
      </c>
      <c r="S16" s="685">
        <f t="shared" si="21"/>
        <v>0</v>
      </c>
      <c r="T16" s="685">
        <f t="shared" si="21"/>
        <v>0</v>
      </c>
      <c r="U16" s="685">
        <f t="shared" si="21"/>
        <v>0</v>
      </c>
      <c r="V16" s="685">
        <f t="shared" si="21"/>
        <v>0</v>
      </c>
      <c r="W16" s="685">
        <f t="shared" si="21"/>
        <v>0</v>
      </c>
      <c r="X16" s="685">
        <f t="shared" si="21"/>
        <v>0</v>
      </c>
      <c r="Y16" s="685">
        <f t="shared" si="21"/>
        <v>0</v>
      </c>
      <c r="Z16" s="685">
        <f t="shared" si="21"/>
        <v>0</v>
      </c>
      <c r="AA16" s="685">
        <f t="shared" si="21"/>
        <v>0</v>
      </c>
      <c r="AB16" s="685">
        <f t="shared" si="21"/>
        <v>0</v>
      </c>
      <c r="AC16" s="685">
        <f t="shared" si="21"/>
        <v>0</v>
      </c>
      <c r="AD16" s="685">
        <f t="shared" si="21"/>
        <v>0</v>
      </c>
      <c r="AE16" s="685">
        <f t="shared" si="21"/>
        <v>0</v>
      </c>
      <c r="AF16" s="685">
        <f t="shared" si="21"/>
        <v>0</v>
      </c>
      <c r="AG16" s="685">
        <f t="shared" si="21"/>
        <v>0</v>
      </c>
      <c r="AH16" s="685">
        <f t="shared" si="21"/>
        <v>0</v>
      </c>
      <c r="AI16" s="685">
        <f t="shared" si="21"/>
        <v>0</v>
      </c>
      <c r="AJ16" s="686">
        <f t="shared" si="21"/>
        <v>0</v>
      </c>
      <c r="AK16" s="686">
        <f t="shared" si="21"/>
        <v>0</v>
      </c>
      <c r="AL16" s="686">
        <f t="shared" si="21"/>
        <v>0</v>
      </c>
      <c r="AM16" s="686">
        <f t="shared" si="21"/>
        <v>0</v>
      </c>
      <c r="AN16" s="686">
        <f t="shared" si="21"/>
        <v>0</v>
      </c>
      <c r="AO16" s="686">
        <f t="shared" si="21"/>
        <v>0</v>
      </c>
      <c r="AP16" s="686">
        <f t="shared" si="21"/>
        <v>0</v>
      </c>
      <c r="AQ16" s="686">
        <f t="shared" si="21"/>
        <v>0</v>
      </c>
      <c r="AR16" s="686">
        <f t="shared" si="21"/>
        <v>0</v>
      </c>
      <c r="AS16" s="686">
        <f t="shared" si="21"/>
        <v>0</v>
      </c>
      <c r="AT16" s="688">
        <f t="shared" si="21"/>
        <v>0</v>
      </c>
      <c r="AU16" s="683">
        <f t="shared" si="21"/>
        <v>5965994</v>
      </c>
      <c r="AV16" s="479">
        <f t="shared" si="21"/>
        <v>4337477</v>
      </c>
      <c r="AW16" s="479">
        <f t="shared" si="21"/>
        <v>30000</v>
      </c>
      <c r="AX16" s="479">
        <f t="shared" si="21"/>
        <v>1476207</v>
      </c>
      <c r="AY16" s="479">
        <f t="shared" si="21"/>
        <v>86750</v>
      </c>
      <c r="AZ16" s="479">
        <f t="shared" si="21"/>
        <v>35560</v>
      </c>
      <c r="BA16" s="441">
        <f t="shared" si="21"/>
        <v>9.9741999999999997</v>
      </c>
      <c r="BB16" s="441">
        <f t="shared" si="21"/>
        <v>6</v>
      </c>
      <c r="BC16" s="520">
        <f t="shared" si="21"/>
        <v>3.9741999999999997</v>
      </c>
    </row>
    <row r="17" spans="1:55" s="234" customFormat="1" ht="12.75" customHeight="1" x14ac:dyDescent="0.2">
      <c r="A17" s="236">
        <v>3</v>
      </c>
      <c r="B17" s="237">
        <v>3469</v>
      </c>
      <c r="C17" s="237">
        <v>691003548</v>
      </c>
      <c r="D17" s="237">
        <v>72550384</v>
      </c>
      <c r="E17" s="238" t="s">
        <v>12</v>
      </c>
      <c r="F17" s="237">
        <v>3111</v>
      </c>
      <c r="G17" s="238" t="s">
        <v>311</v>
      </c>
      <c r="H17" s="273" t="s">
        <v>277</v>
      </c>
      <c r="I17" s="472">
        <v>6704547</v>
      </c>
      <c r="J17" s="472">
        <v>4877048</v>
      </c>
      <c r="K17" s="472">
        <v>32000</v>
      </c>
      <c r="L17" s="472">
        <v>1659258</v>
      </c>
      <c r="M17" s="472">
        <v>97541</v>
      </c>
      <c r="N17" s="472">
        <v>38700</v>
      </c>
      <c r="O17" s="473">
        <v>10.7082</v>
      </c>
      <c r="P17" s="474">
        <v>8</v>
      </c>
      <c r="Q17" s="483">
        <v>2.7081999999999997</v>
      </c>
      <c r="R17" s="485">
        <f t="shared" ref="R17:R18" si="22">Y17*-1</f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ref="AB17:AB18" si="23">SUM(Y17:AA17)</f>
        <v>0</v>
      </c>
      <c r="AC17" s="475">
        <f t="shared" ref="AC17:AC18" si="24">X17+AB17</f>
        <v>0</v>
      </c>
      <c r="AD17" s="70">
        <f t="shared" ref="AD17:AD18" si="25">ROUND((X17+Y17+Z17)*33.8%,0)</f>
        <v>0</v>
      </c>
      <c r="AE17" s="70">
        <f t="shared" ref="AE17:AE18" si="26">ROUND(X17*2%,0)</f>
        <v>0</v>
      </c>
      <c r="AF17" s="475">
        <v>0</v>
      </c>
      <c r="AG17" s="475">
        <v>0</v>
      </c>
      <c r="AH17" s="475">
        <f t="shared" ref="AH17:AH18" si="27">SUM(AF17:AG17)</f>
        <v>0</v>
      </c>
      <c r="AI17" s="475">
        <f t="shared" ref="AI17:AI18" si="28">AC17+AD17+AE17+AH17</f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ref="AT17:AT18" si="29">SUM(AR17:AS17)</f>
        <v>0</v>
      </c>
      <c r="AU17" s="484">
        <f t="shared" si="17"/>
        <v>6704547</v>
      </c>
      <c r="AV17" s="475">
        <f t="shared" si="18"/>
        <v>4877048</v>
      </c>
      <c r="AW17" s="475">
        <f t="shared" ref="AW17:AW18" si="30">K17+AB17</f>
        <v>32000</v>
      </c>
      <c r="AX17" s="475">
        <f>L17+AD17</f>
        <v>1659258</v>
      </c>
      <c r="AY17" s="475">
        <f>M17+AE17</f>
        <v>97541</v>
      </c>
      <c r="AZ17" s="475">
        <f t="shared" si="19"/>
        <v>38700</v>
      </c>
      <c r="BA17" s="476">
        <f>O17+AT17</f>
        <v>10.7082</v>
      </c>
      <c r="BB17" s="476">
        <f>P17+AR17</f>
        <v>8</v>
      </c>
      <c r="BC17" s="478">
        <f>Q17+AS17</f>
        <v>2.7081999999999997</v>
      </c>
    </row>
    <row r="18" spans="1:55" s="234" customFormat="1" ht="12.75" customHeight="1" x14ac:dyDescent="0.2">
      <c r="A18" s="236">
        <v>3</v>
      </c>
      <c r="B18" s="237">
        <v>3469</v>
      </c>
      <c r="C18" s="237">
        <v>691003548</v>
      </c>
      <c r="D18" s="237">
        <v>72550384</v>
      </c>
      <c r="E18" s="238" t="s">
        <v>12</v>
      </c>
      <c r="F18" s="237">
        <v>3141</v>
      </c>
      <c r="G18" s="238" t="s">
        <v>315</v>
      </c>
      <c r="H18" s="273" t="s">
        <v>278</v>
      </c>
      <c r="I18" s="472">
        <v>993693</v>
      </c>
      <c r="J18" s="472">
        <v>720966</v>
      </c>
      <c r="K18" s="472">
        <v>7200</v>
      </c>
      <c r="L18" s="472">
        <v>246120</v>
      </c>
      <c r="M18" s="472">
        <v>14419</v>
      </c>
      <c r="N18" s="472">
        <v>4988</v>
      </c>
      <c r="O18" s="473">
        <v>2.29</v>
      </c>
      <c r="P18" s="474">
        <v>0</v>
      </c>
      <c r="Q18" s="483">
        <v>2.29</v>
      </c>
      <c r="R18" s="485">
        <f t="shared" si="22"/>
        <v>0</v>
      </c>
      <c r="S18" s="475">
        <v>0</v>
      </c>
      <c r="T18" s="475">
        <v>-5874</v>
      </c>
      <c r="U18" s="475">
        <v>0</v>
      </c>
      <c r="V18" s="475">
        <v>0</v>
      </c>
      <c r="W18" s="475">
        <v>0</v>
      </c>
      <c r="X18" s="475">
        <f>SUM(R18:W18)</f>
        <v>-5874</v>
      </c>
      <c r="Y18" s="475">
        <v>0</v>
      </c>
      <c r="Z18" s="475">
        <v>0</v>
      </c>
      <c r="AA18" s="475">
        <v>0</v>
      </c>
      <c r="AB18" s="475">
        <f t="shared" si="23"/>
        <v>0</v>
      </c>
      <c r="AC18" s="475">
        <f t="shared" si="24"/>
        <v>-5874</v>
      </c>
      <c r="AD18" s="70">
        <f t="shared" si="25"/>
        <v>-1985</v>
      </c>
      <c r="AE18" s="70">
        <f t="shared" si="26"/>
        <v>-117</v>
      </c>
      <c r="AF18" s="475">
        <v>0</v>
      </c>
      <c r="AG18" s="475">
        <v>0</v>
      </c>
      <c r="AH18" s="475">
        <f t="shared" si="27"/>
        <v>0</v>
      </c>
      <c r="AI18" s="475">
        <f t="shared" si="28"/>
        <v>-7976</v>
      </c>
      <c r="AJ18" s="476">
        <v>0</v>
      </c>
      <c r="AK18" s="476">
        <v>0</v>
      </c>
      <c r="AL18" s="476">
        <v>0</v>
      </c>
      <c r="AM18" s="476">
        <v>0</v>
      </c>
      <c r="AN18" s="476">
        <v>-0.01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-0.01</v>
      </c>
      <c r="AT18" s="478">
        <f t="shared" si="29"/>
        <v>-0.01</v>
      </c>
      <c r="AU18" s="484">
        <f t="shared" si="17"/>
        <v>985717</v>
      </c>
      <c r="AV18" s="475">
        <f t="shared" si="18"/>
        <v>715092</v>
      </c>
      <c r="AW18" s="475">
        <f t="shared" si="30"/>
        <v>7200</v>
      </c>
      <c r="AX18" s="475">
        <f>L18+AD18</f>
        <v>244135</v>
      </c>
      <c r="AY18" s="475">
        <f>M18+AE18</f>
        <v>14302</v>
      </c>
      <c r="AZ18" s="475">
        <f t="shared" si="19"/>
        <v>4988</v>
      </c>
      <c r="BA18" s="476">
        <f t="shared" si="20"/>
        <v>2.2800000000000002</v>
      </c>
      <c r="BB18" s="476">
        <f>P18+AR18</f>
        <v>0</v>
      </c>
      <c r="BC18" s="478">
        <f>Q18+AS18</f>
        <v>2.2800000000000002</v>
      </c>
    </row>
    <row r="19" spans="1:55" s="234" customFormat="1" ht="12.75" customHeight="1" x14ac:dyDescent="0.2">
      <c r="A19" s="160">
        <v>3</v>
      </c>
      <c r="B19" s="14">
        <v>3469</v>
      </c>
      <c r="C19" s="159">
        <v>691003548</v>
      </c>
      <c r="D19" s="159">
        <v>72550384</v>
      </c>
      <c r="E19" s="235" t="s">
        <v>13</v>
      </c>
      <c r="F19" s="14"/>
      <c r="G19" s="235"/>
      <c r="H19" s="272"/>
      <c r="I19" s="479">
        <v>7698240</v>
      </c>
      <c r="J19" s="479">
        <v>5598014</v>
      </c>
      <c r="K19" s="479">
        <v>39200</v>
      </c>
      <c r="L19" s="479">
        <v>1905378</v>
      </c>
      <c r="M19" s="479">
        <v>111960</v>
      </c>
      <c r="N19" s="479">
        <v>43688</v>
      </c>
      <c r="O19" s="441">
        <v>12.998200000000001</v>
      </c>
      <c r="P19" s="441">
        <v>8</v>
      </c>
      <c r="Q19" s="441">
        <v>4.9981999999999998</v>
      </c>
      <c r="R19" s="687">
        <f t="shared" ref="R19:BC19" si="31">SUM(R17:R18)</f>
        <v>0</v>
      </c>
      <c r="S19" s="685">
        <f t="shared" si="31"/>
        <v>0</v>
      </c>
      <c r="T19" s="685">
        <f t="shared" si="31"/>
        <v>-5874</v>
      </c>
      <c r="U19" s="685">
        <f t="shared" si="31"/>
        <v>0</v>
      </c>
      <c r="V19" s="685">
        <f t="shared" si="31"/>
        <v>0</v>
      </c>
      <c r="W19" s="685">
        <f t="shared" si="31"/>
        <v>0</v>
      </c>
      <c r="X19" s="685">
        <f t="shared" si="31"/>
        <v>-5874</v>
      </c>
      <c r="Y19" s="685">
        <f t="shared" si="31"/>
        <v>0</v>
      </c>
      <c r="Z19" s="685">
        <f t="shared" si="31"/>
        <v>0</v>
      </c>
      <c r="AA19" s="685">
        <f t="shared" si="31"/>
        <v>0</v>
      </c>
      <c r="AB19" s="685">
        <f t="shared" si="31"/>
        <v>0</v>
      </c>
      <c r="AC19" s="685">
        <f t="shared" si="31"/>
        <v>-5874</v>
      </c>
      <c r="AD19" s="685">
        <f t="shared" si="31"/>
        <v>-1985</v>
      </c>
      <c r="AE19" s="685">
        <f t="shared" si="31"/>
        <v>-117</v>
      </c>
      <c r="AF19" s="685">
        <f t="shared" si="31"/>
        <v>0</v>
      </c>
      <c r="AG19" s="685">
        <f t="shared" si="31"/>
        <v>0</v>
      </c>
      <c r="AH19" s="685">
        <f t="shared" si="31"/>
        <v>0</v>
      </c>
      <c r="AI19" s="685">
        <f t="shared" si="31"/>
        <v>-7976</v>
      </c>
      <c r="AJ19" s="686">
        <f t="shared" si="31"/>
        <v>0</v>
      </c>
      <c r="AK19" s="686">
        <f t="shared" si="31"/>
        <v>0</v>
      </c>
      <c r="AL19" s="686">
        <f t="shared" si="31"/>
        <v>0</v>
      </c>
      <c r="AM19" s="686">
        <f t="shared" si="31"/>
        <v>0</v>
      </c>
      <c r="AN19" s="686">
        <f t="shared" si="31"/>
        <v>-0.01</v>
      </c>
      <c r="AO19" s="686">
        <f t="shared" si="31"/>
        <v>0</v>
      </c>
      <c r="AP19" s="686">
        <f t="shared" si="31"/>
        <v>0</v>
      </c>
      <c r="AQ19" s="686">
        <f t="shared" si="31"/>
        <v>0</v>
      </c>
      <c r="AR19" s="686">
        <f t="shared" si="31"/>
        <v>0</v>
      </c>
      <c r="AS19" s="686">
        <f t="shared" si="31"/>
        <v>-0.01</v>
      </c>
      <c r="AT19" s="688">
        <f t="shared" si="31"/>
        <v>-0.01</v>
      </c>
      <c r="AU19" s="683">
        <f t="shared" si="31"/>
        <v>7690264</v>
      </c>
      <c r="AV19" s="479">
        <f t="shared" si="31"/>
        <v>5592140</v>
      </c>
      <c r="AW19" s="479">
        <f t="shared" si="31"/>
        <v>39200</v>
      </c>
      <c r="AX19" s="479">
        <f t="shared" si="31"/>
        <v>1903393</v>
      </c>
      <c r="AY19" s="479">
        <f t="shared" si="31"/>
        <v>111843</v>
      </c>
      <c r="AZ19" s="479">
        <f t="shared" si="31"/>
        <v>43688</v>
      </c>
      <c r="BA19" s="441">
        <f t="shared" si="31"/>
        <v>12.988199999999999</v>
      </c>
      <c r="BB19" s="441">
        <f t="shared" si="31"/>
        <v>8</v>
      </c>
      <c r="BC19" s="520">
        <f t="shared" si="31"/>
        <v>4.9882</v>
      </c>
    </row>
    <row r="20" spans="1:55" s="234" customFormat="1" ht="12.75" customHeight="1" x14ac:dyDescent="0.2">
      <c r="A20" s="236">
        <v>4</v>
      </c>
      <c r="B20" s="237">
        <v>3462</v>
      </c>
      <c r="C20" s="237">
        <v>691001294</v>
      </c>
      <c r="D20" s="237">
        <v>72048115</v>
      </c>
      <c r="E20" s="238" t="s">
        <v>14</v>
      </c>
      <c r="F20" s="237">
        <v>3111</v>
      </c>
      <c r="G20" s="238" t="s">
        <v>311</v>
      </c>
      <c r="H20" s="273" t="s">
        <v>277</v>
      </c>
      <c r="I20" s="472">
        <v>5050540</v>
      </c>
      <c r="J20" s="472">
        <v>3591475</v>
      </c>
      <c r="K20" s="472">
        <v>107000</v>
      </c>
      <c r="L20" s="472">
        <v>1250085</v>
      </c>
      <c r="M20" s="472">
        <v>71830</v>
      </c>
      <c r="N20" s="472">
        <v>30150</v>
      </c>
      <c r="O20" s="473">
        <v>7.9042000000000003</v>
      </c>
      <c r="P20" s="474">
        <v>6</v>
      </c>
      <c r="Q20" s="483">
        <v>1.9041999999999999</v>
      </c>
      <c r="R20" s="485">
        <f t="shared" ref="R20:R22" si="32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ref="AB20:AB22" si="33">SUM(Y20:AA20)</f>
        <v>0</v>
      </c>
      <c r="AC20" s="475">
        <f t="shared" ref="AC20:AC22" si="34">X20+AB20</f>
        <v>0</v>
      </c>
      <c r="AD20" s="70">
        <f t="shared" ref="AD20:AD22" si="35">ROUND((X20+Y20+Z20)*33.8%,0)</f>
        <v>0</v>
      </c>
      <c r="AE20" s="70">
        <f t="shared" ref="AE20:AE22" si="36">ROUND(X20*2%,0)</f>
        <v>0</v>
      </c>
      <c r="AF20" s="475">
        <v>0</v>
      </c>
      <c r="AG20" s="475">
        <v>0</v>
      </c>
      <c r="AH20" s="475">
        <f t="shared" ref="AH20:AH22" si="37">SUM(AF20:AG20)</f>
        <v>0</v>
      </c>
      <c r="AI20" s="475">
        <f t="shared" ref="AI20:AI22" si="38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ref="AT20:AT22" si="39">SUM(AR20:AS20)</f>
        <v>0</v>
      </c>
      <c r="AU20" s="484">
        <f t="shared" si="17"/>
        <v>5050540</v>
      </c>
      <c r="AV20" s="475">
        <f t="shared" si="18"/>
        <v>3591475</v>
      </c>
      <c r="AW20" s="475">
        <f t="shared" ref="AW20:AW22" si="40">K20+AB20</f>
        <v>107000</v>
      </c>
      <c r="AX20" s="475">
        <f t="shared" ref="AX20:AY22" si="41">L20+AD20</f>
        <v>1250085</v>
      </c>
      <c r="AY20" s="475">
        <f t="shared" si="41"/>
        <v>71830</v>
      </c>
      <c r="AZ20" s="475">
        <f t="shared" si="19"/>
        <v>30150</v>
      </c>
      <c r="BA20" s="476">
        <f t="shared" si="20"/>
        <v>7.9042000000000003</v>
      </c>
      <c r="BB20" s="476">
        <f t="shared" ref="BB20:BC22" si="42">P20+AR20</f>
        <v>6</v>
      </c>
      <c r="BC20" s="478">
        <f t="shared" si="42"/>
        <v>1.9041999999999999</v>
      </c>
    </row>
    <row r="21" spans="1:55" s="234" customFormat="1" ht="12.75" customHeight="1" x14ac:dyDescent="0.2">
      <c r="A21" s="236">
        <v>4</v>
      </c>
      <c r="B21" s="237">
        <v>3462</v>
      </c>
      <c r="C21" s="237">
        <v>691001294</v>
      </c>
      <c r="D21" s="237">
        <v>72048115</v>
      </c>
      <c r="E21" s="238" t="s">
        <v>14</v>
      </c>
      <c r="F21" s="237">
        <v>3111</v>
      </c>
      <c r="G21" s="238" t="s">
        <v>312</v>
      </c>
      <c r="H21" s="273" t="s">
        <v>278</v>
      </c>
      <c r="I21" s="472">
        <v>0</v>
      </c>
      <c r="J21" s="472">
        <v>0</v>
      </c>
      <c r="K21" s="472">
        <v>0</v>
      </c>
      <c r="L21" s="472">
        <v>0</v>
      </c>
      <c r="M21" s="472">
        <v>0</v>
      </c>
      <c r="N21" s="472">
        <v>0</v>
      </c>
      <c r="O21" s="473">
        <v>0</v>
      </c>
      <c r="P21" s="474">
        <v>0</v>
      </c>
      <c r="Q21" s="483">
        <v>0</v>
      </c>
      <c r="R21" s="485">
        <f t="shared" si="32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33"/>
        <v>0</v>
      </c>
      <c r="AC21" s="475">
        <f t="shared" si="34"/>
        <v>0</v>
      </c>
      <c r="AD21" s="70">
        <f t="shared" si="35"/>
        <v>0</v>
      </c>
      <c r="AE21" s="70">
        <f t="shared" si="36"/>
        <v>0</v>
      </c>
      <c r="AF21" s="475">
        <v>0</v>
      </c>
      <c r="AG21" s="475">
        <v>0</v>
      </c>
      <c r="AH21" s="475">
        <f t="shared" si="37"/>
        <v>0</v>
      </c>
      <c r="AI21" s="475">
        <f t="shared" si="38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9"/>
        <v>0</v>
      </c>
      <c r="AU21" s="484">
        <f t="shared" si="17"/>
        <v>0</v>
      </c>
      <c r="AV21" s="475">
        <f t="shared" si="18"/>
        <v>0</v>
      </c>
      <c r="AW21" s="475">
        <f t="shared" si="40"/>
        <v>0</v>
      </c>
      <c r="AX21" s="475">
        <f t="shared" si="41"/>
        <v>0</v>
      </c>
      <c r="AY21" s="475">
        <f t="shared" si="41"/>
        <v>0</v>
      </c>
      <c r="AZ21" s="475">
        <f t="shared" si="19"/>
        <v>0</v>
      </c>
      <c r="BA21" s="476">
        <f t="shared" si="20"/>
        <v>0</v>
      </c>
      <c r="BB21" s="476">
        <f t="shared" si="42"/>
        <v>0</v>
      </c>
      <c r="BC21" s="478">
        <f t="shared" si="42"/>
        <v>0</v>
      </c>
    </row>
    <row r="22" spans="1:55" s="234" customFormat="1" ht="12.75" customHeight="1" x14ac:dyDescent="0.2">
      <c r="A22" s="236">
        <v>4</v>
      </c>
      <c r="B22" s="237">
        <v>3462</v>
      </c>
      <c r="C22" s="237">
        <v>691001294</v>
      </c>
      <c r="D22" s="237">
        <v>72048115</v>
      </c>
      <c r="E22" s="238" t="s">
        <v>14</v>
      </c>
      <c r="F22" s="237">
        <v>3141</v>
      </c>
      <c r="G22" s="238" t="s">
        <v>315</v>
      </c>
      <c r="H22" s="273" t="s">
        <v>278</v>
      </c>
      <c r="I22" s="472">
        <v>838352</v>
      </c>
      <c r="J22" s="472">
        <v>614481</v>
      </c>
      <c r="K22" s="472">
        <v>0</v>
      </c>
      <c r="L22" s="472">
        <v>207695</v>
      </c>
      <c r="M22" s="472">
        <v>12290</v>
      </c>
      <c r="N22" s="472">
        <v>3886</v>
      </c>
      <c r="O22" s="473">
        <v>1.94</v>
      </c>
      <c r="P22" s="474">
        <v>0</v>
      </c>
      <c r="Q22" s="483">
        <v>1.94</v>
      </c>
      <c r="R22" s="485">
        <f t="shared" si="32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33"/>
        <v>0</v>
      </c>
      <c r="AC22" s="475">
        <f t="shared" si="34"/>
        <v>0</v>
      </c>
      <c r="AD22" s="70">
        <f t="shared" si="35"/>
        <v>0</v>
      </c>
      <c r="AE22" s="70">
        <f t="shared" si="36"/>
        <v>0</v>
      </c>
      <c r="AF22" s="475">
        <v>0</v>
      </c>
      <c r="AG22" s="475">
        <v>0</v>
      </c>
      <c r="AH22" s="475">
        <f t="shared" si="37"/>
        <v>0</v>
      </c>
      <c r="AI22" s="475">
        <f t="shared" si="38"/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39"/>
        <v>0</v>
      </c>
      <c r="AU22" s="484">
        <f t="shared" si="17"/>
        <v>838352</v>
      </c>
      <c r="AV22" s="475">
        <f t="shared" si="18"/>
        <v>614481</v>
      </c>
      <c r="AW22" s="475">
        <f t="shared" si="40"/>
        <v>0</v>
      </c>
      <c r="AX22" s="475">
        <f t="shared" si="41"/>
        <v>207695</v>
      </c>
      <c r="AY22" s="475">
        <f t="shared" si="41"/>
        <v>12290</v>
      </c>
      <c r="AZ22" s="475">
        <f t="shared" si="19"/>
        <v>3886</v>
      </c>
      <c r="BA22" s="476">
        <f t="shared" si="20"/>
        <v>1.94</v>
      </c>
      <c r="BB22" s="476">
        <f t="shared" si="42"/>
        <v>0</v>
      </c>
      <c r="BC22" s="478">
        <f t="shared" si="42"/>
        <v>1.94</v>
      </c>
    </row>
    <row r="23" spans="1:55" s="234" customFormat="1" ht="12.75" customHeight="1" x14ac:dyDescent="0.2">
      <c r="A23" s="160">
        <v>4</v>
      </c>
      <c r="B23" s="14">
        <v>3462</v>
      </c>
      <c r="C23" s="159">
        <v>691001294</v>
      </c>
      <c r="D23" s="159">
        <v>72048115</v>
      </c>
      <c r="E23" s="235" t="s">
        <v>15</v>
      </c>
      <c r="F23" s="14"/>
      <c r="G23" s="235"/>
      <c r="H23" s="272"/>
      <c r="I23" s="479">
        <v>5888892</v>
      </c>
      <c r="J23" s="479">
        <v>4205956</v>
      </c>
      <c r="K23" s="479">
        <v>107000</v>
      </c>
      <c r="L23" s="479">
        <v>1457780</v>
      </c>
      <c r="M23" s="479">
        <v>84120</v>
      </c>
      <c r="N23" s="479">
        <v>34036</v>
      </c>
      <c r="O23" s="441">
        <v>9.8442000000000007</v>
      </c>
      <c r="P23" s="441">
        <v>6</v>
      </c>
      <c r="Q23" s="441">
        <v>3.8441999999999998</v>
      </c>
      <c r="R23" s="687">
        <f t="shared" ref="R23:BC23" si="43">SUM(R20:R22)</f>
        <v>0</v>
      </c>
      <c r="S23" s="685">
        <f t="shared" si="43"/>
        <v>0</v>
      </c>
      <c r="T23" s="685">
        <f t="shared" si="43"/>
        <v>0</v>
      </c>
      <c r="U23" s="685">
        <f t="shared" si="43"/>
        <v>0</v>
      </c>
      <c r="V23" s="685">
        <f t="shared" si="43"/>
        <v>0</v>
      </c>
      <c r="W23" s="685">
        <f t="shared" si="43"/>
        <v>0</v>
      </c>
      <c r="X23" s="685">
        <f t="shared" si="43"/>
        <v>0</v>
      </c>
      <c r="Y23" s="685">
        <f t="shared" si="43"/>
        <v>0</v>
      </c>
      <c r="Z23" s="685">
        <f t="shared" si="43"/>
        <v>0</v>
      </c>
      <c r="AA23" s="685">
        <f t="shared" si="43"/>
        <v>0</v>
      </c>
      <c r="AB23" s="685">
        <f t="shared" si="43"/>
        <v>0</v>
      </c>
      <c r="AC23" s="685">
        <f t="shared" si="43"/>
        <v>0</v>
      </c>
      <c r="AD23" s="685">
        <f t="shared" si="43"/>
        <v>0</v>
      </c>
      <c r="AE23" s="685">
        <f t="shared" si="43"/>
        <v>0</v>
      </c>
      <c r="AF23" s="685">
        <f t="shared" si="43"/>
        <v>0</v>
      </c>
      <c r="AG23" s="685">
        <f t="shared" si="43"/>
        <v>0</v>
      </c>
      <c r="AH23" s="685">
        <f t="shared" si="43"/>
        <v>0</v>
      </c>
      <c r="AI23" s="685">
        <f t="shared" si="43"/>
        <v>0</v>
      </c>
      <c r="AJ23" s="686">
        <f t="shared" si="43"/>
        <v>0</v>
      </c>
      <c r="AK23" s="686">
        <f t="shared" si="43"/>
        <v>0</v>
      </c>
      <c r="AL23" s="686">
        <f t="shared" si="43"/>
        <v>0</v>
      </c>
      <c r="AM23" s="686">
        <f t="shared" si="43"/>
        <v>0</v>
      </c>
      <c r="AN23" s="686">
        <f t="shared" si="43"/>
        <v>0</v>
      </c>
      <c r="AO23" s="686">
        <f t="shared" si="43"/>
        <v>0</v>
      </c>
      <c r="AP23" s="686">
        <f t="shared" si="43"/>
        <v>0</v>
      </c>
      <c r="AQ23" s="686">
        <f t="shared" si="43"/>
        <v>0</v>
      </c>
      <c r="AR23" s="686">
        <f t="shared" si="43"/>
        <v>0</v>
      </c>
      <c r="AS23" s="686">
        <f t="shared" si="43"/>
        <v>0</v>
      </c>
      <c r="AT23" s="688">
        <f t="shared" si="43"/>
        <v>0</v>
      </c>
      <c r="AU23" s="683">
        <f t="shared" si="43"/>
        <v>5888892</v>
      </c>
      <c r="AV23" s="479">
        <f t="shared" si="43"/>
        <v>4205956</v>
      </c>
      <c r="AW23" s="479">
        <f t="shared" si="43"/>
        <v>107000</v>
      </c>
      <c r="AX23" s="479">
        <f t="shared" si="43"/>
        <v>1457780</v>
      </c>
      <c r="AY23" s="479">
        <f t="shared" si="43"/>
        <v>84120</v>
      </c>
      <c r="AZ23" s="479">
        <f t="shared" si="43"/>
        <v>34036</v>
      </c>
      <c r="BA23" s="441">
        <f t="shared" si="43"/>
        <v>9.8442000000000007</v>
      </c>
      <c r="BB23" s="441">
        <f t="shared" si="43"/>
        <v>6</v>
      </c>
      <c r="BC23" s="520">
        <f t="shared" si="43"/>
        <v>3.8441999999999998</v>
      </c>
    </row>
    <row r="24" spans="1:55" s="234" customFormat="1" ht="12.75" customHeight="1" x14ac:dyDescent="0.2">
      <c r="A24" s="236">
        <v>5</v>
      </c>
      <c r="B24" s="237">
        <v>3464</v>
      </c>
      <c r="C24" s="237">
        <v>691001316</v>
      </c>
      <c r="D24" s="237">
        <v>72048140</v>
      </c>
      <c r="E24" s="238" t="s">
        <v>16</v>
      </c>
      <c r="F24" s="237">
        <v>3111</v>
      </c>
      <c r="G24" s="238" t="s">
        <v>311</v>
      </c>
      <c r="H24" s="273" t="s">
        <v>277</v>
      </c>
      <c r="I24" s="472">
        <v>6654155</v>
      </c>
      <c r="J24" s="472">
        <v>4843756</v>
      </c>
      <c r="K24" s="472">
        <v>28800</v>
      </c>
      <c r="L24" s="472">
        <v>1646924</v>
      </c>
      <c r="M24" s="472">
        <v>96875</v>
      </c>
      <c r="N24" s="472">
        <v>37800</v>
      </c>
      <c r="O24" s="473">
        <v>10.728199999999999</v>
      </c>
      <c r="P24" s="474">
        <v>8</v>
      </c>
      <c r="Q24" s="483">
        <v>2.7282000000000002</v>
      </c>
      <c r="R24" s="485">
        <f t="shared" ref="R24:R25" si="44">Y24*-1</f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ref="AB24:AB25" si="45">SUM(Y24:AA24)</f>
        <v>0</v>
      </c>
      <c r="AC24" s="475">
        <f t="shared" ref="AC24:AC25" si="46">X24+AB24</f>
        <v>0</v>
      </c>
      <c r="AD24" s="70">
        <f t="shared" ref="AD24:AD25" si="47">ROUND((X24+Y24+Z24)*33.8%,0)</f>
        <v>0</v>
      </c>
      <c r="AE24" s="70">
        <f t="shared" ref="AE24:AE25" si="48">ROUND(X24*2%,0)</f>
        <v>0</v>
      </c>
      <c r="AF24" s="475">
        <v>0</v>
      </c>
      <c r="AG24" s="475">
        <v>0</v>
      </c>
      <c r="AH24" s="475">
        <f t="shared" ref="AH24:AH25" si="49">SUM(AF24:AG24)</f>
        <v>0</v>
      </c>
      <c r="AI24" s="475">
        <f t="shared" ref="AI24:AI25" si="50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:AT25" si="51">SUM(AR24:AS24)</f>
        <v>0</v>
      </c>
      <c r="AU24" s="484">
        <f t="shared" si="17"/>
        <v>6654155</v>
      </c>
      <c r="AV24" s="475">
        <f t="shared" si="18"/>
        <v>4843756</v>
      </c>
      <c r="AW24" s="475">
        <f t="shared" ref="AW24:AW25" si="52">K24+AB24</f>
        <v>28800</v>
      </c>
      <c r="AX24" s="475">
        <f>L24+AD24</f>
        <v>1646924</v>
      </c>
      <c r="AY24" s="475">
        <f>M24+AE24</f>
        <v>96875</v>
      </c>
      <c r="AZ24" s="475">
        <f t="shared" si="19"/>
        <v>37800</v>
      </c>
      <c r="BA24" s="476">
        <f t="shared" si="20"/>
        <v>10.728199999999999</v>
      </c>
      <c r="BB24" s="476">
        <f>P24+AR24</f>
        <v>8</v>
      </c>
      <c r="BC24" s="478">
        <f>Q24+AS24</f>
        <v>2.7282000000000002</v>
      </c>
    </row>
    <row r="25" spans="1:55" s="234" customFormat="1" ht="12.75" customHeight="1" x14ac:dyDescent="0.2">
      <c r="A25" s="236">
        <v>5</v>
      </c>
      <c r="B25" s="237">
        <v>3464</v>
      </c>
      <c r="C25" s="237">
        <v>691001316</v>
      </c>
      <c r="D25" s="237">
        <v>72048140</v>
      </c>
      <c r="E25" s="238" t="s">
        <v>16</v>
      </c>
      <c r="F25" s="237">
        <v>3141</v>
      </c>
      <c r="G25" s="238" t="s">
        <v>315</v>
      </c>
      <c r="H25" s="273" t="s">
        <v>278</v>
      </c>
      <c r="I25" s="472">
        <v>985813</v>
      </c>
      <c r="J25" s="472">
        <v>722300</v>
      </c>
      <c r="K25" s="472">
        <v>0</v>
      </c>
      <c r="L25" s="472">
        <v>244137</v>
      </c>
      <c r="M25" s="472">
        <v>14446</v>
      </c>
      <c r="N25" s="472">
        <v>4930</v>
      </c>
      <c r="O25" s="473">
        <v>2.27</v>
      </c>
      <c r="P25" s="474">
        <v>0</v>
      </c>
      <c r="Q25" s="483">
        <v>2.27</v>
      </c>
      <c r="R25" s="485">
        <f t="shared" si="44"/>
        <v>0</v>
      </c>
      <c r="S25" s="475">
        <v>0</v>
      </c>
      <c r="T25" s="475">
        <v>5859</v>
      </c>
      <c r="U25" s="475">
        <v>0</v>
      </c>
      <c r="V25" s="475">
        <v>0</v>
      </c>
      <c r="W25" s="475">
        <v>0</v>
      </c>
      <c r="X25" s="475">
        <f>SUM(R25:W25)</f>
        <v>5859</v>
      </c>
      <c r="Y25" s="475">
        <v>0</v>
      </c>
      <c r="Z25" s="475">
        <v>0</v>
      </c>
      <c r="AA25" s="475">
        <v>0</v>
      </c>
      <c r="AB25" s="475">
        <f t="shared" si="45"/>
        <v>0</v>
      </c>
      <c r="AC25" s="475">
        <f t="shared" si="46"/>
        <v>5859</v>
      </c>
      <c r="AD25" s="70">
        <f t="shared" si="47"/>
        <v>1980</v>
      </c>
      <c r="AE25" s="70">
        <f t="shared" si="48"/>
        <v>117</v>
      </c>
      <c r="AF25" s="475">
        <v>0</v>
      </c>
      <c r="AG25" s="475">
        <v>0</v>
      </c>
      <c r="AH25" s="475">
        <f t="shared" si="49"/>
        <v>0</v>
      </c>
      <c r="AI25" s="475">
        <f t="shared" si="50"/>
        <v>7956</v>
      </c>
      <c r="AJ25" s="476">
        <v>0</v>
      </c>
      <c r="AK25" s="476">
        <v>0</v>
      </c>
      <c r="AL25" s="476">
        <v>0</v>
      </c>
      <c r="AM25" s="476">
        <v>0</v>
      </c>
      <c r="AN25" s="476">
        <v>0.02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0.02</v>
      </c>
      <c r="AT25" s="478">
        <f t="shared" si="51"/>
        <v>0.02</v>
      </c>
      <c r="AU25" s="484">
        <f t="shared" si="17"/>
        <v>993769</v>
      </c>
      <c r="AV25" s="475">
        <f t="shared" si="18"/>
        <v>728159</v>
      </c>
      <c r="AW25" s="475">
        <f t="shared" si="52"/>
        <v>0</v>
      </c>
      <c r="AX25" s="475">
        <f>L25+AD25</f>
        <v>246117</v>
      </c>
      <c r="AY25" s="475">
        <f>M25+AE25</f>
        <v>14563</v>
      </c>
      <c r="AZ25" s="475">
        <f t="shared" si="19"/>
        <v>4930</v>
      </c>
      <c r="BA25" s="476">
        <f t="shared" si="20"/>
        <v>2.29</v>
      </c>
      <c r="BB25" s="476">
        <f>P25+AR25</f>
        <v>0</v>
      </c>
      <c r="BC25" s="478">
        <f>Q25+AS25</f>
        <v>2.29</v>
      </c>
    </row>
    <row r="26" spans="1:55" s="234" customFormat="1" ht="12.75" customHeight="1" x14ac:dyDescent="0.2">
      <c r="A26" s="160">
        <v>5</v>
      </c>
      <c r="B26" s="14">
        <v>3464</v>
      </c>
      <c r="C26" s="159">
        <v>691001316</v>
      </c>
      <c r="D26" s="159">
        <v>72048140</v>
      </c>
      <c r="E26" s="235" t="s">
        <v>17</v>
      </c>
      <c r="F26" s="14"/>
      <c r="G26" s="235"/>
      <c r="H26" s="272"/>
      <c r="I26" s="479">
        <v>7639968</v>
      </c>
      <c r="J26" s="479">
        <v>5566056</v>
      </c>
      <c r="K26" s="479">
        <v>28800</v>
      </c>
      <c r="L26" s="479">
        <v>1891061</v>
      </c>
      <c r="M26" s="479">
        <v>111321</v>
      </c>
      <c r="N26" s="479">
        <v>42730</v>
      </c>
      <c r="O26" s="441">
        <v>12.998199999999999</v>
      </c>
      <c r="P26" s="441">
        <v>8</v>
      </c>
      <c r="Q26" s="441">
        <v>4.9982000000000006</v>
      </c>
      <c r="R26" s="687">
        <f t="shared" ref="R26:BC26" si="53">SUM(R24:R25)</f>
        <v>0</v>
      </c>
      <c r="S26" s="685">
        <f t="shared" si="53"/>
        <v>0</v>
      </c>
      <c r="T26" s="685">
        <f t="shared" si="53"/>
        <v>5859</v>
      </c>
      <c r="U26" s="685">
        <f t="shared" si="53"/>
        <v>0</v>
      </c>
      <c r="V26" s="685">
        <f t="shared" si="53"/>
        <v>0</v>
      </c>
      <c r="W26" s="685">
        <f t="shared" si="53"/>
        <v>0</v>
      </c>
      <c r="X26" s="685">
        <f t="shared" si="53"/>
        <v>5859</v>
      </c>
      <c r="Y26" s="685">
        <f t="shared" si="53"/>
        <v>0</v>
      </c>
      <c r="Z26" s="685">
        <f t="shared" si="53"/>
        <v>0</v>
      </c>
      <c r="AA26" s="685">
        <f t="shared" si="53"/>
        <v>0</v>
      </c>
      <c r="AB26" s="685">
        <f t="shared" si="53"/>
        <v>0</v>
      </c>
      <c r="AC26" s="685">
        <f t="shared" si="53"/>
        <v>5859</v>
      </c>
      <c r="AD26" s="685">
        <f t="shared" si="53"/>
        <v>1980</v>
      </c>
      <c r="AE26" s="685">
        <f t="shared" si="53"/>
        <v>117</v>
      </c>
      <c r="AF26" s="685">
        <f t="shared" si="53"/>
        <v>0</v>
      </c>
      <c r="AG26" s="685">
        <f t="shared" si="53"/>
        <v>0</v>
      </c>
      <c r="AH26" s="685">
        <f t="shared" si="53"/>
        <v>0</v>
      </c>
      <c r="AI26" s="685">
        <f t="shared" si="53"/>
        <v>7956</v>
      </c>
      <c r="AJ26" s="686">
        <f t="shared" si="53"/>
        <v>0</v>
      </c>
      <c r="AK26" s="686">
        <f t="shared" si="53"/>
        <v>0</v>
      </c>
      <c r="AL26" s="686">
        <f t="shared" si="53"/>
        <v>0</v>
      </c>
      <c r="AM26" s="686">
        <f t="shared" si="53"/>
        <v>0</v>
      </c>
      <c r="AN26" s="686">
        <f t="shared" si="53"/>
        <v>0.02</v>
      </c>
      <c r="AO26" s="686">
        <f t="shared" si="53"/>
        <v>0</v>
      </c>
      <c r="AP26" s="686">
        <f t="shared" si="53"/>
        <v>0</v>
      </c>
      <c r="AQ26" s="686">
        <f t="shared" si="53"/>
        <v>0</v>
      </c>
      <c r="AR26" s="686">
        <f t="shared" si="53"/>
        <v>0</v>
      </c>
      <c r="AS26" s="686">
        <f t="shared" si="53"/>
        <v>0.02</v>
      </c>
      <c r="AT26" s="688">
        <f t="shared" si="53"/>
        <v>0.02</v>
      </c>
      <c r="AU26" s="683">
        <f t="shared" si="53"/>
        <v>7647924</v>
      </c>
      <c r="AV26" s="479">
        <f t="shared" si="53"/>
        <v>5571915</v>
      </c>
      <c r="AW26" s="479">
        <f t="shared" si="53"/>
        <v>28800</v>
      </c>
      <c r="AX26" s="479">
        <f t="shared" si="53"/>
        <v>1893041</v>
      </c>
      <c r="AY26" s="479">
        <f t="shared" si="53"/>
        <v>111438</v>
      </c>
      <c r="AZ26" s="479">
        <f t="shared" si="53"/>
        <v>42730</v>
      </c>
      <c r="BA26" s="441">
        <f t="shared" si="53"/>
        <v>13.0182</v>
      </c>
      <c r="BB26" s="441">
        <f t="shared" si="53"/>
        <v>8</v>
      </c>
      <c r="BC26" s="520">
        <f t="shared" si="53"/>
        <v>5.0182000000000002</v>
      </c>
    </row>
    <row r="27" spans="1:55" s="234" customFormat="1" ht="12.75" customHeight="1" x14ac:dyDescent="0.2">
      <c r="A27" s="236">
        <v>6</v>
      </c>
      <c r="B27" s="237">
        <v>3453</v>
      </c>
      <c r="C27" s="237">
        <v>667101411</v>
      </c>
      <c r="D27" s="237">
        <v>75109522</v>
      </c>
      <c r="E27" s="238" t="s">
        <v>18</v>
      </c>
      <c r="F27" s="237">
        <v>3111</v>
      </c>
      <c r="G27" s="238" t="s">
        <v>311</v>
      </c>
      <c r="H27" s="273" t="s">
        <v>277</v>
      </c>
      <c r="I27" s="472">
        <v>6585170</v>
      </c>
      <c r="J27" s="472">
        <v>4789124</v>
      </c>
      <c r="K27" s="472">
        <v>30000</v>
      </c>
      <c r="L27" s="472">
        <v>1628864</v>
      </c>
      <c r="M27" s="472">
        <v>95782</v>
      </c>
      <c r="N27" s="472">
        <v>41400</v>
      </c>
      <c r="O27" s="473">
        <v>10.6182</v>
      </c>
      <c r="P27" s="474">
        <v>7.5</v>
      </c>
      <c r="Q27" s="483">
        <v>3.1182000000000003</v>
      </c>
      <c r="R27" s="485">
        <f t="shared" ref="R27:R28" si="54">Y27*-1</f>
        <v>0</v>
      </c>
      <c r="S27" s="475">
        <v>0</v>
      </c>
      <c r="T27" s="475">
        <v>0</v>
      </c>
      <c r="U27" s="475">
        <v>0</v>
      </c>
      <c r="V27" s="475">
        <v>-18409</v>
      </c>
      <c r="W27" s="475">
        <v>0</v>
      </c>
      <c r="X27" s="475">
        <f>SUM(R27:W27)</f>
        <v>-18409</v>
      </c>
      <c r="Y27" s="475">
        <v>0</v>
      </c>
      <c r="Z27" s="475">
        <v>0</v>
      </c>
      <c r="AA27" s="475">
        <v>0</v>
      </c>
      <c r="AB27" s="475">
        <f t="shared" ref="AB27:AB28" si="55">SUM(Y27:AA27)</f>
        <v>0</v>
      </c>
      <c r="AC27" s="475">
        <f t="shared" ref="AC27:AC28" si="56">X27+AB27</f>
        <v>-18409</v>
      </c>
      <c r="AD27" s="70">
        <f t="shared" ref="AD27:AD28" si="57">ROUND((X27+Y27+Z27)*33.8%,0)</f>
        <v>-6222</v>
      </c>
      <c r="AE27" s="70">
        <f t="shared" ref="AE27:AE28" si="58">ROUND(X27*2%,0)</f>
        <v>-368</v>
      </c>
      <c r="AF27" s="475">
        <v>0</v>
      </c>
      <c r="AG27" s="475">
        <v>24999</v>
      </c>
      <c r="AH27" s="475">
        <f t="shared" ref="AH27:AH28" si="59">SUM(AF27:AG27)</f>
        <v>24999</v>
      </c>
      <c r="AI27" s="475">
        <f t="shared" ref="AI27:AI28" si="60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ref="AT27:AT28" si="61">SUM(AR27:AS27)</f>
        <v>0</v>
      </c>
      <c r="AU27" s="484">
        <f t="shared" si="17"/>
        <v>6585170</v>
      </c>
      <c r="AV27" s="475">
        <f t="shared" si="18"/>
        <v>4770715</v>
      </c>
      <c r="AW27" s="475">
        <f t="shared" ref="AW27:AW28" si="62">K27+AB27</f>
        <v>30000</v>
      </c>
      <c r="AX27" s="475">
        <f>L27+AD27</f>
        <v>1622642</v>
      </c>
      <c r="AY27" s="475">
        <f>M27+AE27</f>
        <v>95414</v>
      </c>
      <c r="AZ27" s="475">
        <f t="shared" si="19"/>
        <v>66399</v>
      </c>
      <c r="BA27" s="476">
        <f t="shared" si="20"/>
        <v>10.6182</v>
      </c>
      <c r="BB27" s="476">
        <f>P27+AR27</f>
        <v>7.5</v>
      </c>
      <c r="BC27" s="478">
        <f>Q27+AS27</f>
        <v>3.1182000000000003</v>
      </c>
    </row>
    <row r="28" spans="1:55" s="234" customFormat="1" ht="12.75" customHeight="1" x14ac:dyDescent="0.2">
      <c r="A28" s="236">
        <v>6</v>
      </c>
      <c r="B28" s="237">
        <v>3453</v>
      </c>
      <c r="C28" s="237">
        <v>667101411</v>
      </c>
      <c r="D28" s="237">
        <v>75109522</v>
      </c>
      <c r="E28" s="238" t="s">
        <v>18</v>
      </c>
      <c r="F28" s="237">
        <v>3141</v>
      </c>
      <c r="G28" s="238" t="s">
        <v>315</v>
      </c>
      <c r="H28" s="273" t="s">
        <v>278</v>
      </c>
      <c r="I28" s="472">
        <v>880114</v>
      </c>
      <c r="J28" s="472">
        <v>645021</v>
      </c>
      <c r="K28" s="472">
        <v>0</v>
      </c>
      <c r="L28" s="472">
        <v>218017</v>
      </c>
      <c r="M28" s="472">
        <v>12900</v>
      </c>
      <c r="N28" s="472">
        <v>4176</v>
      </c>
      <c r="O28" s="473">
        <v>2.0299999999999998</v>
      </c>
      <c r="P28" s="474">
        <v>0</v>
      </c>
      <c r="Q28" s="483">
        <v>2.0299999999999998</v>
      </c>
      <c r="R28" s="485">
        <f t="shared" si="54"/>
        <v>0</v>
      </c>
      <c r="S28" s="475">
        <v>0</v>
      </c>
      <c r="T28" s="475">
        <v>-4048</v>
      </c>
      <c r="U28" s="475">
        <v>0</v>
      </c>
      <c r="V28" s="475">
        <v>0</v>
      </c>
      <c r="W28" s="475">
        <v>0</v>
      </c>
      <c r="X28" s="475">
        <f>SUM(R28:W28)</f>
        <v>-4048</v>
      </c>
      <c r="Y28" s="475">
        <v>0</v>
      </c>
      <c r="Z28" s="475">
        <v>0</v>
      </c>
      <c r="AA28" s="475">
        <v>0</v>
      </c>
      <c r="AB28" s="475">
        <f t="shared" si="55"/>
        <v>0</v>
      </c>
      <c r="AC28" s="475">
        <f t="shared" si="56"/>
        <v>-4048</v>
      </c>
      <c r="AD28" s="70">
        <f t="shared" si="57"/>
        <v>-1368</v>
      </c>
      <c r="AE28" s="70">
        <f t="shared" si="58"/>
        <v>-81</v>
      </c>
      <c r="AF28" s="475">
        <v>0</v>
      </c>
      <c r="AG28" s="475">
        <v>0</v>
      </c>
      <c r="AH28" s="475">
        <f t="shared" si="59"/>
        <v>0</v>
      </c>
      <c r="AI28" s="475">
        <f t="shared" si="60"/>
        <v>-5497</v>
      </c>
      <c r="AJ28" s="476">
        <v>0</v>
      </c>
      <c r="AK28" s="476">
        <v>0</v>
      </c>
      <c r="AL28" s="476">
        <v>0</v>
      </c>
      <c r="AM28" s="476">
        <v>0</v>
      </c>
      <c r="AN28" s="476">
        <v>-0.02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-0.02</v>
      </c>
      <c r="AT28" s="478">
        <f t="shared" si="61"/>
        <v>-0.02</v>
      </c>
      <c r="AU28" s="484">
        <f t="shared" si="17"/>
        <v>874617</v>
      </c>
      <c r="AV28" s="475">
        <f t="shared" si="18"/>
        <v>640973</v>
      </c>
      <c r="AW28" s="475">
        <f t="shared" si="62"/>
        <v>0</v>
      </c>
      <c r="AX28" s="475">
        <f>L28+AD28</f>
        <v>216649</v>
      </c>
      <c r="AY28" s="475">
        <f>M28+AE28</f>
        <v>12819</v>
      </c>
      <c r="AZ28" s="475">
        <f t="shared" si="19"/>
        <v>4176</v>
      </c>
      <c r="BA28" s="476">
        <f t="shared" si="20"/>
        <v>2.0099999999999998</v>
      </c>
      <c r="BB28" s="476">
        <f>P28+AR28</f>
        <v>0</v>
      </c>
      <c r="BC28" s="478">
        <f>Q28+AS28</f>
        <v>2.0099999999999998</v>
      </c>
    </row>
    <row r="29" spans="1:55" s="234" customFormat="1" ht="12.75" customHeight="1" x14ac:dyDescent="0.2">
      <c r="A29" s="160">
        <v>6</v>
      </c>
      <c r="B29" s="14">
        <v>3453</v>
      </c>
      <c r="C29" s="159">
        <v>667101411</v>
      </c>
      <c r="D29" s="159">
        <v>75109522</v>
      </c>
      <c r="E29" s="235" t="s">
        <v>19</v>
      </c>
      <c r="F29" s="14"/>
      <c r="G29" s="235"/>
      <c r="H29" s="272"/>
      <c r="I29" s="479">
        <v>7465284</v>
      </c>
      <c r="J29" s="479">
        <v>5434145</v>
      </c>
      <c r="K29" s="479">
        <v>30000</v>
      </c>
      <c r="L29" s="479">
        <v>1846881</v>
      </c>
      <c r="M29" s="479">
        <v>108682</v>
      </c>
      <c r="N29" s="479">
        <v>45576</v>
      </c>
      <c r="O29" s="441">
        <v>12.648199999999999</v>
      </c>
      <c r="P29" s="441">
        <v>7.5</v>
      </c>
      <c r="Q29" s="441">
        <v>5.1482000000000001</v>
      </c>
      <c r="R29" s="687">
        <f t="shared" ref="R29:BC29" si="63">SUM(R27:R28)</f>
        <v>0</v>
      </c>
      <c r="S29" s="685">
        <f t="shared" si="63"/>
        <v>0</v>
      </c>
      <c r="T29" s="685">
        <f t="shared" si="63"/>
        <v>-4048</v>
      </c>
      <c r="U29" s="685">
        <f t="shared" si="63"/>
        <v>0</v>
      </c>
      <c r="V29" s="685">
        <f t="shared" si="63"/>
        <v>-18409</v>
      </c>
      <c r="W29" s="685">
        <f t="shared" si="63"/>
        <v>0</v>
      </c>
      <c r="X29" s="685">
        <f t="shared" si="63"/>
        <v>-22457</v>
      </c>
      <c r="Y29" s="685">
        <f t="shared" si="63"/>
        <v>0</v>
      </c>
      <c r="Z29" s="685">
        <f t="shared" si="63"/>
        <v>0</v>
      </c>
      <c r="AA29" s="685">
        <f t="shared" si="63"/>
        <v>0</v>
      </c>
      <c r="AB29" s="685">
        <f t="shared" si="63"/>
        <v>0</v>
      </c>
      <c r="AC29" s="685">
        <f t="shared" si="63"/>
        <v>-22457</v>
      </c>
      <c r="AD29" s="685">
        <f t="shared" si="63"/>
        <v>-7590</v>
      </c>
      <c r="AE29" s="685">
        <f t="shared" si="63"/>
        <v>-449</v>
      </c>
      <c r="AF29" s="685">
        <f t="shared" si="63"/>
        <v>0</v>
      </c>
      <c r="AG29" s="685">
        <f t="shared" si="63"/>
        <v>24999</v>
      </c>
      <c r="AH29" s="685">
        <f t="shared" si="63"/>
        <v>24999</v>
      </c>
      <c r="AI29" s="685">
        <f t="shared" si="63"/>
        <v>-5497</v>
      </c>
      <c r="AJ29" s="686">
        <f t="shared" si="63"/>
        <v>0</v>
      </c>
      <c r="AK29" s="686">
        <f t="shared" si="63"/>
        <v>0</v>
      </c>
      <c r="AL29" s="686">
        <f t="shared" si="63"/>
        <v>0</v>
      </c>
      <c r="AM29" s="686">
        <f t="shared" si="63"/>
        <v>0</v>
      </c>
      <c r="AN29" s="686">
        <f t="shared" si="63"/>
        <v>-0.02</v>
      </c>
      <c r="AO29" s="686">
        <f t="shared" si="63"/>
        <v>0</v>
      </c>
      <c r="AP29" s="686">
        <f t="shared" si="63"/>
        <v>0</v>
      </c>
      <c r="AQ29" s="686">
        <f t="shared" si="63"/>
        <v>0</v>
      </c>
      <c r="AR29" s="686">
        <f t="shared" si="63"/>
        <v>0</v>
      </c>
      <c r="AS29" s="686">
        <f t="shared" si="63"/>
        <v>-0.02</v>
      </c>
      <c r="AT29" s="688">
        <f t="shared" si="63"/>
        <v>-0.02</v>
      </c>
      <c r="AU29" s="683">
        <f t="shared" si="63"/>
        <v>7459787</v>
      </c>
      <c r="AV29" s="479">
        <f t="shared" si="63"/>
        <v>5411688</v>
      </c>
      <c r="AW29" s="479">
        <f t="shared" si="63"/>
        <v>30000</v>
      </c>
      <c r="AX29" s="479">
        <f t="shared" si="63"/>
        <v>1839291</v>
      </c>
      <c r="AY29" s="479">
        <f t="shared" si="63"/>
        <v>108233</v>
      </c>
      <c r="AZ29" s="479">
        <f t="shared" si="63"/>
        <v>70575</v>
      </c>
      <c r="BA29" s="441">
        <f t="shared" si="63"/>
        <v>12.6282</v>
      </c>
      <c r="BB29" s="441">
        <f t="shared" si="63"/>
        <v>7.5</v>
      </c>
      <c r="BC29" s="520">
        <f t="shared" si="63"/>
        <v>5.1281999999999996</v>
      </c>
    </row>
    <row r="30" spans="1:55" s="234" customFormat="1" ht="12.75" customHeight="1" x14ac:dyDescent="0.2">
      <c r="A30" s="236">
        <v>7</v>
      </c>
      <c r="B30" s="237">
        <v>3471</v>
      </c>
      <c r="C30" s="237">
        <v>691003491</v>
      </c>
      <c r="D30" s="237">
        <v>72550376</v>
      </c>
      <c r="E30" s="238" t="s">
        <v>20</v>
      </c>
      <c r="F30" s="237">
        <v>3111</v>
      </c>
      <c r="G30" s="238" t="s">
        <v>311</v>
      </c>
      <c r="H30" s="273" t="s">
        <v>277</v>
      </c>
      <c r="I30" s="472">
        <v>6887344</v>
      </c>
      <c r="J30" s="472">
        <v>5039208</v>
      </c>
      <c r="K30" s="472">
        <v>0</v>
      </c>
      <c r="L30" s="472">
        <v>1703252</v>
      </c>
      <c r="M30" s="472">
        <v>100784</v>
      </c>
      <c r="N30" s="472">
        <v>44100</v>
      </c>
      <c r="O30" s="473">
        <v>10.8682</v>
      </c>
      <c r="P30" s="474">
        <v>8</v>
      </c>
      <c r="Q30" s="483">
        <v>2.8681999999999999</v>
      </c>
      <c r="R30" s="485">
        <f t="shared" ref="R30:R32" si="64">Y30*-1</f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ref="AB30:AB32" si="65">SUM(Y30:AA30)</f>
        <v>0</v>
      </c>
      <c r="AC30" s="475">
        <f t="shared" ref="AC30:AC32" si="66">X30+AB30</f>
        <v>0</v>
      </c>
      <c r="AD30" s="70">
        <f t="shared" ref="AD30:AD32" si="67">ROUND((X30+Y30+Z30)*33.8%,0)</f>
        <v>0</v>
      </c>
      <c r="AE30" s="70">
        <f t="shared" ref="AE30:AE32" si="68">ROUND(X30*2%,0)</f>
        <v>0</v>
      </c>
      <c r="AF30" s="475">
        <v>0</v>
      </c>
      <c r="AG30" s="475">
        <v>0</v>
      </c>
      <c r="AH30" s="475">
        <f t="shared" ref="AH30:AH32" si="69">SUM(AF30:AG30)</f>
        <v>0</v>
      </c>
      <c r="AI30" s="475">
        <f t="shared" ref="AI30:AI32" si="70">AC30+AD30+AE30+AH30</f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ref="AT30:AT32" si="71">SUM(AR30:AS30)</f>
        <v>0</v>
      </c>
      <c r="AU30" s="484">
        <f t="shared" si="17"/>
        <v>6887344</v>
      </c>
      <c r="AV30" s="475">
        <f t="shared" si="18"/>
        <v>5039208</v>
      </c>
      <c r="AW30" s="475">
        <f t="shared" ref="AW30:AW32" si="72">K30+AB30</f>
        <v>0</v>
      </c>
      <c r="AX30" s="475">
        <f t="shared" ref="AX30:AY32" si="73">L30+AD30</f>
        <v>1703252</v>
      </c>
      <c r="AY30" s="475">
        <f t="shared" si="73"/>
        <v>100784</v>
      </c>
      <c r="AZ30" s="475">
        <f t="shared" si="19"/>
        <v>44100</v>
      </c>
      <c r="BA30" s="476">
        <f t="shared" si="20"/>
        <v>10.8682</v>
      </c>
      <c r="BB30" s="476">
        <f t="shared" ref="BB30:BC32" si="74">P30+AR30</f>
        <v>8</v>
      </c>
      <c r="BC30" s="478">
        <f t="shared" si="74"/>
        <v>2.8681999999999999</v>
      </c>
    </row>
    <row r="31" spans="1:55" s="234" customFormat="1" ht="12.75" customHeight="1" x14ac:dyDescent="0.2">
      <c r="A31" s="236">
        <v>7</v>
      </c>
      <c r="B31" s="237">
        <v>3471</v>
      </c>
      <c r="C31" s="237">
        <v>691003491</v>
      </c>
      <c r="D31" s="237">
        <v>72550376</v>
      </c>
      <c r="E31" s="238" t="s">
        <v>20</v>
      </c>
      <c r="F31" s="237">
        <v>3111</v>
      </c>
      <c r="G31" s="238" t="s">
        <v>312</v>
      </c>
      <c r="H31" s="273" t="s">
        <v>278</v>
      </c>
      <c r="I31" s="472">
        <v>207082</v>
      </c>
      <c r="J31" s="472">
        <v>151569</v>
      </c>
      <c r="K31" s="472">
        <v>0</v>
      </c>
      <c r="L31" s="472">
        <v>51231</v>
      </c>
      <c r="M31" s="472">
        <v>3032</v>
      </c>
      <c r="N31" s="472">
        <v>1250</v>
      </c>
      <c r="O31" s="473">
        <v>0.44</v>
      </c>
      <c r="P31" s="474">
        <v>0.44</v>
      </c>
      <c r="Q31" s="483">
        <v>0</v>
      </c>
      <c r="R31" s="485">
        <f t="shared" si="64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>SUM(R31:W31)</f>
        <v>0</v>
      </c>
      <c r="Y31" s="475">
        <v>0</v>
      </c>
      <c r="Z31" s="475">
        <v>0</v>
      </c>
      <c r="AA31" s="475">
        <v>0</v>
      </c>
      <c r="AB31" s="475">
        <f t="shared" si="65"/>
        <v>0</v>
      </c>
      <c r="AC31" s="475">
        <f t="shared" si="66"/>
        <v>0</v>
      </c>
      <c r="AD31" s="70">
        <f t="shared" si="67"/>
        <v>0</v>
      </c>
      <c r="AE31" s="70">
        <f t="shared" si="68"/>
        <v>0</v>
      </c>
      <c r="AF31" s="475">
        <v>0</v>
      </c>
      <c r="AG31" s="475">
        <v>0</v>
      </c>
      <c r="AH31" s="475">
        <f t="shared" si="69"/>
        <v>0</v>
      </c>
      <c r="AI31" s="475">
        <f t="shared" si="70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si="71"/>
        <v>0</v>
      </c>
      <c r="AU31" s="484">
        <f t="shared" si="17"/>
        <v>207082</v>
      </c>
      <c r="AV31" s="475">
        <f t="shared" si="18"/>
        <v>151569</v>
      </c>
      <c r="AW31" s="475">
        <f t="shared" si="72"/>
        <v>0</v>
      </c>
      <c r="AX31" s="475">
        <f t="shared" si="73"/>
        <v>51231</v>
      </c>
      <c r="AY31" s="475">
        <f t="shared" si="73"/>
        <v>3032</v>
      </c>
      <c r="AZ31" s="475">
        <f t="shared" si="19"/>
        <v>1250</v>
      </c>
      <c r="BA31" s="476">
        <f t="shared" si="20"/>
        <v>0.44</v>
      </c>
      <c r="BB31" s="476">
        <f t="shared" si="74"/>
        <v>0.44</v>
      </c>
      <c r="BC31" s="478">
        <f t="shared" si="74"/>
        <v>0</v>
      </c>
    </row>
    <row r="32" spans="1:55" s="234" customFormat="1" ht="12.75" customHeight="1" x14ac:dyDescent="0.2">
      <c r="A32" s="236">
        <v>7</v>
      </c>
      <c r="B32" s="237">
        <v>3471</v>
      </c>
      <c r="C32" s="237">
        <v>691003491</v>
      </c>
      <c r="D32" s="237">
        <v>72550376</v>
      </c>
      <c r="E32" s="238" t="s">
        <v>20</v>
      </c>
      <c r="F32" s="237">
        <v>3141</v>
      </c>
      <c r="G32" s="238" t="s">
        <v>315</v>
      </c>
      <c r="H32" s="273" t="s">
        <v>278</v>
      </c>
      <c r="I32" s="472">
        <v>1089802</v>
      </c>
      <c r="J32" s="472">
        <v>798320</v>
      </c>
      <c r="K32" s="472">
        <v>0</v>
      </c>
      <c r="L32" s="472">
        <v>269832</v>
      </c>
      <c r="M32" s="472">
        <v>15966</v>
      </c>
      <c r="N32" s="472">
        <v>5684</v>
      </c>
      <c r="O32" s="473">
        <v>2.5099999999999998</v>
      </c>
      <c r="P32" s="474">
        <v>0</v>
      </c>
      <c r="Q32" s="483">
        <v>2.5099999999999998</v>
      </c>
      <c r="R32" s="485">
        <f t="shared" si="64"/>
        <v>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>SUM(R32:W32)</f>
        <v>0</v>
      </c>
      <c r="Y32" s="475">
        <v>0</v>
      </c>
      <c r="Z32" s="475">
        <v>0</v>
      </c>
      <c r="AA32" s="475">
        <v>0</v>
      </c>
      <c r="AB32" s="475">
        <f t="shared" si="65"/>
        <v>0</v>
      </c>
      <c r="AC32" s="475">
        <f t="shared" si="66"/>
        <v>0</v>
      </c>
      <c r="AD32" s="70">
        <f t="shared" si="67"/>
        <v>0</v>
      </c>
      <c r="AE32" s="70">
        <f t="shared" si="68"/>
        <v>0</v>
      </c>
      <c r="AF32" s="475">
        <v>0</v>
      </c>
      <c r="AG32" s="475">
        <v>0</v>
      </c>
      <c r="AH32" s="475">
        <f t="shared" si="69"/>
        <v>0</v>
      </c>
      <c r="AI32" s="475">
        <f t="shared" si="70"/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si="71"/>
        <v>0</v>
      </c>
      <c r="AU32" s="484">
        <f t="shared" si="17"/>
        <v>1089802</v>
      </c>
      <c r="AV32" s="475">
        <f t="shared" si="18"/>
        <v>798320</v>
      </c>
      <c r="AW32" s="475">
        <f t="shared" si="72"/>
        <v>0</v>
      </c>
      <c r="AX32" s="475">
        <f t="shared" si="73"/>
        <v>269832</v>
      </c>
      <c r="AY32" s="475">
        <f t="shared" si="73"/>
        <v>15966</v>
      </c>
      <c r="AZ32" s="475">
        <f t="shared" si="19"/>
        <v>5684</v>
      </c>
      <c r="BA32" s="476">
        <f t="shared" si="20"/>
        <v>2.5099999999999998</v>
      </c>
      <c r="BB32" s="476">
        <f t="shared" si="74"/>
        <v>0</v>
      </c>
      <c r="BC32" s="478">
        <f t="shared" si="74"/>
        <v>2.5099999999999998</v>
      </c>
    </row>
    <row r="33" spans="1:55" s="234" customFormat="1" ht="12.75" customHeight="1" x14ac:dyDescent="0.2">
      <c r="A33" s="160">
        <v>7</v>
      </c>
      <c r="B33" s="14">
        <v>3471</v>
      </c>
      <c r="C33" s="159">
        <v>691003491</v>
      </c>
      <c r="D33" s="159">
        <v>72550376</v>
      </c>
      <c r="E33" s="235" t="s">
        <v>21</v>
      </c>
      <c r="F33" s="14"/>
      <c r="G33" s="235"/>
      <c r="H33" s="272"/>
      <c r="I33" s="479">
        <v>8184228</v>
      </c>
      <c r="J33" s="479">
        <v>5989097</v>
      </c>
      <c r="K33" s="479">
        <v>0</v>
      </c>
      <c r="L33" s="479">
        <v>2024315</v>
      </c>
      <c r="M33" s="479">
        <v>119782</v>
      </c>
      <c r="N33" s="479">
        <v>51034</v>
      </c>
      <c r="O33" s="441">
        <v>13.818199999999999</v>
      </c>
      <c r="P33" s="441">
        <v>8.44</v>
      </c>
      <c r="Q33" s="441">
        <v>5.3781999999999996</v>
      </c>
      <c r="R33" s="687">
        <f t="shared" ref="R33:BC33" si="75">SUM(R30:R32)</f>
        <v>0</v>
      </c>
      <c r="S33" s="685">
        <f t="shared" si="75"/>
        <v>0</v>
      </c>
      <c r="T33" s="685">
        <f t="shared" si="75"/>
        <v>0</v>
      </c>
      <c r="U33" s="685">
        <f t="shared" si="75"/>
        <v>0</v>
      </c>
      <c r="V33" s="685">
        <f t="shared" si="75"/>
        <v>0</v>
      </c>
      <c r="W33" s="685">
        <f t="shared" si="75"/>
        <v>0</v>
      </c>
      <c r="X33" s="685">
        <f t="shared" si="75"/>
        <v>0</v>
      </c>
      <c r="Y33" s="685">
        <f t="shared" si="75"/>
        <v>0</v>
      </c>
      <c r="Z33" s="685">
        <f t="shared" si="75"/>
        <v>0</v>
      </c>
      <c r="AA33" s="685">
        <f t="shared" si="75"/>
        <v>0</v>
      </c>
      <c r="AB33" s="685">
        <f t="shared" si="75"/>
        <v>0</v>
      </c>
      <c r="AC33" s="685">
        <f t="shared" si="75"/>
        <v>0</v>
      </c>
      <c r="AD33" s="685">
        <f t="shared" si="75"/>
        <v>0</v>
      </c>
      <c r="AE33" s="685">
        <f t="shared" si="75"/>
        <v>0</v>
      </c>
      <c r="AF33" s="685">
        <f t="shared" si="75"/>
        <v>0</v>
      </c>
      <c r="AG33" s="685">
        <f t="shared" si="75"/>
        <v>0</v>
      </c>
      <c r="AH33" s="685">
        <f t="shared" si="75"/>
        <v>0</v>
      </c>
      <c r="AI33" s="685">
        <f t="shared" si="75"/>
        <v>0</v>
      </c>
      <c r="AJ33" s="686">
        <f t="shared" si="75"/>
        <v>0</v>
      </c>
      <c r="AK33" s="686">
        <f t="shared" si="75"/>
        <v>0</v>
      </c>
      <c r="AL33" s="686">
        <f t="shared" si="75"/>
        <v>0</v>
      </c>
      <c r="AM33" s="686">
        <f t="shared" si="75"/>
        <v>0</v>
      </c>
      <c r="AN33" s="686">
        <f t="shared" si="75"/>
        <v>0</v>
      </c>
      <c r="AO33" s="686">
        <f t="shared" si="75"/>
        <v>0</v>
      </c>
      <c r="AP33" s="686">
        <f t="shared" si="75"/>
        <v>0</v>
      </c>
      <c r="AQ33" s="686">
        <f t="shared" si="75"/>
        <v>0</v>
      </c>
      <c r="AR33" s="686">
        <f t="shared" si="75"/>
        <v>0</v>
      </c>
      <c r="AS33" s="686">
        <f t="shared" si="75"/>
        <v>0</v>
      </c>
      <c r="AT33" s="688">
        <f t="shared" si="75"/>
        <v>0</v>
      </c>
      <c r="AU33" s="683">
        <f t="shared" si="75"/>
        <v>8184228</v>
      </c>
      <c r="AV33" s="479">
        <f t="shared" si="75"/>
        <v>5989097</v>
      </c>
      <c r="AW33" s="479">
        <f t="shared" si="75"/>
        <v>0</v>
      </c>
      <c r="AX33" s="479">
        <f t="shared" si="75"/>
        <v>2024315</v>
      </c>
      <c r="AY33" s="479">
        <f t="shared" si="75"/>
        <v>119782</v>
      </c>
      <c r="AZ33" s="479">
        <f t="shared" si="75"/>
        <v>51034</v>
      </c>
      <c r="BA33" s="441">
        <f t="shared" si="75"/>
        <v>13.818199999999999</v>
      </c>
      <c r="BB33" s="441">
        <f t="shared" si="75"/>
        <v>8.44</v>
      </c>
      <c r="BC33" s="520">
        <f t="shared" si="75"/>
        <v>5.3781999999999996</v>
      </c>
    </row>
    <row r="34" spans="1:55" s="234" customFormat="1" ht="12.75" customHeight="1" x14ac:dyDescent="0.2">
      <c r="A34" s="236">
        <v>8</v>
      </c>
      <c r="B34" s="237">
        <v>3472</v>
      </c>
      <c r="C34" s="237">
        <v>691003564</v>
      </c>
      <c r="D34" s="237">
        <v>72550368</v>
      </c>
      <c r="E34" s="238" t="s">
        <v>22</v>
      </c>
      <c r="F34" s="237">
        <v>3111</v>
      </c>
      <c r="G34" s="238" t="s">
        <v>311</v>
      </c>
      <c r="H34" s="273" t="s">
        <v>277</v>
      </c>
      <c r="I34" s="472">
        <v>4666044</v>
      </c>
      <c r="J34" s="472">
        <v>3388184</v>
      </c>
      <c r="K34" s="472">
        <v>30000</v>
      </c>
      <c r="L34" s="472">
        <v>1155346</v>
      </c>
      <c r="M34" s="472">
        <v>67764</v>
      </c>
      <c r="N34" s="472">
        <v>24750</v>
      </c>
      <c r="O34" s="473">
        <v>7.8342000000000009</v>
      </c>
      <c r="P34" s="474">
        <v>6</v>
      </c>
      <c r="Q34" s="483">
        <v>1.8342000000000003</v>
      </c>
      <c r="R34" s="485">
        <f t="shared" ref="R34:R35" si="76">Y34*-1</f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ref="AB34:AB35" si="77">SUM(Y34:AA34)</f>
        <v>0</v>
      </c>
      <c r="AC34" s="475">
        <f t="shared" ref="AC34:AC35" si="78">X34+AB34</f>
        <v>0</v>
      </c>
      <c r="AD34" s="70">
        <f t="shared" ref="AD34:AD35" si="79">ROUND((X34+Y34+Z34)*33.8%,0)</f>
        <v>0</v>
      </c>
      <c r="AE34" s="70">
        <f t="shared" ref="AE34:AE35" si="80">ROUND(X34*2%,0)</f>
        <v>0</v>
      </c>
      <c r="AF34" s="475">
        <v>0</v>
      </c>
      <c r="AG34" s="475">
        <v>0</v>
      </c>
      <c r="AH34" s="475">
        <f t="shared" ref="AH34:AH35" si="81">SUM(AF34:AG34)</f>
        <v>0</v>
      </c>
      <c r="AI34" s="475">
        <f t="shared" ref="AI34:AI35" si="82">AC34+AD34+AE34+AH34</f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ref="AT34:AT35" si="83">SUM(AR34:AS34)</f>
        <v>0</v>
      </c>
      <c r="AU34" s="484">
        <f t="shared" si="17"/>
        <v>4666044</v>
      </c>
      <c r="AV34" s="475">
        <f t="shared" si="18"/>
        <v>3388184</v>
      </c>
      <c r="AW34" s="475">
        <f t="shared" ref="AW34:AW35" si="84">K34+AB34</f>
        <v>30000</v>
      </c>
      <c r="AX34" s="475">
        <f>L34+AD34</f>
        <v>1155346</v>
      </c>
      <c r="AY34" s="475">
        <f>M34+AE34</f>
        <v>67764</v>
      </c>
      <c r="AZ34" s="475">
        <f t="shared" si="19"/>
        <v>24750</v>
      </c>
      <c r="BA34" s="476">
        <f t="shared" si="20"/>
        <v>7.8342000000000009</v>
      </c>
      <c r="BB34" s="476">
        <f>P34+AR34</f>
        <v>6</v>
      </c>
      <c r="BC34" s="478">
        <f>Q34+AS34</f>
        <v>1.8342000000000003</v>
      </c>
    </row>
    <row r="35" spans="1:55" s="234" customFormat="1" ht="12.75" customHeight="1" x14ac:dyDescent="0.2">
      <c r="A35" s="236">
        <v>8</v>
      </c>
      <c r="B35" s="237">
        <v>3472</v>
      </c>
      <c r="C35" s="237">
        <v>691003564</v>
      </c>
      <c r="D35" s="237">
        <v>72550368</v>
      </c>
      <c r="E35" s="238" t="s">
        <v>22</v>
      </c>
      <c r="F35" s="237">
        <v>3141</v>
      </c>
      <c r="G35" s="238" t="s">
        <v>315</v>
      </c>
      <c r="H35" s="273" t="s">
        <v>278</v>
      </c>
      <c r="I35" s="472">
        <v>715571</v>
      </c>
      <c r="J35" s="472">
        <v>524667</v>
      </c>
      <c r="K35" s="472">
        <v>0</v>
      </c>
      <c r="L35" s="472">
        <v>177337</v>
      </c>
      <c r="M35" s="472">
        <v>10493</v>
      </c>
      <c r="N35" s="472">
        <v>3074</v>
      </c>
      <c r="O35" s="473">
        <v>1.65</v>
      </c>
      <c r="P35" s="474">
        <v>0</v>
      </c>
      <c r="Q35" s="483">
        <v>1.65</v>
      </c>
      <c r="R35" s="485">
        <f t="shared" si="76"/>
        <v>0</v>
      </c>
      <c r="S35" s="475">
        <v>0</v>
      </c>
      <c r="T35" s="475">
        <v>4443</v>
      </c>
      <c r="U35" s="475">
        <v>0</v>
      </c>
      <c r="V35" s="475">
        <v>0</v>
      </c>
      <c r="W35" s="475">
        <v>0</v>
      </c>
      <c r="X35" s="475">
        <f>SUM(R35:W35)</f>
        <v>4443</v>
      </c>
      <c r="Y35" s="475">
        <v>0</v>
      </c>
      <c r="Z35" s="475">
        <v>0</v>
      </c>
      <c r="AA35" s="475">
        <v>0</v>
      </c>
      <c r="AB35" s="475">
        <f t="shared" si="77"/>
        <v>0</v>
      </c>
      <c r="AC35" s="475">
        <f t="shared" si="78"/>
        <v>4443</v>
      </c>
      <c r="AD35" s="70">
        <f t="shared" si="79"/>
        <v>1502</v>
      </c>
      <c r="AE35" s="70">
        <f t="shared" si="80"/>
        <v>89</v>
      </c>
      <c r="AF35" s="475">
        <v>0</v>
      </c>
      <c r="AG35" s="475">
        <v>0</v>
      </c>
      <c r="AH35" s="475">
        <f t="shared" si="81"/>
        <v>0</v>
      </c>
      <c r="AI35" s="475">
        <f t="shared" si="82"/>
        <v>6034</v>
      </c>
      <c r="AJ35" s="476">
        <v>0</v>
      </c>
      <c r="AK35" s="476">
        <v>0</v>
      </c>
      <c r="AL35" s="476">
        <v>0</v>
      </c>
      <c r="AM35" s="476">
        <v>0</v>
      </c>
      <c r="AN35" s="476">
        <v>0.01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0.01</v>
      </c>
      <c r="AT35" s="478">
        <f t="shared" si="83"/>
        <v>0.01</v>
      </c>
      <c r="AU35" s="484">
        <f t="shared" si="17"/>
        <v>721605</v>
      </c>
      <c r="AV35" s="475">
        <f t="shared" si="18"/>
        <v>529110</v>
      </c>
      <c r="AW35" s="475">
        <f t="shared" si="84"/>
        <v>0</v>
      </c>
      <c r="AX35" s="475">
        <f>L35+AD35</f>
        <v>178839</v>
      </c>
      <c r="AY35" s="475">
        <f>M35+AE35</f>
        <v>10582</v>
      </c>
      <c r="AZ35" s="475">
        <f t="shared" si="19"/>
        <v>3074</v>
      </c>
      <c r="BA35" s="476">
        <f t="shared" si="20"/>
        <v>1.66</v>
      </c>
      <c r="BB35" s="476">
        <f>P35+AR35</f>
        <v>0</v>
      </c>
      <c r="BC35" s="478">
        <f>Q35+AS35</f>
        <v>1.66</v>
      </c>
    </row>
    <row r="36" spans="1:55" s="234" customFormat="1" ht="12.75" customHeight="1" x14ac:dyDescent="0.2">
      <c r="A36" s="160">
        <v>8</v>
      </c>
      <c r="B36" s="14">
        <v>3472</v>
      </c>
      <c r="C36" s="159">
        <v>691003564</v>
      </c>
      <c r="D36" s="159">
        <v>72550368</v>
      </c>
      <c r="E36" s="235" t="s">
        <v>23</v>
      </c>
      <c r="F36" s="14"/>
      <c r="G36" s="235"/>
      <c r="H36" s="272"/>
      <c r="I36" s="479">
        <v>5381615</v>
      </c>
      <c r="J36" s="479">
        <v>3912851</v>
      </c>
      <c r="K36" s="479">
        <v>30000</v>
      </c>
      <c r="L36" s="479">
        <v>1332683</v>
      </c>
      <c r="M36" s="479">
        <v>78257</v>
      </c>
      <c r="N36" s="479">
        <v>27824</v>
      </c>
      <c r="O36" s="441">
        <v>9.4842000000000013</v>
      </c>
      <c r="P36" s="441">
        <v>6</v>
      </c>
      <c r="Q36" s="441">
        <v>3.4842000000000004</v>
      </c>
      <c r="R36" s="687">
        <f t="shared" ref="R36:BC36" si="85">SUM(R34:R35)</f>
        <v>0</v>
      </c>
      <c r="S36" s="685">
        <f t="shared" si="85"/>
        <v>0</v>
      </c>
      <c r="T36" s="685">
        <f t="shared" si="85"/>
        <v>4443</v>
      </c>
      <c r="U36" s="685">
        <f t="shared" si="85"/>
        <v>0</v>
      </c>
      <c r="V36" s="685">
        <f t="shared" si="85"/>
        <v>0</v>
      </c>
      <c r="W36" s="685">
        <f t="shared" si="85"/>
        <v>0</v>
      </c>
      <c r="X36" s="685">
        <f t="shared" si="85"/>
        <v>4443</v>
      </c>
      <c r="Y36" s="685">
        <f t="shared" si="85"/>
        <v>0</v>
      </c>
      <c r="Z36" s="685">
        <f t="shared" si="85"/>
        <v>0</v>
      </c>
      <c r="AA36" s="685">
        <f t="shared" si="85"/>
        <v>0</v>
      </c>
      <c r="AB36" s="685">
        <f t="shared" si="85"/>
        <v>0</v>
      </c>
      <c r="AC36" s="685">
        <f t="shared" si="85"/>
        <v>4443</v>
      </c>
      <c r="AD36" s="685">
        <f t="shared" si="85"/>
        <v>1502</v>
      </c>
      <c r="AE36" s="685">
        <f t="shared" si="85"/>
        <v>89</v>
      </c>
      <c r="AF36" s="685">
        <f t="shared" si="85"/>
        <v>0</v>
      </c>
      <c r="AG36" s="685">
        <f t="shared" si="85"/>
        <v>0</v>
      </c>
      <c r="AH36" s="685">
        <f t="shared" si="85"/>
        <v>0</v>
      </c>
      <c r="AI36" s="685">
        <f t="shared" si="85"/>
        <v>6034</v>
      </c>
      <c r="AJ36" s="686">
        <f t="shared" si="85"/>
        <v>0</v>
      </c>
      <c r="AK36" s="686">
        <f t="shared" si="85"/>
        <v>0</v>
      </c>
      <c r="AL36" s="686">
        <f t="shared" si="85"/>
        <v>0</v>
      </c>
      <c r="AM36" s="686">
        <f t="shared" si="85"/>
        <v>0</v>
      </c>
      <c r="AN36" s="686">
        <f t="shared" si="85"/>
        <v>0.01</v>
      </c>
      <c r="AO36" s="686">
        <f t="shared" si="85"/>
        <v>0</v>
      </c>
      <c r="AP36" s="686">
        <f t="shared" si="85"/>
        <v>0</v>
      </c>
      <c r="AQ36" s="686">
        <f t="shared" si="85"/>
        <v>0</v>
      </c>
      <c r="AR36" s="686">
        <f t="shared" si="85"/>
        <v>0</v>
      </c>
      <c r="AS36" s="686">
        <f t="shared" si="85"/>
        <v>0.01</v>
      </c>
      <c r="AT36" s="688">
        <f t="shared" si="85"/>
        <v>0.01</v>
      </c>
      <c r="AU36" s="683">
        <f t="shared" si="85"/>
        <v>5387649</v>
      </c>
      <c r="AV36" s="479">
        <f t="shared" si="85"/>
        <v>3917294</v>
      </c>
      <c r="AW36" s="479">
        <f t="shared" si="85"/>
        <v>30000</v>
      </c>
      <c r="AX36" s="479">
        <f t="shared" si="85"/>
        <v>1334185</v>
      </c>
      <c r="AY36" s="479">
        <f t="shared" si="85"/>
        <v>78346</v>
      </c>
      <c r="AZ36" s="479">
        <f t="shared" si="85"/>
        <v>27824</v>
      </c>
      <c r="BA36" s="441">
        <f t="shared" si="85"/>
        <v>9.4942000000000011</v>
      </c>
      <c r="BB36" s="441">
        <f t="shared" si="85"/>
        <v>6</v>
      </c>
      <c r="BC36" s="520">
        <f t="shared" si="85"/>
        <v>3.4942000000000002</v>
      </c>
    </row>
    <row r="37" spans="1:55" s="234" customFormat="1" ht="12.75" customHeight="1" x14ac:dyDescent="0.2">
      <c r="A37" s="236">
        <v>9</v>
      </c>
      <c r="B37" s="237">
        <v>3467</v>
      </c>
      <c r="C37" s="237">
        <v>691001243</v>
      </c>
      <c r="D37" s="237">
        <v>72048174</v>
      </c>
      <c r="E37" s="238" t="s">
        <v>24</v>
      </c>
      <c r="F37" s="237">
        <v>3111</v>
      </c>
      <c r="G37" s="238" t="s">
        <v>311</v>
      </c>
      <c r="H37" s="273" t="s">
        <v>277</v>
      </c>
      <c r="I37" s="472">
        <v>8722706</v>
      </c>
      <c r="J37" s="472">
        <v>6364241</v>
      </c>
      <c r="K37" s="472">
        <v>21500</v>
      </c>
      <c r="L37" s="472">
        <v>2158380</v>
      </c>
      <c r="M37" s="472">
        <v>127285</v>
      </c>
      <c r="N37" s="472">
        <v>51300</v>
      </c>
      <c r="O37" s="473">
        <v>14.5167</v>
      </c>
      <c r="P37" s="474">
        <v>10.564500000000001</v>
      </c>
      <c r="Q37" s="483">
        <v>3.9521999999999995</v>
      </c>
      <c r="R37" s="485">
        <f t="shared" ref="R37:R39" si="86">Y37*-1</f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ref="AB37:AB39" si="87">SUM(Y37:AA37)</f>
        <v>0</v>
      </c>
      <c r="AC37" s="475">
        <f t="shared" ref="AC37:AC39" si="88">X37+AB37</f>
        <v>0</v>
      </c>
      <c r="AD37" s="70">
        <f t="shared" ref="AD37:AD39" si="89">ROUND((X37+Y37+Z37)*33.8%,0)</f>
        <v>0</v>
      </c>
      <c r="AE37" s="70">
        <f t="shared" ref="AE37:AE39" si="90">ROUND(X37*2%,0)</f>
        <v>0</v>
      </c>
      <c r="AF37" s="475">
        <v>0</v>
      </c>
      <c r="AG37" s="475">
        <v>0</v>
      </c>
      <c r="AH37" s="475">
        <f t="shared" ref="AH37:AH39" si="91">SUM(AF37:AG37)</f>
        <v>0</v>
      </c>
      <c r="AI37" s="475">
        <f t="shared" ref="AI37:AI39" si="92">AC37+AD37+AE37+AH37</f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ref="AT37:AT39" si="93">SUM(AR37:AS37)</f>
        <v>0</v>
      </c>
      <c r="AU37" s="484">
        <f t="shared" si="17"/>
        <v>8722706</v>
      </c>
      <c r="AV37" s="475">
        <f t="shared" si="18"/>
        <v>6364241</v>
      </c>
      <c r="AW37" s="475">
        <f t="shared" ref="AW37:AW39" si="94">K37+AB37</f>
        <v>21500</v>
      </c>
      <c r="AX37" s="475">
        <f t="shared" ref="AX37:AY39" si="95">L37+AD37</f>
        <v>2158380</v>
      </c>
      <c r="AY37" s="475">
        <f t="shared" si="95"/>
        <v>127285</v>
      </c>
      <c r="AZ37" s="475">
        <f t="shared" si="19"/>
        <v>51300</v>
      </c>
      <c r="BA37" s="476">
        <f t="shared" si="20"/>
        <v>14.5167</v>
      </c>
      <c r="BB37" s="476">
        <f t="shared" ref="BB37:BC39" si="96">P37+AR37</f>
        <v>10.564500000000001</v>
      </c>
      <c r="BC37" s="478">
        <f t="shared" si="96"/>
        <v>3.9521999999999995</v>
      </c>
    </row>
    <row r="38" spans="1:55" s="234" customFormat="1" x14ac:dyDescent="0.2">
      <c r="A38" s="236">
        <v>9</v>
      </c>
      <c r="B38" s="237">
        <v>3467</v>
      </c>
      <c r="C38" s="237">
        <v>691001243</v>
      </c>
      <c r="D38" s="237">
        <v>72048174</v>
      </c>
      <c r="E38" s="238" t="s">
        <v>24</v>
      </c>
      <c r="F38" s="237">
        <v>3111</v>
      </c>
      <c r="G38" s="238" t="s">
        <v>312</v>
      </c>
      <c r="H38" s="273" t="s">
        <v>278</v>
      </c>
      <c r="I38" s="472">
        <v>415343</v>
      </c>
      <c r="J38" s="472">
        <v>304744</v>
      </c>
      <c r="K38" s="472">
        <v>0</v>
      </c>
      <c r="L38" s="472">
        <v>103004</v>
      </c>
      <c r="M38" s="472">
        <v>6095</v>
      </c>
      <c r="N38" s="472">
        <v>1500</v>
      </c>
      <c r="O38" s="473">
        <v>0.88</v>
      </c>
      <c r="P38" s="474">
        <v>0.88</v>
      </c>
      <c r="Q38" s="483">
        <v>0</v>
      </c>
      <c r="R38" s="485">
        <f t="shared" si="86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87"/>
        <v>0</v>
      </c>
      <c r="AC38" s="475">
        <f t="shared" si="88"/>
        <v>0</v>
      </c>
      <c r="AD38" s="70">
        <f t="shared" si="89"/>
        <v>0</v>
      </c>
      <c r="AE38" s="70">
        <f t="shared" si="90"/>
        <v>0</v>
      </c>
      <c r="AF38" s="475">
        <v>0</v>
      </c>
      <c r="AG38" s="475">
        <v>0</v>
      </c>
      <c r="AH38" s="475">
        <f t="shared" si="91"/>
        <v>0</v>
      </c>
      <c r="AI38" s="475">
        <f t="shared" si="92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93"/>
        <v>0</v>
      </c>
      <c r="AU38" s="484">
        <f t="shared" si="17"/>
        <v>415343</v>
      </c>
      <c r="AV38" s="475">
        <f t="shared" si="18"/>
        <v>304744</v>
      </c>
      <c r="AW38" s="475">
        <f t="shared" si="94"/>
        <v>0</v>
      </c>
      <c r="AX38" s="475">
        <f t="shared" si="95"/>
        <v>103004</v>
      </c>
      <c r="AY38" s="475">
        <f t="shared" si="95"/>
        <v>6095</v>
      </c>
      <c r="AZ38" s="475">
        <f t="shared" si="19"/>
        <v>1500</v>
      </c>
      <c r="BA38" s="476">
        <f t="shared" si="20"/>
        <v>0.88</v>
      </c>
      <c r="BB38" s="476">
        <f t="shared" si="96"/>
        <v>0.88</v>
      </c>
      <c r="BC38" s="478">
        <f t="shared" si="96"/>
        <v>0</v>
      </c>
    </row>
    <row r="39" spans="1:55" s="234" customFormat="1" ht="12.75" customHeight="1" x14ac:dyDescent="0.2">
      <c r="A39" s="236">
        <v>9</v>
      </c>
      <c r="B39" s="237">
        <v>3467</v>
      </c>
      <c r="C39" s="237">
        <v>691001243</v>
      </c>
      <c r="D39" s="237">
        <v>72048174</v>
      </c>
      <c r="E39" s="238" t="s">
        <v>24</v>
      </c>
      <c r="F39" s="237">
        <v>3141</v>
      </c>
      <c r="G39" s="238" t="s">
        <v>315</v>
      </c>
      <c r="H39" s="273" t="s">
        <v>278</v>
      </c>
      <c r="I39" s="472">
        <v>1420609</v>
      </c>
      <c r="J39" s="472">
        <v>1040943</v>
      </c>
      <c r="K39" s="472">
        <v>0</v>
      </c>
      <c r="L39" s="472">
        <v>351839</v>
      </c>
      <c r="M39" s="472">
        <v>20819</v>
      </c>
      <c r="N39" s="472">
        <v>7008</v>
      </c>
      <c r="O39" s="473">
        <v>3.28</v>
      </c>
      <c r="P39" s="474">
        <v>0</v>
      </c>
      <c r="Q39" s="483">
        <v>3.28</v>
      </c>
      <c r="R39" s="485">
        <f t="shared" si="86"/>
        <v>0</v>
      </c>
      <c r="S39" s="475">
        <v>0</v>
      </c>
      <c r="T39" s="475">
        <v>-17915</v>
      </c>
      <c r="U39" s="475">
        <v>0</v>
      </c>
      <c r="V39" s="475">
        <v>0</v>
      </c>
      <c r="W39" s="475">
        <v>0</v>
      </c>
      <c r="X39" s="475">
        <f>SUM(R39:W39)</f>
        <v>-17915</v>
      </c>
      <c r="Y39" s="475">
        <v>0</v>
      </c>
      <c r="Z39" s="475">
        <v>0</v>
      </c>
      <c r="AA39" s="475">
        <v>0</v>
      </c>
      <c r="AB39" s="475">
        <f t="shared" si="87"/>
        <v>0</v>
      </c>
      <c r="AC39" s="475">
        <f t="shared" si="88"/>
        <v>-17915</v>
      </c>
      <c r="AD39" s="70">
        <f t="shared" si="89"/>
        <v>-6055</v>
      </c>
      <c r="AE39" s="70">
        <f t="shared" si="90"/>
        <v>-358</v>
      </c>
      <c r="AF39" s="475">
        <v>0</v>
      </c>
      <c r="AG39" s="475">
        <v>0</v>
      </c>
      <c r="AH39" s="475">
        <f t="shared" si="91"/>
        <v>0</v>
      </c>
      <c r="AI39" s="475">
        <f t="shared" si="92"/>
        <v>-24328</v>
      </c>
      <c r="AJ39" s="476">
        <v>0</v>
      </c>
      <c r="AK39" s="476">
        <v>0</v>
      </c>
      <c r="AL39" s="476">
        <v>0</v>
      </c>
      <c r="AM39" s="476">
        <v>0</v>
      </c>
      <c r="AN39" s="476">
        <v>-7.0000000000000007E-2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-7.0000000000000007E-2</v>
      </c>
      <c r="AT39" s="478">
        <f t="shared" si="93"/>
        <v>-7.0000000000000007E-2</v>
      </c>
      <c r="AU39" s="484">
        <f t="shared" si="17"/>
        <v>1396281</v>
      </c>
      <c r="AV39" s="475">
        <f t="shared" si="18"/>
        <v>1023028</v>
      </c>
      <c r="AW39" s="475">
        <f t="shared" si="94"/>
        <v>0</v>
      </c>
      <c r="AX39" s="475">
        <f t="shared" si="95"/>
        <v>345784</v>
      </c>
      <c r="AY39" s="475">
        <f t="shared" si="95"/>
        <v>20461</v>
      </c>
      <c r="AZ39" s="475">
        <f t="shared" si="19"/>
        <v>7008</v>
      </c>
      <c r="BA39" s="476">
        <f t="shared" si="20"/>
        <v>3.21</v>
      </c>
      <c r="BB39" s="476">
        <f t="shared" si="96"/>
        <v>0</v>
      </c>
      <c r="BC39" s="478">
        <f t="shared" si="96"/>
        <v>3.21</v>
      </c>
    </row>
    <row r="40" spans="1:55" s="234" customFormat="1" ht="12.75" customHeight="1" x14ac:dyDescent="0.2">
      <c r="A40" s="160">
        <v>9</v>
      </c>
      <c r="B40" s="14">
        <v>3467</v>
      </c>
      <c r="C40" s="159">
        <v>691001243</v>
      </c>
      <c r="D40" s="159">
        <v>72048174</v>
      </c>
      <c r="E40" s="235" t="s">
        <v>25</v>
      </c>
      <c r="F40" s="14"/>
      <c r="G40" s="235"/>
      <c r="H40" s="272"/>
      <c r="I40" s="479">
        <v>10558658</v>
      </c>
      <c r="J40" s="479">
        <v>7709928</v>
      </c>
      <c r="K40" s="479">
        <v>21500</v>
      </c>
      <c r="L40" s="479">
        <v>2613223</v>
      </c>
      <c r="M40" s="479">
        <v>154199</v>
      </c>
      <c r="N40" s="479">
        <v>59808</v>
      </c>
      <c r="O40" s="441">
        <v>18.6767</v>
      </c>
      <c r="P40" s="441">
        <v>11.444500000000001</v>
      </c>
      <c r="Q40" s="441">
        <v>7.2321999999999989</v>
      </c>
      <c r="R40" s="687">
        <f t="shared" ref="R40:BC40" si="97">SUM(R37:R39)</f>
        <v>0</v>
      </c>
      <c r="S40" s="685">
        <f t="shared" si="97"/>
        <v>0</v>
      </c>
      <c r="T40" s="685">
        <f t="shared" si="97"/>
        <v>-17915</v>
      </c>
      <c r="U40" s="685">
        <f t="shared" si="97"/>
        <v>0</v>
      </c>
      <c r="V40" s="685">
        <f t="shared" si="97"/>
        <v>0</v>
      </c>
      <c r="W40" s="685">
        <f t="shared" si="97"/>
        <v>0</v>
      </c>
      <c r="X40" s="685">
        <f t="shared" si="97"/>
        <v>-17915</v>
      </c>
      <c r="Y40" s="685">
        <f t="shared" si="97"/>
        <v>0</v>
      </c>
      <c r="Z40" s="685">
        <f t="shared" si="97"/>
        <v>0</v>
      </c>
      <c r="AA40" s="685">
        <f t="shared" si="97"/>
        <v>0</v>
      </c>
      <c r="AB40" s="685">
        <f t="shared" si="97"/>
        <v>0</v>
      </c>
      <c r="AC40" s="685">
        <f t="shared" si="97"/>
        <v>-17915</v>
      </c>
      <c r="AD40" s="685">
        <f t="shared" si="97"/>
        <v>-6055</v>
      </c>
      <c r="AE40" s="685">
        <f t="shared" si="97"/>
        <v>-358</v>
      </c>
      <c r="AF40" s="685">
        <f t="shared" si="97"/>
        <v>0</v>
      </c>
      <c r="AG40" s="685">
        <f t="shared" si="97"/>
        <v>0</v>
      </c>
      <c r="AH40" s="685">
        <f t="shared" si="97"/>
        <v>0</v>
      </c>
      <c r="AI40" s="685">
        <f t="shared" si="97"/>
        <v>-24328</v>
      </c>
      <c r="AJ40" s="686">
        <f t="shared" si="97"/>
        <v>0</v>
      </c>
      <c r="AK40" s="686">
        <f t="shared" si="97"/>
        <v>0</v>
      </c>
      <c r="AL40" s="686">
        <f t="shared" si="97"/>
        <v>0</v>
      </c>
      <c r="AM40" s="686">
        <f t="shared" si="97"/>
        <v>0</v>
      </c>
      <c r="AN40" s="686">
        <f t="shared" si="97"/>
        <v>-7.0000000000000007E-2</v>
      </c>
      <c r="AO40" s="686">
        <f t="shared" si="97"/>
        <v>0</v>
      </c>
      <c r="AP40" s="686">
        <f t="shared" si="97"/>
        <v>0</v>
      </c>
      <c r="AQ40" s="686">
        <f t="shared" si="97"/>
        <v>0</v>
      </c>
      <c r="AR40" s="686">
        <f t="shared" si="97"/>
        <v>0</v>
      </c>
      <c r="AS40" s="686">
        <f t="shared" si="97"/>
        <v>-7.0000000000000007E-2</v>
      </c>
      <c r="AT40" s="688">
        <f t="shared" si="97"/>
        <v>-7.0000000000000007E-2</v>
      </c>
      <c r="AU40" s="683">
        <f t="shared" si="97"/>
        <v>10534330</v>
      </c>
      <c r="AV40" s="479">
        <f t="shared" si="97"/>
        <v>7692013</v>
      </c>
      <c r="AW40" s="479">
        <f t="shared" si="97"/>
        <v>21500</v>
      </c>
      <c r="AX40" s="479">
        <f t="shared" si="97"/>
        <v>2607168</v>
      </c>
      <c r="AY40" s="479">
        <f t="shared" si="97"/>
        <v>153841</v>
      </c>
      <c r="AZ40" s="479">
        <f t="shared" si="97"/>
        <v>59808</v>
      </c>
      <c r="BA40" s="441">
        <f t="shared" si="97"/>
        <v>18.6067</v>
      </c>
      <c r="BB40" s="441">
        <f t="shared" si="97"/>
        <v>11.444500000000001</v>
      </c>
      <c r="BC40" s="520">
        <f t="shared" si="97"/>
        <v>7.1621999999999995</v>
      </c>
    </row>
    <row r="41" spans="1:55" s="234" customFormat="1" ht="12.75" customHeight="1" x14ac:dyDescent="0.2">
      <c r="A41" s="236">
        <v>10</v>
      </c>
      <c r="B41" s="237">
        <v>3461</v>
      </c>
      <c r="C41" s="237">
        <v>691001286</v>
      </c>
      <c r="D41" s="237">
        <v>72048107</v>
      </c>
      <c r="E41" s="238" t="s">
        <v>26</v>
      </c>
      <c r="F41" s="237">
        <v>3111</v>
      </c>
      <c r="G41" s="238" t="s">
        <v>311</v>
      </c>
      <c r="H41" s="273" t="s">
        <v>277</v>
      </c>
      <c r="I41" s="472">
        <v>8650816</v>
      </c>
      <c r="J41" s="472">
        <v>6302569</v>
      </c>
      <c r="K41" s="472">
        <v>34400</v>
      </c>
      <c r="L41" s="472">
        <v>2141896</v>
      </c>
      <c r="M41" s="472">
        <v>126051</v>
      </c>
      <c r="N41" s="472">
        <v>45900</v>
      </c>
      <c r="O41" s="473">
        <v>14.2622</v>
      </c>
      <c r="P41" s="474">
        <v>10.7</v>
      </c>
      <c r="Q41" s="483">
        <v>3.5622000000000016</v>
      </c>
      <c r="R41" s="485">
        <f t="shared" ref="R41:R43" si="98">Y41*-1</f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ref="AB41:AB43" si="99">SUM(Y41:AA41)</f>
        <v>0</v>
      </c>
      <c r="AC41" s="475">
        <f t="shared" ref="AC41:AC43" si="100">X41+AB41</f>
        <v>0</v>
      </c>
      <c r="AD41" s="70">
        <f t="shared" ref="AD41:AD43" si="101">ROUND((X41+Y41+Z41)*33.8%,0)</f>
        <v>0</v>
      </c>
      <c r="AE41" s="70">
        <f t="shared" ref="AE41:AE43" si="102">ROUND(X41*2%,0)</f>
        <v>0</v>
      </c>
      <c r="AF41" s="475">
        <v>0</v>
      </c>
      <c r="AG41" s="475">
        <v>0</v>
      </c>
      <c r="AH41" s="475">
        <f t="shared" ref="AH41:AH43" si="103">SUM(AF41:AG41)</f>
        <v>0</v>
      </c>
      <c r="AI41" s="475">
        <f t="shared" ref="AI41:AI43" si="104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ref="AT41:AT43" si="105">SUM(AR41:AS41)</f>
        <v>0</v>
      </c>
      <c r="AU41" s="484">
        <f t="shared" si="17"/>
        <v>8650816</v>
      </c>
      <c r="AV41" s="475">
        <f t="shared" si="18"/>
        <v>6302569</v>
      </c>
      <c r="AW41" s="475">
        <f t="shared" ref="AW41:AW43" si="106">K41+AB41</f>
        <v>34400</v>
      </c>
      <c r="AX41" s="475">
        <f t="shared" ref="AX41:AY43" si="107">L41+AD41</f>
        <v>2141896</v>
      </c>
      <c r="AY41" s="475">
        <f t="shared" si="107"/>
        <v>126051</v>
      </c>
      <c r="AZ41" s="475">
        <f t="shared" si="19"/>
        <v>45900</v>
      </c>
      <c r="BA41" s="476">
        <f t="shared" si="20"/>
        <v>14.2622</v>
      </c>
      <c r="BB41" s="476">
        <f t="shared" ref="BB41:BC43" si="108">P41+AR41</f>
        <v>10.7</v>
      </c>
      <c r="BC41" s="478">
        <f t="shared" si="108"/>
        <v>3.5622000000000016</v>
      </c>
    </row>
    <row r="42" spans="1:55" s="234" customFormat="1" x14ac:dyDescent="0.2">
      <c r="A42" s="236">
        <v>10</v>
      </c>
      <c r="B42" s="237">
        <v>3461</v>
      </c>
      <c r="C42" s="237">
        <v>691001286</v>
      </c>
      <c r="D42" s="237">
        <v>72048107</v>
      </c>
      <c r="E42" s="238" t="s">
        <v>26</v>
      </c>
      <c r="F42" s="237">
        <v>3111</v>
      </c>
      <c r="G42" s="238" t="s">
        <v>312</v>
      </c>
      <c r="H42" s="273" t="s">
        <v>278</v>
      </c>
      <c r="I42" s="472">
        <v>344991</v>
      </c>
      <c r="J42" s="472">
        <v>254043</v>
      </c>
      <c r="K42" s="472">
        <v>0</v>
      </c>
      <c r="L42" s="472">
        <v>85867</v>
      </c>
      <c r="M42" s="472">
        <v>5081</v>
      </c>
      <c r="N42" s="472">
        <v>0</v>
      </c>
      <c r="O42" s="473">
        <v>1</v>
      </c>
      <c r="P42" s="474">
        <v>1</v>
      </c>
      <c r="Q42" s="483">
        <v>0</v>
      </c>
      <c r="R42" s="485">
        <f t="shared" si="98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>SUM(R42:W42)</f>
        <v>0</v>
      </c>
      <c r="Y42" s="475">
        <v>0</v>
      </c>
      <c r="Z42" s="475">
        <v>0</v>
      </c>
      <c r="AA42" s="475">
        <v>0</v>
      </c>
      <c r="AB42" s="475">
        <f t="shared" si="99"/>
        <v>0</v>
      </c>
      <c r="AC42" s="475">
        <f t="shared" si="100"/>
        <v>0</v>
      </c>
      <c r="AD42" s="70">
        <f t="shared" si="101"/>
        <v>0</v>
      </c>
      <c r="AE42" s="70">
        <f t="shared" si="102"/>
        <v>0</v>
      </c>
      <c r="AF42" s="475">
        <v>0</v>
      </c>
      <c r="AG42" s="475">
        <v>0</v>
      </c>
      <c r="AH42" s="475">
        <f t="shared" si="103"/>
        <v>0</v>
      </c>
      <c r="AI42" s="475">
        <f t="shared" si="104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si="105"/>
        <v>0</v>
      </c>
      <c r="AU42" s="484">
        <f t="shared" si="17"/>
        <v>344991</v>
      </c>
      <c r="AV42" s="475">
        <f t="shared" si="18"/>
        <v>254043</v>
      </c>
      <c r="AW42" s="475">
        <f t="shared" si="106"/>
        <v>0</v>
      </c>
      <c r="AX42" s="475">
        <f t="shared" si="107"/>
        <v>85867</v>
      </c>
      <c r="AY42" s="475">
        <f t="shared" si="107"/>
        <v>5081</v>
      </c>
      <c r="AZ42" s="475">
        <f t="shared" si="19"/>
        <v>0</v>
      </c>
      <c r="BA42" s="476">
        <f t="shared" si="20"/>
        <v>1</v>
      </c>
      <c r="BB42" s="476">
        <f t="shared" si="108"/>
        <v>1</v>
      </c>
      <c r="BC42" s="478">
        <f t="shared" si="108"/>
        <v>0</v>
      </c>
    </row>
    <row r="43" spans="1:55" s="234" customFormat="1" ht="12.75" customHeight="1" x14ac:dyDescent="0.2">
      <c r="A43" s="236">
        <v>10</v>
      </c>
      <c r="B43" s="237">
        <v>3461</v>
      </c>
      <c r="C43" s="237">
        <v>691001286</v>
      </c>
      <c r="D43" s="237">
        <v>72048107</v>
      </c>
      <c r="E43" s="238" t="s">
        <v>26</v>
      </c>
      <c r="F43" s="237">
        <v>3141</v>
      </c>
      <c r="G43" s="238" t="s">
        <v>315</v>
      </c>
      <c r="H43" s="273" t="s">
        <v>278</v>
      </c>
      <c r="I43" s="472">
        <v>1359622</v>
      </c>
      <c r="J43" s="472">
        <v>996924</v>
      </c>
      <c r="K43" s="472">
        <v>0</v>
      </c>
      <c r="L43" s="472">
        <v>336960</v>
      </c>
      <c r="M43" s="472">
        <v>19938</v>
      </c>
      <c r="N43" s="472">
        <v>5800</v>
      </c>
      <c r="O43" s="473">
        <v>3.14</v>
      </c>
      <c r="P43" s="474">
        <v>0</v>
      </c>
      <c r="Q43" s="483">
        <v>3.14</v>
      </c>
      <c r="R43" s="485">
        <f t="shared" si="98"/>
        <v>0</v>
      </c>
      <c r="S43" s="475">
        <v>0</v>
      </c>
      <c r="T43" s="475">
        <v>4153</v>
      </c>
      <c r="U43" s="475">
        <v>0</v>
      </c>
      <c r="V43" s="475">
        <v>0</v>
      </c>
      <c r="W43" s="475">
        <v>0</v>
      </c>
      <c r="X43" s="475">
        <f>SUM(R43:W43)</f>
        <v>4153</v>
      </c>
      <c r="Y43" s="475">
        <v>0</v>
      </c>
      <c r="Z43" s="475">
        <v>0</v>
      </c>
      <c r="AA43" s="475">
        <v>0</v>
      </c>
      <c r="AB43" s="475">
        <f t="shared" si="99"/>
        <v>0</v>
      </c>
      <c r="AC43" s="475">
        <f t="shared" si="100"/>
        <v>4153</v>
      </c>
      <c r="AD43" s="70">
        <f t="shared" si="101"/>
        <v>1404</v>
      </c>
      <c r="AE43" s="70">
        <f t="shared" si="102"/>
        <v>83</v>
      </c>
      <c r="AF43" s="475">
        <v>0</v>
      </c>
      <c r="AG43" s="475">
        <v>0</v>
      </c>
      <c r="AH43" s="475">
        <f t="shared" si="103"/>
        <v>0</v>
      </c>
      <c r="AI43" s="475">
        <f t="shared" si="104"/>
        <v>5640</v>
      </c>
      <c r="AJ43" s="476">
        <v>0</v>
      </c>
      <c r="AK43" s="476">
        <v>0</v>
      </c>
      <c r="AL43" s="476">
        <v>0</v>
      </c>
      <c r="AM43" s="476">
        <v>0</v>
      </c>
      <c r="AN43" s="476">
        <v>0.01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0.01</v>
      </c>
      <c r="AT43" s="478">
        <f t="shared" si="105"/>
        <v>0.01</v>
      </c>
      <c r="AU43" s="484">
        <f t="shared" si="17"/>
        <v>1365262</v>
      </c>
      <c r="AV43" s="475">
        <f t="shared" si="18"/>
        <v>1001077</v>
      </c>
      <c r="AW43" s="475">
        <f t="shared" si="106"/>
        <v>0</v>
      </c>
      <c r="AX43" s="475">
        <f t="shared" si="107"/>
        <v>338364</v>
      </c>
      <c r="AY43" s="475">
        <f t="shared" si="107"/>
        <v>20021</v>
      </c>
      <c r="AZ43" s="475">
        <f t="shared" si="19"/>
        <v>5800</v>
      </c>
      <c r="BA43" s="476">
        <f t="shared" si="20"/>
        <v>3.15</v>
      </c>
      <c r="BB43" s="476">
        <f t="shared" si="108"/>
        <v>0</v>
      </c>
      <c r="BC43" s="478">
        <f t="shared" si="108"/>
        <v>3.15</v>
      </c>
    </row>
    <row r="44" spans="1:55" s="234" customFormat="1" ht="12.75" customHeight="1" x14ac:dyDescent="0.2">
      <c r="A44" s="160">
        <v>10</v>
      </c>
      <c r="B44" s="14">
        <v>3461</v>
      </c>
      <c r="C44" s="159">
        <v>691001286</v>
      </c>
      <c r="D44" s="159">
        <v>72048107</v>
      </c>
      <c r="E44" s="235" t="s">
        <v>27</v>
      </c>
      <c r="F44" s="14"/>
      <c r="G44" s="235"/>
      <c r="H44" s="272"/>
      <c r="I44" s="479">
        <v>10355429</v>
      </c>
      <c r="J44" s="479">
        <v>7553536</v>
      </c>
      <c r="K44" s="479">
        <v>34400</v>
      </c>
      <c r="L44" s="479">
        <v>2564723</v>
      </c>
      <c r="M44" s="479">
        <v>151070</v>
      </c>
      <c r="N44" s="479">
        <v>51700</v>
      </c>
      <c r="O44" s="441">
        <v>18.402200000000001</v>
      </c>
      <c r="P44" s="441">
        <v>11.7</v>
      </c>
      <c r="Q44" s="441">
        <v>6.7022000000000013</v>
      </c>
      <c r="R44" s="687">
        <f t="shared" ref="R44:BC44" si="109">SUM(R41:R43)</f>
        <v>0</v>
      </c>
      <c r="S44" s="685">
        <f t="shared" si="109"/>
        <v>0</v>
      </c>
      <c r="T44" s="685">
        <f t="shared" si="109"/>
        <v>4153</v>
      </c>
      <c r="U44" s="685">
        <f t="shared" si="109"/>
        <v>0</v>
      </c>
      <c r="V44" s="685">
        <f t="shared" si="109"/>
        <v>0</v>
      </c>
      <c r="W44" s="685">
        <f t="shared" si="109"/>
        <v>0</v>
      </c>
      <c r="X44" s="685">
        <f t="shared" si="109"/>
        <v>4153</v>
      </c>
      <c r="Y44" s="685">
        <f t="shared" si="109"/>
        <v>0</v>
      </c>
      <c r="Z44" s="685">
        <f t="shared" si="109"/>
        <v>0</v>
      </c>
      <c r="AA44" s="685">
        <f t="shared" si="109"/>
        <v>0</v>
      </c>
      <c r="AB44" s="685">
        <f t="shared" si="109"/>
        <v>0</v>
      </c>
      <c r="AC44" s="685">
        <f t="shared" si="109"/>
        <v>4153</v>
      </c>
      <c r="AD44" s="685">
        <f t="shared" si="109"/>
        <v>1404</v>
      </c>
      <c r="AE44" s="685">
        <f t="shared" si="109"/>
        <v>83</v>
      </c>
      <c r="AF44" s="685">
        <f t="shared" si="109"/>
        <v>0</v>
      </c>
      <c r="AG44" s="685">
        <f t="shared" si="109"/>
        <v>0</v>
      </c>
      <c r="AH44" s="685">
        <f t="shared" si="109"/>
        <v>0</v>
      </c>
      <c r="AI44" s="685">
        <f t="shared" si="109"/>
        <v>5640</v>
      </c>
      <c r="AJ44" s="686">
        <f t="shared" si="109"/>
        <v>0</v>
      </c>
      <c r="AK44" s="686">
        <f t="shared" si="109"/>
        <v>0</v>
      </c>
      <c r="AL44" s="686">
        <f t="shared" si="109"/>
        <v>0</v>
      </c>
      <c r="AM44" s="686">
        <f t="shared" si="109"/>
        <v>0</v>
      </c>
      <c r="AN44" s="686">
        <f t="shared" si="109"/>
        <v>0.01</v>
      </c>
      <c r="AO44" s="686">
        <f t="shared" si="109"/>
        <v>0</v>
      </c>
      <c r="AP44" s="686">
        <f t="shared" si="109"/>
        <v>0</v>
      </c>
      <c r="AQ44" s="686">
        <f t="shared" si="109"/>
        <v>0</v>
      </c>
      <c r="AR44" s="686">
        <f t="shared" si="109"/>
        <v>0</v>
      </c>
      <c r="AS44" s="686">
        <f t="shared" si="109"/>
        <v>0.01</v>
      </c>
      <c r="AT44" s="688">
        <f t="shared" si="109"/>
        <v>0.01</v>
      </c>
      <c r="AU44" s="683">
        <f t="shared" si="109"/>
        <v>10361069</v>
      </c>
      <c r="AV44" s="479">
        <f t="shared" si="109"/>
        <v>7557689</v>
      </c>
      <c r="AW44" s="479">
        <f t="shared" si="109"/>
        <v>34400</v>
      </c>
      <c r="AX44" s="479">
        <f t="shared" si="109"/>
        <v>2566127</v>
      </c>
      <c r="AY44" s="479">
        <f t="shared" si="109"/>
        <v>151153</v>
      </c>
      <c r="AZ44" s="479">
        <f t="shared" si="109"/>
        <v>51700</v>
      </c>
      <c r="BA44" s="441">
        <f t="shared" si="109"/>
        <v>18.412199999999999</v>
      </c>
      <c r="BB44" s="441">
        <f t="shared" si="109"/>
        <v>11.7</v>
      </c>
      <c r="BC44" s="520">
        <f t="shared" si="109"/>
        <v>6.7122000000000011</v>
      </c>
    </row>
    <row r="45" spans="1:55" s="234" customFormat="1" ht="12.75" customHeight="1" x14ac:dyDescent="0.2">
      <c r="A45" s="236">
        <v>11</v>
      </c>
      <c r="B45" s="237">
        <v>3468</v>
      </c>
      <c r="C45" s="237">
        <v>691000891</v>
      </c>
      <c r="D45" s="237">
        <v>72048069</v>
      </c>
      <c r="E45" s="238" t="s">
        <v>28</v>
      </c>
      <c r="F45" s="237">
        <v>3111</v>
      </c>
      <c r="G45" s="238" t="s">
        <v>311</v>
      </c>
      <c r="H45" s="273" t="s">
        <v>277</v>
      </c>
      <c r="I45" s="472">
        <v>9288619</v>
      </c>
      <c r="J45" s="472">
        <v>6739432</v>
      </c>
      <c r="K45" s="472">
        <v>65000</v>
      </c>
      <c r="L45" s="472">
        <v>2299898</v>
      </c>
      <c r="M45" s="472">
        <v>134789</v>
      </c>
      <c r="N45" s="472">
        <v>49500</v>
      </c>
      <c r="O45" s="473">
        <v>15.634500000000001</v>
      </c>
      <c r="P45" s="474">
        <v>11.5</v>
      </c>
      <c r="Q45" s="483">
        <v>4.1345000000000018</v>
      </c>
      <c r="R45" s="485">
        <f t="shared" ref="R45:R47" si="110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ref="AB45:AB47" si="111">SUM(Y45:AA45)</f>
        <v>0</v>
      </c>
      <c r="AC45" s="475">
        <f t="shared" ref="AC45:AC47" si="112">X45+AB45</f>
        <v>0</v>
      </c>
      <c r="AD45" s="70">
        <f t="shared" ref="AD45:AD47" si="113">ROUND((X45+Y45+Z45)*33.8%,0)</f>
        <v>0</v>
      </c>
      <c r="AE45" s="70">
        <f t="shared" ref="AE45:AE47" si="114">ROUND(X45*2%,0)</f>
        <v>0</v>
      </c>
      <c r="AF45" s="475">
        <v>0</v>
      </c>
      <c r="AG45" s="475">
        <v>0</v>
      </c>
      <c r="AH45" s="475">
        <f t="shared" ref="AH45:AH47" si="115">SUM(AF45:AG45)</f>
        <v>0</v>
      </c>
      <c r="AI45" s="475">
        <f t="shared" ref="AI45:AI47" si="116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:AT47" si="117">SUM(AR45:AS45)</f>
        <v>0</v>
      </c>
      <c r="AU45" s="484">
        <f t="shared" si="17"/>
        <v>9288619</v>
      </c>
      <c r="AV45" s="475">
        <f t="shared" si="18"/>
        <v>6739432</v>
      </c>
      <c r="AW45" s="475">
        <f t="shared" ref="AW45:AW47" si="118">K45+AB45</f>
        <v>65000</v>
      </c>
      <c r="AX45" s="475">
        <f t="shared" ref="AX45:AY47" si="119">L45+AD45</f>
        <v>2299898</v>
      </c>
      <c r="AY45" s="475">
        <f t="shared" si="119"/>
        <v>134789</v>
      </c>
      <c r="AZ45" s="475">
        <f t="shared" si="19"/>
        <v>49500</v>
      </c>
      <c r="BA45" s="476">
        <f t="shared" si="20"/>
        <v>15.634500000000001</v>
      </c>
      <c r="BB45" s="476">
        <f t="shared" ref="BB45:BC47" si="120">P45+AR45</f>
        <v>11.5</v>
      </c>
      <c r="BC45" s="478">
        <f t="shared" si="120"/>
        <v>4.1345000000000018</v>
      </c>
    </row>
    <row r="46" spans="1:55" s="234" customFormat="1" x14ac:dyDescent="0.2">
      <c r="A46" s="236">
        <v>11</v>
      </c>
      <c r="B46" s="237">
        <v>3468</v>
      </c>
      <c r="C46" s="237">
        <v>691000891</v>
      </c>
      <c r="D46" s="237">
        <v>72048069</v>
      </c>
      <c r="E46" s="238" t="s">
        <v>28</v>
      </c>
      <c r="F46" s="237">
        <v>3111</v>
      </c>
      <c r="G46" s="238" t="s">
        <v>312</v>
      </c>
      <c r="H46" s="273" t="s">
        <v>278</v>
      </c>
      <c r="I46" s="472">
        <v>1050813</v>
      </c>
      <c r="J46" s="472">
        <v>766983</v>
      </c>
      <c r="K46" s="472">
        <v>0</v>
      </c>
      <c r="L46" s="472">
        <v>259240</v>
      </c>
      <c r="M46" s="472">
        <v>15340</v>
      </c>
      <c r="N46" s="472">
        <v>9250</v>
      </c>
      <c r="O46" s="473">
        <v>2.29</v>
      </c>
      <c r="P46" s="474">
        <v>2.29</v>
      </c>
      <c r="Q46" s="483">
        <v>0</v>
      </c>
      <c r="R46" s="485">
        <f t="shared" si="110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111"/>
        <v>0</v>
      </c>
      <c r="AC46" s="475">
        <f t="shared" si="112"/>
        <v>0</v>
      </c>
      <c r="AD46" s="70">
        <f t="shared" si="113"/>
        <v>0</v>
      </c>
      <c r="AE46" s="70">
        <f t="shared" si="114"/>
        <v>0</v>
      </c>
      <c r="AF46" s="475">
        <v>0</v>
      </c>
      <c r="AG46" s="475">
        <v>0</v>
      </c>
      <c r="AH46" s="475">
        <f t="shared" si="115"/>
        <v>0</v>
      </c>
      <c r="AI46" s="475">
        <f t="shared" si="116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117"/>
        <v>0</v>
      </c>
      <c r="AU46" s="484">
        <f t="shared" si="17"/>
        <v>1050813</v>
      </c>
      <c r="AV46" s="475">
        <f t="shared" si="18"/>
        <v>766983</v>
      </c>
      <c r="AW46" s="475">
        <f t="shared" si="118"/>
        <v>0</v>
      </c>
      <c r="AX46" s="475">
        <f t="shared" si="119"/>
        <v>259240</v>
      </c>
      <c r="AY46" s="475">
        <f t="shared" si="119"/>
        <v>15340</v>
      </c>
      <c r="AZ46" s="475">
        <f t="shared" si="19"/>
        <v>9250</v>
      </c>
      <c r="BA46" s="476">
        <f t="shared" si="20"/>
        <v>2.29</v>
      </c>
      <c r="BB46" s="476">
        <f t="shared" si="120"/>
        <v>2.29</v>
      </c>
      <c r="BC46" s="478">
        <f t="shared" si="120"/>
        <v>0</v>
      </c>
    </row>
    <row r="47" spans="1:55" s="234" customFormat="1" ht="12.75" customHeight="1" x14ac:dyDescent="0.2">
      <c r="A47" s="236">
        <v>11</v>
      </c>
      <c r="B47" s="237">
        <v>3468</v>
      </c>
      <c r="C47" s="237">
        <v>691000891</v>
      </c>
      <c r="D47" s="237">
        <v>72048069</v>
      </c>
      <c r="E47" s="238" t="s">
        <v>28</v>
      </c>
      <c r="F47" s="237">
        <v>3141</v>
      </c>
      <c r="G47" s="238" t="s">
        <v>315</v>
      </c>
      <c r="H47" s="273" t="s">
        <v>278</v>
      </c>
      <c r="I47" s="472">
        <v>945520</v>
      </c>
      <c r="J47" s="472">
        <v>692842</v>
      </c>
      <c r="K47" s="472">
        <v>0</v>
      </c>
      <c r="L47" s="472">
        <v>234181</v>
      </c>
      <c r="M47" s="472">
        <v>13857</v>
      </c>
      <c r="N47" s="472">
        <v>4640</v>
      </c>
      <c r="O47" s="473">
        <v>2.1800000000000002</v>
      </c>
      <c r="P47" s="474">
        <v>0</v>
      </c>
      <c r="Q47" s="483">
        <v>2.1800000000000002</v>
      </c>
      <c r="R47" s="485">
        <f t="shared" si="110"/>
        <v>0</v>
      </c>
      <c r="S47" s="475">
        <v>0</v>
      </c>
      <c r="T47" s="475">
        <v>-1974</v>
      </c>
      <c r="U47" s="475">
        <v>0</v>
      </c>
      <c r="V47" s="475">
        <v>0</v>
      </c>
      <c r="W47" s="475">
        <v>0</v>
      </c>
      <c r="X47" s="475">
        <f>SUM(R47:W47)</f>
        <v>-1974</v>
      </c>
      <c r="Y47" s="475">
        <v>0</v>
      </c>
      <c r="Z47" s="475">
        <v>0</v>
      </c>
      <c r="AA47" s="475">
        <v>0</v>
      </c>
      <c r="AB47" s="475">
        <f t="shared" si="111"/>
        <v>0</v>
      </c>
      <c r="AC47" s="475">
        <f t="shared" si="112"/>
        <v>-1974</v>
      </c>
      <c r="AD47" s="70">
        <f t="shared" si="113"/>
        <v>-667</v>
      </c>
      <c r="AE47" s="70">
        <f t="shared" si="114"/>
        <v>-39</v>
      </c>
      <c r="AF47" s="475">
        <v>0</v>
      </c>
      <c r="AG47" s="475">
        <v>0</v>
      </c>
      <c r="AH47" s="475">
        <f t="shared" si="115"/>
        <v>0</v>
      </c>
      <c r="AI47" s="475">
        <f t="shared" si="116"/>
        <v>-2680</v>
      </c>
      <c r="AJ47" s="476">
        <v>0</v>
      </c>
      <c r="AK47" s="476">
        <v>0</v>
      </c>
      <c r="AL47" s="476">
        <v>0</v>
      </c>
      <c r="AM47" s="476">
        <v>0</v>
      </c>
      <c r="AN47" s="476">
        <v>-0.01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-0.01</v>
      </c>
      <c r="AT47" s="478">
        <f t="shared" si="117"/>
        <v>-0.01</v>
      </c>
      <c r="AU47" s="484">
        <f t="shared" si="17"/>
        <v>942840</v>
      </c>
      <c r="AV47" s="475">
        <f t="shared" si="18"/>
        <v>690868</v>
      </c>
      <c r="AW47" s="475">
        <f t="shared" si="118"/>
        <v>0</v>
      </c>
      <c r="AX47" s="475">
        <f t="shared" si="119"/>
        <v>233514</v>
      </c>
      <c r="AY47" s="475">
        <f t="shared" si="119"/>
        <v>13818</v>
      </c>
      <c r="AZ47" s="475">
        <f t="shared" si="19"/>
        <v>4640</v>
      </c>
      <c r="BA47" s="476">
        <f t="shared" si="20"/>
        <v>2.1700000000000004</v>
      </c>
      <c r="BB47" s="476">
        <f t="shared" si="120"/>
        <v>0</v>
      </c>
      <c r="BC47" s="478">
        <f t="shared" si="120"/>
        <v>2.1700000000000004</v>
      </c>
    </row>
    <row r="48" spans="1:55" s="234" customFormat="1" ht="12.75" customHeight="1" x14ac:dyDescent="0.2">
      <c r="A48" s="160">
        <v>11</v>
      </c>
      <c r="B48" s="14">
        <v>3468</v>
      </c>
      <c r="C48" s="159">
        <v>691000891</v>
      </c>
      <c r="D48" s="159">
        <v>72048069</v>
      </c>
      <c r="E48" s="235" t="s">
        <v>29</v>
      </c>
      <c r="F48" s="14"/>
      <c r="G48" s="235"/>
      <c r="H48" s="272"/>
      <c r="I48" s="479">
        <v>11284952</v>
      </c>
      <c r="J48" s="479">
        <v>8199257</v>
      </c>
      <c r="K48" s="479">
        <v>65000</v>
      </c>
      <c r="L48" s="479">
        <v>2793319</v>
      </c>
      <c r="M48" s="479">
        <v>163986</v>
      </c>
      <c r="N48" s="479">
        <v>63390</v>
      </c>
      <c r="O48" s="441">
        <v>20.104500000000002</v>
      </c>
      <c r="P48" s="441">
        <v>13.79</v>
      </c>
      <c r="Q48" s="441">
        <v>6.3145000000000024</v>
      </c>
      <c r="R48" s="687">
        <f t="shared" ref="R48:BC48" si="121">SUM(R45:R47)</f>
        <v>0</v>
      </c>
      <c r="S48" s="685">
        <f t="shared" si="121"/>
        <v>0</v>
      </c>
      <c r="T48" s="685">
        <f t="shared" si="121"/>
        <v>-1974</v>
      </c>
      <c r="U48" s="685">
        <f t="shared" si="121"/>
        <v>0</v>
      </c>
      <c r="V48" s="685">
        <f t="shared" si="121"/>
        <v>0</v>
      </c>
      <c r="W48" s="685">
        <f t="shared" si="121"/>
        <v>0</v>
      </c>
      <c r="X48" s="685">
        <f t="shared" si="121"/>
        <v>-1974</v>
      </c>
      <c r="Y48" s="685">
        <f t="shared" si="121"/>
        <v>0</v>
      </c>
      <c r="Z48" s="685">
        <f t="shared" si="121"/>
        <v>0</v>
      </c>
      <c r="AA48" s="685">
        <f t="shared" si="121"/>
        <v>0</v>
      </c>
      <c r="AB48" s="685">
        <f t="shared" si="121"/>
        <v>0</v>
      </c>
      <c r="AC48" s="685">
        <f t="shared" si="121"/>
        <v>-1974</v>
      </c>
      <c r="AD48" s="685">
        <f t="shared" si="121"/>
        <v>-667</v>
      </c>
      <c r="AE48" s="685">
        <f t="shared" si="121"/>
        <v>-39</v>
      </c>
      <c r="AF48" s="685">
        <f t="shared" si="121"/>
        <v>0</v>
      </c>
      <c r="AG48" s="685">
        <f t="shared" si="121"/>
        <v>0</v>
      </c>
      <c r="AH48" s="685">
        <f t="shared" si="121"/>
        <v>0</v>
      </c>
      <c r="AI48" s="685">
        <f t="shared" si="121"/>
        <v>-2680</v>
      </c>
      <c r="AJ48" s="686">
        <f t="shared" si="121"/>
        <v>0</v>
      </c>
      <c r="AK48" s="686">
        <f t="shared" si="121"/>
        <v>0</v>
      </c>
      <c r="AL48" s="686">
        <f t="shared" si="121"/>
        <v>0</v>
      </c>
      <c r="AM48" s="686">
        <f t="shared" si="121"/>
        <v>0</v>
      </c>
      <c r="AN48" s="686">
        <f t="shared" si="121"/>
        <v>-0.01</v>
      </c>
      <c r="AO48" s="686">
        <f t="shared" si="121"/>
        <v>0</v>
      </c>
      <c r="AP48" s="686">
        <f t="shared" si="121"/>
        <v>0</v>
      </c>
      <c r="AQ48" s="686">
        <f t="shared" si="121"/>
        <v>0</v>
      </c>
      <c r="AR48" s="686">
        <f t="shared" si="121"/>
        <v>0</v>
      </c>
      <c r="AS48" s="686">
        <f t="shared" si="121"/>
        <v>-0.01</v>
      </c>
      <c r="AT48" s="688">
        <f t="shared" si="121"/>
        <v>-0.01</v>
      </c>
      <c r="AU48" s="683">
        <f t="shared" si="121"/>
        <v>11282272</v>
      </c>
      <c r="AV48" s="479">
        <f t="shared" si="121"/>
        <v>8197283</v>
      </c>
      <c r="AW48" s="479">
        <f t="shared" si="121"/>
        <v>65000</v>
      </c>
      <c r="AX48" s="479">
        <f t="shared" si="121"/>
        <v>2792652</v>
      </c>
      <c r="AY48" s="479">
        <f t="shared" si="121"/>
        <v>163947</v>
      </c>
      <c r="AZ48" s="479">
        <f t="shared" si="121"/>
        <v>63390</v>
      </c>
      <c r="BA48" s="441">
        <f t="shared" si="121"/>
        <v>20.094500000000004</v>
      </c>
      <c r="BB48" s="441">
        <f t="shared" si="121"/>
        <v>13.79</v>
      </c>
      <c r="BC48" s="520">
        <f t="shared" si="121"/>
        <v>6.3045000000000027</v>
      </c>
    </row>
    <row r="49" spans="1:55" s="234" customFormat="1" ht="12.75" customHeight="1" x14ac:dyDescent="0.2">
      <c r="A49" s="236">
        <v>12</v>
      </c>
      <c r="B49" s="237">
        <v>3465</v>
      </c>
      <c r="C49" s="237">
        <v>691001278</v>
      </c>
      <c r="D49" s="237">
        <v>72048131</v>
      </c>
      <c r="E49" s="238" t="s">
        <v>30</v>
      </c>
      <c r="F49" s="237">
        <v>3111</v>
      </c>
      <c r="G49" s="238" t="s">
        <v>311</v>
      </c>
      <c r="H49" s="273" t="s">
        <v>277</v>
      </c>
      <c r="I49" s="472">
        <v>6755239</v>
      </c>
      <c r="J49" s="472">
        <v>4943585</v>
      </c>
      <c r="K49" s="472">
        <v>0</v>
      </c>
      <c r="L49" s="472">
        <v>1670932</v>
      </c>
      <c r="M49" s="472">
        <v>98872</v>
      </c>
      <c r="N49" s="472">
        <v>41850</v>
      </c>
      <c r="O49" s="473">
        <v>10.8682</v>
      </c>
      <c r="P49" s="474">
        <v>8</v>
      </c>
      <c r="Q49" s="483">
        <v>2.8681999999999999</v>
      </c>
      <c r="R49" s="485">
        <f t="shared" ref="R49:R51" si="122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ref="AB49:AB51" si="123">SUM(Y49:AA49)</f>
        <v>0</v>
      </c>
      <c r="AC49" s="475">
        <f t="shared" ref="AC49:AC51" si="124">X49+AB49</f>
        <v>0</v>
      </c>
      <c r="AD49" s="70">
        <f t="shared" ref="AD49:AD51" si="125">ROUND((X49+Y49+Z49)*33.8%,0)</f>
        <v>0</v>
      </c>
      <c r="AE49" s="70">
        <f t="shared" ref="AE49:AE51" si="126">ROUND(X49*2%,0)</f>
        <v>0</v>
      </c>
      <c r="AF49" s="475">
        <v>0</v>
      </c>
      <c r="AG49" s="475">
        <v>0</v>
      </c>
      <c r="AH49" s="475">
        <f t="shared" ref="AH49:AH51" si="127">SUM(AF49:AG49)</f>
        <v>0</v>
      </c>
      <c r="AI49" s="475">
        <f t="shared" ref="AI49:AI51" si="128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1" si="129">SUM(AR49:AS49)</f>
        <v>0</v>
      </c>
      <c r="AU49" s="484">
        <f t="shared" si="17"/>
        <v>6755239</v>
      </c>
      <c r="AV49" s="475">
        <f t="shared" si="18"/>
        <v>4943585</v>
      </c>
      <c r="AW49" s="475">
        <f t="shared" ref="AW49:AW51" si="130">K49+AB49</f>
        <v>0</v>
      </c>
      <c r="AX49" s="475">
        <f t="shared" ref="AX49:AY51" si="131">L49+AD49</f>
        <v>1670932</v>
      </c>
      <c r="AY49" s="475">
        <f t="shared" si="131"/>
        <v>98872</v>
      </c>
      <c r="AZ49" s="475">
        <f t="shared" si="19"/>
        <v>41850</v>
      </c>
      <c r="BA49" s="476">
        <f t="shared" si="20"/>
        <v>10.8682</v>
      </c>
      <c r="BB49" s="476">
        <f t="shared" ref="BB49:BC51" si="132">P49+AR49</f>
        <v>8</v>
      </c>
      <c r="BC49" s="478">
        <f t="shared" si="132"/>
        <v>2.8681999999999999</v>
      </c>
    </row>
    <row r="50" spans="1:55" s="234" customFormat="1" x14ac:dyDescent="0.2">
      <c r="A50" s="236">
        <v>12</v>
      </c>
      <c r="B50" s="237">
        <v>3465</v>
      </c>
      <c r="C50" s="237">
        <v>691001278</v>
      </c>
      <c r="D50" s="237">
        <v>72048131</v>
      </c>
      <c r="E50" s="238" t="s">
        <v>30</v>
      </c>
      <c r="F50" s="237">
        <v>3111</v>
      </c>
      <c r="G50" s="238" t="s">
        <v>312</v>
      </c>
      <c r="H50" s="273" t="s">
        <v>278</v>
      </c>
      <c r="I50" s="472">
        <v>172494</v>
      </c>
      <c r="J50" s="472">
        <v>127021</v>
      </c>
      <c r="K50" s="472">
        <v>0</v>
      </c>
      <c r="L50" s="472">
        <v>42933</v>
      </c>
      <c r="M50" s="472">
        <v>2540</v>
      </c>
      <c r="N50" s="472">
        <v>0</v>
      </c>
      <c r="O50" s="473">
        <v>0.5</v>
      </c>
      <c r="P50" s="474">
        <v>0.5</v>
      </c>
      <c r="Q50" s="483">
        <v>0</v>
      </c>
      <c r="R50" s="485">
        <f t="shared" si="122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>SUM(R50:W50)</f>
        <v>0</v>
      </c>
      <c r="Y50" s="475">
        <v>0</v>
      </c>
      <c r="Z50" s="475">
        <v>0</v>
      </c>
      <c r="AA50" s="475">
        <v>0</v>
      </c>
      <c r="AB50" s="475">
        <f t="shared" si="123"/>
        <v>0</v>
      </c>
      <c r="AC50" s="475">
        <f t="shared" si="124"/>
        <v>0</v>
      </c>
      <c r="AD50" s="70">
        <f t="shared" si="125"/>
        <v>0</v>
      </c>
      <c r="AE50" s="70">
        <f t="shared" si="126"/>
        <v>0</v>
      </c>
      <c r="AF50" s="475">
        <v>0</v>
      </c>
      <c r="AG50" s="475">
        <v>0</v>
      </c>
      <c r="AH50" s="475">
        <f t="shared" si="127"/>
        <v>0</v>
      </c>
      <c r="AI50" s="475">
        <f t="shared" si="128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</v>
      </c>
      <c r="AT50" s="478">
        <f t="shared" si="129"/>
        <v>0</v>
      </c>
      <c r="AU50" s="484">
        <f t="shared" si="17"/>
        <v>172494</v>
      </c>
      <c r="AV50" s="475">
        <f t="shared" si="18"/>
        <v>127021</v>
      </c>
      <c r="AW50" s="475">
        <f t="shared" si="130"/>
        <v>0</v>
      </c>
      <c r="AX50" s="475">
        <f t="shared" si="131"/>
        <v>42933</v>
      </c>
      <c r="AY50" s="475">
        <f t="shared" si="131"/>
        <v>2540</v>
      </c>
      <c r="AZ50" s="475">
        <f t="shared" si="19"/>
        <v>0</v>
      </c>
      <c r="BA50" s="476">
        <f t="shared" si="20"/>
        <v>0.5</v>
      </c>
      <c r="BB50" s="476">
        <f t="shared" si="132"/>
        <v>0.5</v>
      </c>
      <c r="BC50" s="478">
        <f t="shared" si="132"/>
        <v>0</v>
      </c>
    </row>
    <row r="51" spans="1:55" s="234" customFormat="1" ht="12.75" customHeight="1" x14ac:dyDescent="0.2">
      <c r="A51" s="236">
        <v>12</v>
      </c>
      <c r="B51" s="237">
        <v>3465</v>
      </c>
      <c r="C51" s="237">
        <v>691001278</v>
      </c>
      <c r="D51" s="237">
        <v>72048131</v>
      </c>
      <c r="E51" s="238" t="s">
        <v>30</v>
      </c>
      <c r="F51" s="237">
        <v>3141</v>
      </c>
      <c r="G51" s="238" t="s">
        <v>315</v>
      </c>
      <c r="H51" s="273" t="s">
        <v>278</v>
      </c>
      <c r="I51" s="472">
        <v>1049833</v>
      </c>
      <c r="J51" s="472">
        <v>769101</v>
      </c>
      <c r="K51" s="472">
        <v>0</v>
      </c>
      <c r="L51" s="472">
        <v>259956</v>
      </c>
      <c r="M51" s="472">
        <v>15382</v>
      </c>
      <c r="N51" s="472">
        <v>5394</v>
      </c>
      <c r="O51" s="473">
        <v>2.42</v>
      </c>
      <c r="P51" s="474">
        <v>0</v>
      </c>
      <c r="Q51" s="483">
        <v>2.42</v>
      </c>
      <c r="R51" s="485">
        <f t="shared" si="122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23"/>
        <v>0</v>
      </c>
      <c r="AC51" s="475">
        <f t="shared" si="124"/>
        <v>0</v>
      </c>
      <c r="AD51" s="70">
        <f t="shared" si="125"/>
        <v>0</v>
      </c>
      <c r="AE51" s="70">
        <f t="shared" si="126"/>
        <v>0</v>
      </c>
      <c r="AF51" s="475">
        <v>0</v>
      </c>
      <c r="AG51" s="475">
        <v>0</v>
      </c>
      <c r="AH51" s="475">
        <f t="shared" si="127"/>
        <v>0</v>
      </c>
      <c r="AI51" s="475">
        <f t="shared" si="128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129"/>
        <v>0</v>
      </c>
      <c r="AU51" s="484">
        <f t="shared" si="17"/>
        <v>1049833</v>
      </c>
      <c r="AV51" s="475">
        <f t="shared" si="18"/>
        <v>769101</v>
      </c>
      <c r="AW51" s="475">
        <f t="shared" si="130"/>
        <v>0</v>
      </c>
      <c r="AX51" s="475">
        <f t="shared" si="131"/>
        <v>259956</v>
      </c>
      <c r="AY51" s="475">
        <f t="shared" si="131"/>
        <v>15382</v>
      </c>
      <c r="AZ51" s="475">
        <f t="shared" si="19"/>
        <v>5394</v>
      </c>
      <c r="BA51" s="476">
        <f t="shared" si="20"/>
        <v>2.42</v>
      </c>
      <c r="BB51" s="476">
        <f t="shared" si="132"/>
        <v>0</v>
      </c>
      <c r="BC51" s="478">
        <f t="shared" si="132"/>
        <v>2.42</v>
      </c>
    </row>
    <row r="52" spans="1:55" s="234" customFormat="1" ht="12.75" customHeight="1" x14ac:dyDescent="0.2">
      <c r="A52" s="160">
        <v>12</v>
      </c>
      <c r="B52" s="14">
        <v>3465</v>
      </c>
      <c r="C52" s="159">
        <v>691001278</v>
      </c>
      <c r="D52" s="159">
        <v>72048131</v>
      </c>
      <c r="E52" s="235" t="s">
        <v>31</v>
      </c>
      <c r="F52" s="14"/>
      <c r="G52" s="235"/>
      <c r="H52" s="272"/>
      <c r="I52" s="479">
        <v>7977566</v>
      </c>
      <c r="J52" s="479">
        <v>5839707</v>
      </c>
      <c r="K52" s="479">
        <v>0</v>
      </c>
      <c r="L52" s="479">
        <v>1973821</v>
      </c>
      <c r="M52" s="479">
        <v>116794</v>
      </c>
      <c r="N52" s="479">
        <v>47244</v>
      </c>
      <c r="O52" s="441">
        <v>13.7882</v>
      </c>
      <c r="P52" s="441">
        <v>8.5</v>
      </c>
      <c r="Q52" s="441">
        <v>5.2881999999999998</v>
      </c>
      <c r="R52" s="687">
        <f t="shared" ref="R52:BC52" si="133">SUM(R49:R51)</f>
        <v>0</v>
      </c>
      <c r="S52" s="685">
        <f t="shared" si="133"/>
        <v>0</v>
      </c>
      <c r="T52" s="685">
        <f t="shared" si="133"/>
        <v>0</v>
      </c>
      <c r="U52" s="685">
        <f t="shared" si="133"/>
        <v>0</v>
      </c>
      <c r="V52" s="685">
        <f t="shared" si="133"/>
        <v>0</v>
      </c>
      <c r="W52" s="685">
        <f t="shared" si="133"/>
        <v>0</v>
      </c>
      <c r="X52" s="685">
        <f t="shared" si="133"/>
        <v>0</v>
      </c>
      <c r="Y52" s="685">
        <f t="shared" si="133"/>
        <v>0</v>
      </c>
      <c r="Z52" s="685">
        <f t="shared" si="133"/>
        <v>0</v>
      </c>
      <c r="AA52" s="685">
        <f t="shared" si="133"/>
        <v>0</v>
      </c>
      <c r="AB52" s="685">
        <f t="shared" si="133"/>
        <v>0</v>
      </c>
      <c r="AC52" s="685">
        <f t="shared" si="133"/>
        <v>0</v>
      </c>
      <c r="AD52" s="685">
        <f t="shared" si="133"/>
        <v>0</v>
      </c>
      <c r="AE52" s="685">
        <f t="shared" si="133"/>
        <v>0</v>
      </c>
      <c r="AF52" s="685">
        <f t="shared" si="133"/>
        <v>0</v>
      </c>
      <c r="AG52" s="685">
        <f t="shared" si="133"/>
        <v>0</v>
      </c>
      <c r="AH52" s="685">
        <f t="shared" si="133"/>
        <v>0</v>
      </c>
      <c r="AI52" s="685">
        <f t="shared" si="133"/>
        <v>0</v>
      </c>
      <c r="AJ52" s="686">
        <f t="shared" si="133"/>
        <v>0</v>
      </c>
      <c r="AK52" s="686">
        <f t="shared" si="133"/>
        <v>0</v>
      </c>
      <c r="AL52" s="686">
        <f t="shared" si="133"/>
        <v>0</v>
      </c>
      <c r="AM52" s="686">
        <f t="shared" si="133"/>
        <v>0</v>
      </c>
      <c r="AN52" s="686">
        <f t="shared" si="133"/>
        <v>0</v>
      </c>
      <c r="AO52" s="686">
        <f t="shared" si="133"/>
        <v>0</v>
      </c>
      <c r="AP52" s="686">
        <f t="shared" si="133"/>
        <v>0</v>
      </c>
      <c r="AQ52" s="686">
        <f t="shared" si="133"/>
        <v>0</v>
      </c>
      <c r="AR52" s="686">
        <f t="shared" si="133"/>
        <v>0</v>
      </c>
      <c r="AS52" s="686">
        <f t="shared" si="133"/>
        <v>0</v>
      </c>
      <c r="AT52" s="688">
        <f t="shared" si="133"/>
        <v>0</v>
      </c>
      <c r="AU52" s="683">
        <f t="shared" si="133"/>
        <v>7977566</v>
      </c>
      <c r="AV52" s="479">
        <f t="shared" si="133"/>
        <v>5839707</v>
      </c>
      <c r="AW52" s="479">
        <f t="shared" si="133"/>
        <v>0</v>
      </c>
      <c r="AX52" s="479">
        <f t="shared" si="133"/>
        <v>1973821</v>
      </c>
      <c r="AY52" s="479">
        <f t="shared" si="133"/>
        <v>116794</v>
      </c>
      <c r="AZ52" s="479">
        <f t="shared" si="133"/>
        <v>47244</v>
      </c>
      <c r="BA52" s="441">
        <f t="shared" si="133"/>
        <v>13.7882</v>
      </c>
      <c r="BB52" s="441">
        <f t="shared" si="133"/>
        <v>8.5</v>
      </c>
      <c r="BC52" s="520">
        <f t="shared" si="133"/>
        <v>5.2881999999999998</v>
      </c>
    </row>
    <row r="53" spans="1:55" s="234" customFormat="1" ht="12.75" customHeight="1" x14ac:dyDescent="0.2">
      <c r="A53" s="236">
        <v>13</v>
      </c>
      <c r="B53" s="237">
        <v>3473</v>
      </c>
      <c r="C53" s="237">
        <v>691003530</v>
      </c>
      <c r="D53" s="237">
        <v>72550392</v>
      </c>
      <c r="E53" s="238" t="s">
        <v>32</v>
      </c>
      <c r="F53" s="237">
        <v>3111</v>
      </c>
      <c r="G53" s="238" t="s">
        <v>311</v>
      </c>
      <c r="H53" s="273" t="s">
        <v>277</v>
      </c>
      <c r="I53" s="472">
        <v>8303633</v>
      </c>
      <c r="J53" s="472">
        <v>6030216</v>
      </c>
      <c r="K53" s="472">
        <v>50000</v>
      </c>
      <c r="L53" s="472">
        <v>2055113</v>
      </c>
      <c r="M53" s="472">
        <v>120604</v>
      </c>
      <c r="N53" s="472">
        <v>47700</v>
      </c>
      <c r="O53" s="473">
        <v>13.472199999999999</v>
      </c>
      <c r="P53" s="474">
        <v>10</v>
      </c>
      <c r="Q53" s="483">
        <v>3.4721999999999991</v>
      </c>
      <c r="R53" s="485">
        <f t="shared" ref="R53:R54" si="134">Y53*-1</f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ref="AB53:AB54" si="135">SUM(Y53:AA53)</f>
        <v>0</v>
      </c>
      <c r="AC53" s="475">
        <f t="shared" ref="AC53:AC54" si="136">X53+AB53</f>
        <v>0</v>
      </c>
      <c r="AD53" s="70">
        <f t="shared" ref="AD53:AD54" si="137">ROUND((X53+Y53+Z53)*33.8%,0)</f>
        <v>0</v>
      </c>
      <c r="AE53" s="70">
        <f t="shared" ref="AE53:AE54" si="138">ROUND(X53*2%,0)</f>
        <v>0</v>
      </c>
      <c r="AF53" s="475">
        <v>0</v>
      </c>
      <c r="AG53" s="475">
        <v>0</v>
      </c>
      <c r="AH53" s="475">
        <f t="shared" ref="AH53:AH54" si="139">SUM(AF53:AG53)</f>
        <v>0</v>
      </c>
      <c r="AI53" s="475">
        <f t="shared" ref="AI53:AI54" si="140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ref="AT53:AT54" si="141">SUM(AR53:AS53)</f>
        <v>0</v>
      </c>
      <c r="AU53" s="484">
        <f t="shared" si="17"/>
        <v>8303633</v>
      </c>
      <c r="AV53" s="475">
        <f t="shared" si="18"/>
        <v>6030216</v>
      </c>
      <c r="AW53" s="475">
        <f t="shared" ref="AW53:AW54" si="142">K53+AB53</f>
        <v>50000</v>
      </c>
      <c r="AX53" s="475">
        <f>L53+AD53</f>
        <v>2055113</v>
      </c>
      <c r="AY53" s="475">
        <f>M53+AE53</f>
        <v>120604</v>
      </c>
      <c r="AZ53" s="475">
        <f t="shared" si="19"/>
        <v>47700</v>
      </c>
      <c r="BA53" s="476">
        <f t="shared" si="20"/>
        <v>13.472199999999999</v>
      </c>
      <c r="BB53" s="476">
        <f>P53+AR53</f>
        <v>10</v>
      </c>
      <c r="BC53" s="478">
        <f>Q53+AS53</f>
        <v>3.4721999999999991</v>
      </c>
    </row>
    <row r="54" spans="1:55" s="234" customFormat="1" ht="12.75" customHeight="1" x14ac:dyDescent="0.2">
      <c r="A54" s="236">
        <v>13</v>
      </c>
      <c r="B54" s="237">
        <v>3473</v>
      </c>
      <c r="C54" s="237">
        <v>691003530</v>
      </c>
      <c r="D54" s="237">
        <v>72550392</v>
      </c>
      <c r="E54" s="238" t="s">
        <v>33</v>
      </c>
      <c r="F54" s="237">
        <v>3141</v>
      </c>
      <c r="G54" s="238" t="s">
        <v>315</v>
      </c>
      <c r="H54" s="273" t="s">
        <v>278</v>
      </c>
      <c r="I54" s="472">
        <v>1154084</v>
      </c>
      <c r="J54" s="472">
        <v>845314</v>
      </c>
      <c r="K54" s="472">
        <v>0</v>
      </c>
      <c r="L54" s="472">
        <v>285716</v>
      </c>
      <c r="M54" s="472">
        <v>16906</v>
      </c>
      <c r="N54" s="472">
        <v>6148</v>
      </c>
      <c r="O54" s="473">
        <v>2.66</v>
      </c>
      <c r="P54" s="474">
        <v>0</v>
      </c>
      <c r="Q54" s="483">
        <v>2.66</v>
      </c>
      <c r="R54" s="485">
        <f t="shared" si="134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35"/>
        <v>0</v>
      </c>
      <c r="AC54" s="475">
        <f t="shared" si="136"/>
        <v>0</v>
      </c>
      <c r="AD54" s="70">
        <f t="shared" si="137"/>
        <v>0</v>
      </c>
      <c r="AE54" s="70">
        <f t="shared" si="138"/>
        <v>0</v>
      </c>
      <c r="AF54" s="475">
        <v>0</v>
      </c>
      <c r="AG54" s="475">
        <v>0</v>
      </c>
      <c r="AH54" s="475">
        <f t="shared" si="139"/>
        <v>0</v>
      </c>
      <c r="AI54" s="475">
        <f t="shared" si="140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41"/>
        <v>0</v>
      </c>
      <c r="AU54" s="484">
        <f t="shared" si="17"/>
        <v>1154084</v>
      </c>
      <c r="AV54" s="475">
        <f t="shared" si="18"/>
        <v>845314</v>
      </c>
      <c r="AW54" s="475">
        <f t="shared" si="142"/>
        <v>0</v>
      </c>
      <c r="AX54" s="475">
        <f>L54+AD54</f>
        <v>285716</v>
      </c>
      <c r="AY54" s="475">
        <f>M54+AE54</f>
        <v>16906</v>
      </c>
      <c r="AZ54" s="475">
        <f t="shared" si="19"/>
        <v>6148</v>
      </c>
      <c r="BA54" s="476">
        <f t="shared" si="20"/>
        <v>2.66</v>
      </c>
      <c r="BB54" s="476">
        <f>P54+AR54</f>
        <v>0</v>
      </c>
      <c r="BC54" s="478">
        <f>Q54+AS54</f>
        <v>2.66</v>
      </c>
    </row>
    <row r="55" spans="1:55" s="234" customFormat="1" ht="12.75" customHeight="1" x14ac:dyDescent="0.2">
      <c r="A55" s="160">
        <v>13</v>
      </c>
      <c r="B55" s="14">
        <v>3473</v>
      </c>
      <c r="C55" s="159">
        <v>691003530</v>
      </c>
      <c r="D55" s="159">
        <v>72550392</v>
      </c>
      <c r="E55" s="235" t="s">
        <v>34</v>
      </c>
      <c r="F55" s="14"/>
      <c r="G55" s="235"/>
      <c r="H55" s="272"/>
      <c r="I55" s="479">
        <v>9457717</v>
      </c>
      <c r="J55" s="479">
        <v>6875530</v>
      </c>
      <c r="K55" s="479">
        <v>50000</v>
      </c>
      <c r="L55" s="479">
        <v>2340829</v>
      </c>
      <c r="M55" s="479">
        <v>137510</v>
      </c>
      <c r="N55" s="479">
        <v>53848</v>
      </c>
      <c r="O55" s="441">
        <v>16.132199999999997</v>
      </c>
      <c r="P55" s="441">
        <v>10</v>
      </c>
      <c r="Q55" s="441">
        <v>6.1321999999999992</v>
      </c>
      <c r="R55" s="687">
        <f t="shared" ref="R55:BC55" si="143">SUM(R53:R54)</f>
        <v>0</v>
      </c>
      <c r="S55" s="685">
        <f t="shared" si="143"/>
        <v>0</v>
      </c>
      <c r="T55" s="685">
        <f t="shared" si="143"/>
        <v>0</v>
      </c>
      <c r="U55" s="685">
        <f t="shared" si="143"/>
        <v>0</v>
      </c>
      <c r="V55" s="685">
        <f t="shared" si="143"/>
        <v>0</v>
      </c>
      <c r="W55" s="685">
        <f t="shared" si="143"/>
        <v>0</v>
      </c>
      <c r="X55" s="685">
        <f t="shared" si="143"/>
        <v>0</v>
      </c>
      <c r="Y55" s="685">
        <f t="shared" si="143"/>
        <v>0</v>
      </c>
      <c r="Z55" s="685">
        <f t="shared" si="143"/>
        <v>0</v>
      </c>
      <c r="AA55" s="685">
        <f t="shared" si="143"/>
        <v>0</v>
      </c>
      <c r="AB55" s="685">
        <f t="shared" si="143"/>
        <v>0</v>
      </c>
      <c r="AC55" s="685">
        <f t="shared" si="143"/>
        <v>0</v>
      </c>
      <c r="AD55" s="685">
        <f t="shared" si="143"/>
        <v>0</v>
      </c>
      <c r="AE55" s="685">
        <f t="shared" si="143"/>
        <v>0</v>
      </c>
      <c r="AF55" s="685">
        <f t="shared" si="143"/>
        <v>0</v>
      </c>
      <c r="AG55" s="685">
        <f t="shared" si="143"/>
        <v>0</v>
      </c>
      <c r="AH55" s="685">
        <f t="shared" si="143"/>
        <v>0</v>
      </c>
      <c r="AI55" s="685">
        <f t="shared" si="143"/>
        <v>0</v>
      </c>
      <c r="AJ55" s="686">
        <f t="shared" si="143"/>
        <v>0</v>
      </c>
      <c r="AK55" s="686">
        <f t="shared" si="143"/>
        <v>0</v>
      </c>
      <c r="AL55" s="686">
        <f t="shared" si="143"/>
        <v>0</v>
      </c>
      <c r="AM55" s="686">
        <f t="shared" si="143"/>
        <v>0</v>
      </c>
      <c r="AN55" s="686">
        <f t="shared" si="143"/>
        <v>0</v>
      </c>
      <c r="AO55" s="686">
        <f t="shared" si="143"/>
        <v>0</v>
      </c>
      <c r="AP55" s="686">
        <f t="shared" si="143"/>
        <v>0</v>
      </c>
      <c r="AQ55" s="686">
        <f t="shared" si="143"/>
        <v>0</v>
      </c>
      <c r="AR55" s="686">
        <f t="shared" si="143"/>
        <v>0</v>
      </c>
      <c r="AS55" s="686">
        <f t="shared" si="143"/>
        <v>0</v>
      </c>
      <c r="AT55" s="688">
        <f t="shared" si="143"/>
        <v>0</v>
      </c>
      <c r="AU55" s="683">
        <f t="shared" si="143"/>
        <v>9457717</v>
      </c>
      <c r="AV55" s="479">
        <f t="shared" si="143"/>
        <v>6875530</v>
      </c>
      <c r="AW55" s="479">
        <f t="shared" si="143"/>
        <v>50000</v>
      </c>
      <c r="AX55" s="479">
        <f t="shared" si="143"/>
        <v>2340829</v>
      </c>
      <c r="AY55" s="479">
        <f t="shared" si="143"/>
        <v>137510</v>
      </c>
      <c r="AZ55" s="479">
        <f t="shared" si="143"/>
        <v>53848</v>
      </c>
      <c r="BA55" s="441">
        <f t="shared" si="143"/>
        <v>16.132199999999997</v>
      </c>
      <c r="BB55" s="441">
        <f t="shared" si="143"/>
        <v>10</v>
      </c>
      <c r="BC55" s="520">
        <f t="shared" si="143"/>
        <v>6.1321999999999992</v>
      </c>
    </row>
    <row r="56" spans="1:55" s="234" customFormat="1" ht="12.75" customHeight="1" x14ac:dyDescent="0.2">
      <c r="A56" s="236">
        <v>14</v>
      </c>
      <c r="B56" s="237">
        <v>3474</v>
      </c>
      <c r="C56" s="237">
        <v>691003505</v>
      </c>
      <c r="D56" s="237">
        <v>72550406</v>
      </c>
      <c r="E56" s="238" t="s">
        <v>35</v>
      </c>
      <c r="F56" s="237">
        <v>3111</v>
      </c>
      <c r="G56" s="238" t="s">
        <v>311</v>
      </c>
      <c r="H56" s="273" t="s">
        <v>277</v>
      </c>
      <c r="I56" s="472">
        <v>4959017</v>
      </c>
      <c r="J56" s="472">
        <v>3601908</v>
      </c>
      <c r="K56" s="472">
        <v>27000</v>
      </c>
      <c r="L56" s="472">
        <v>1226571</v>
      </c>
      <c r="M56" s="472">
        <v>72038</v>
      </c>
      <c r="N56" s="472">
        <v>31500</v>
      </c>
      <c r="O56" s="473">
        <v>8.2960999999999991</v>
      </c>
      <c r="P56" s="474">
        <v>6.2419000000000002</v>
      </c>
      <c r="Q56" s="483">
        <v>2.0541999999999994</v>
      </c>
      <c r="R56" s="485">
        <f t="shared" ref="R56:R58" si="144">Y56*-1</f>
        <v>0</v>
      </c>
      <c r="S56" s="475">
        <v>0</v>
      </c>
      <c r="T56" s="475">
        <v>0</v>
      </c>
      <c r="U56" s="475">
        <v>0</v>
      </c>
      <c r="V56" s="475">
        <v>-57732</v>
      </c>
      <c r="W56" s="475">
        <v>0</v>
      </c>
      <c r="X56" s="475">
        <f>SUM(R56:W56)</f>
        <v>-57732</v>
      </c>
      <c r="Y56" s="475">
        <v>0</v>
      </c>
      <c r="Z56" s="475">
        <v>0</v>
      </c>
      <c r="AA56" s="475">
        <v>0</v>
      </c>
      <c r="AB56" s="475">
        <f t="shared" ref="AB56:AB58" si="145">SUM(Y56:AA56)</f>
        <v>0</v>
      </c>
      <c r="AC56" s="475">
        <f t="shared" ref="AC56:AC58" si="146">X56+AB56</f>
        <v>-57732</v>
      </c>
      <c r="AD56" s="70">
        <f t="shared" ref="AD56:AD58" si="147">ROUND((X56+Y56+Z56)*33.8%,0)</f>
        <v>-19513</v>
      </c>
      <c r="AE56" s="70">
        <f t="shared" ref="AE56:AE58" si="148">ROUND(X56*2%,0)</f>
        <v>-1155</v>
      </c>
      <c r="AF56" s="475">
        <v>0</v>
      </c>
      <c r="AG56" s="475">
        <v>78400</v>
      </c>
      <c r="AH56" s="475">
        <f t="shared" ref="AH56:AH58" si="149">SUM(AF56:AG56)</f>
        <v>78400</v>
      </c>
      <c r="AI56" s="475">
        <f t="shared" ref="AI56:AI58" si="150">AC56+AD56+AE56+AH56</f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ref="AT56:AT58" si="151">SUM(AR56:AS56)</f>
        <v>0</v>
      </c>
      <c r="AU56" s="484">
        <f t="shared" si="17"/>
        <v>4959017</v>
      </c>
      <c r="AV56" s="475">
        <f t="shared" si="18"/>
        <v>3544176</v>
      </c>
      <c r="AW56" s="475">
        <f t="shared" ref="AW56:AW58" si="152">K56+AB56</f>
        <v>27000</v>
      </c>
      <c r="AX56" s="475">
        <f t="shared" ref="AX56:AY58" si="153">L56+AD56</f>
        <v>1207058</v>
      </c>
      <c r="AY56" s="475">
        <f t="shared" si="153"/>
        <v>70883</v>
      </c>
      <c r="AZ56" s="475">
        <f t="shared" si="19"/>
        <v>109900</v>
      </c>
      <c r="BA56" s="476">
        <f t="shared" si="20"/>
        <v>8.2960999999999991</v>
      </c>
      <c r="BB56" s="476">
        <f t="shared" ref="BB56:BC58" si="154">P56+AR56</f>
        <v>6.2419000000000002</v>
      </c>
      <c r="BC56" s="478">
        <f t="shared" si="154"/>
        <v>2.0541999999999994</v>
      </c>
    </row>
    <row r="57" spans="1:55" s="234" customFormat="1" ht="12.75" customHeight="1" x14ac:dyDescent="0.2">
      <c r="A57" s="236">
        <v>14</v>
      </c>
      <c r="B57" s="237">
        <v>3474</v>
      </c>
      <c r="C57" s="237">
        <v>691003505</v>
      </c>
      <c r="D57" s="237">
        <v>72550406</v>
      </c>
      <c r="E57" s="238" t="s">
        <v>35</v>
      </c>
      <c r="F57" s="237">
        <v>3111</v>
      </c>
      <c r="G57" s="238" t="s">
        <v>312</v>
      </c>
      <c r="H57" s="273" t="s">
        <v>278</v>
      </c>
      <c r="I57" s="472">
        <v>352854</v>
      </c>
      <c r="J57" s="472">
        <v>259833</v>
      </c>
      <c r="K57" s="472">
        <v>0</v>
      </c>
      <c r="L57" s="472">
        <v>87824</v>
      </c>
      <c r="M57" s="472">
        <v>5197</v>
      </c>
      <c r="N57" s="472">
        <v>0</v>
      </c>
      <c r="O57" s="473">
        <v>0.75</v>
      </c>
      <c r="P57" s="474">
        <v>0.75</v>
      </c>
      <c r="Q57" s="483">
        <v>0</v>
      </c>
      <c r="R57" s="485">
        <f t="shared" si="144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45"/>
        <v>0</v>
      </c>
      <c r="AC57" s="475">
        <f t="shared" si="146"/>
        <v>0</v>
      </c>
      <c r="AD57" s="70">
        <f t="shared" si="147"/>
        <v>0</v>
      </c>
      <c r="AE57" s="70">
        <f t="shared" si="148"/>
        <v>0</v>
      </c>
      <c r="AF57" s="475">
        <v>0</v>
      </c>
      <c r="AG57" s="475">
        <v>0</v>
      </c>
      <c r="AH57" s="475">
        <f t="shared" si="149"/>
        <v>0</v>
      </c>
      <c r="AI57" s="475">
        <f t="shared" si="150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151"/>
        <v>0</v>
      </c>
      <c r="AU57" s="484">
        <f t="shared" si="17"/>
        <v>352854</v>
      </c>
      <c r="AV57" s="475">
        <f t="shared" si="18"/>
        <v>259833</v>
      </c>
      <c r="AW57" s="475">
        <f t="shared" si="152"/>
        <v>0</v>
      </c>
      <c r="AX57" s="475">
        <f t="shared" si="153"/>
        <v>87824</v>
      </c>
      <c r="AY57" s="475">
        <f t="shared" si="153"/>
        <v>5197</v>
      </c>
      <c r="AZ57" s="475">
        <f t="shared" si="19"/>
        <v>0</v>
      </c>
      <c r="BA57" s="476">
        <f t="shared" si="20"/>
        <v>0.75</v>
      </c>
      <c r="BB57" s="476">
        <f t="shared" si="154"/>
        <v>0.75</v>
      </c>
      <c r="BC57" s="478">
        <f t="shared" si="154"/>
        <v>0</v>
      </c>
    </row>
    <row r="58" spans="1:55" s="234" customFormat="1" ht="12.75" customHeight="1" x14ac:dyDescent="0.2">
      <c r="A58" s="236">
        <v>14</v>
      </c>
      <c r="B58" s="237">
        <v>3474</v>
      </c>
      <c r="C58" s="237">
        <v>691003505</v>
      </c>
      <c r="D58" s="237">
        <v>72550406</v>
      </c>
      <c r="E58" s="238" t="s">
        <v>36</v>
      </c>
      <c r="F58" s="237">
        <v>3141</v>
      </c>
      <c r="G58" s="238" t="s">
        <v>315</v>
      </c>
      <c r="H58" s="273" t="s">
        <v>278</v>
      </c>
      <c r="I58" s="472">
        <v>846771</v>
      </c>
      <c r="J58" s="472">
        <v>620638</v>
      </c>
      <c r="K58" s="472">
        <v>0</v>
      </c>
      <c r="L58" s="472">
        <v>209776</v>
      </c>
      <c r="M58" s="472">
        <v>12413</v>
      </c>
      <c r="N58" s="472">
        <v>3944</v>
      </c>
      <c r="O58" s="473">
        <v>1.95</v>
      </c>
      <c r="P58" s="474">
        <v>0</v>
      </c>
      <c r="Q58" s="483">
        <v>1.95</v>
      </c>
      <c r="R58" s="485">
        <f t="shared" si="144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>SUM(R58:W58)</f>
        <v>0</v>
      </c>
      <c r="Y58" s="475">
        <v>0</v>
      </c>
      <c r="Z58" s="475">
        <v>0</v>
      </c>
      <c r="AA58" s="475">
        <v>0</v>
      </c>
      <c r="AB58" s="475">
        <f t="shared" si="145"/>
        <v>0</v>
      </c>
      <c r="AC58" s="475">
        <f t="shared" si="146"/>
        <v>0</v>
      </c>
      <c r="AD58" s="70">
        <f t="shared" si="147"/>
        <v>0</v>
      </c>
      <c r="AE58" s="70">
        <f t="shared" si="148"/>
        <v>0</v>
      </c>
      <c r="AF58" s="475">
        <v>0</v>
      </c>
      <c r="AG58" s="475">
        <v>0</v>
      </c>
      <c r="AH58" s="475">
        <f t="shared" si="149"/>
        <v>0</v>
      </c>
      <c r="AI58" s="475">
        <f t="shared" si="150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>AJ58+AL58+AM58+AO58+AP58</f>
        <v>0</v>
      </c>
      <c r="AS58" s="476">
        <f>AK58+AN58+AQ58</f>
        <v>0</v>
      </c>
      <c r="AT58" s="478">
        <f t="shared" si="151"/>
        <v>0</v>
      </c>
      <c r="AU58" s="484">
        <f t="shared" si="17"/>
        <v>846771</v>
      </c>
      <c r="AV58" s="475">
        <f t="shared" si="18"/>
        <v>620638</v>
      </c>
      <c r="AW58" s="475">
        <f t="shared" si="152"/>
        <v>0</v>
      </c>
      <c r="AX58" s="475">
        <f t="shared" si="153"/>
        <v>209776</v>
      </c>
      <c r="AY58" s="475">
        <f t="shared" si="153"/>
        <v>12413</v>
      </c>
      <c r="AZ58" s="475">
        <f t="shared" si="19"/>
        <v>3944</v>
      </c>
      <c r="BA58" s="476">
        <f t="shared" si="20"/>
        <v>1.95</v>
      </c>
      <c r="BB58" s="476">
        <f t="shared" si="154"/>
        <v>0</v>
      </c>
      <c r="BC58" s="478">
        <f t="shared" si="154"/>
        <v>1.95</v>
      </c>
    </row>
    <row r="59" spans="1:55" s="234" customFormat="1" ht="12.75" customHeight="1" x14ac:dyDescent="0.2">
      <c r="A59" s="160">
        <v>14</v>
      </c>
      <c r="B59" s="14">
        <v>3474</v>
      </c>
      <c r="C59" s="159">
        <v>691003505</v>
      </c>
      <c r="D59" s="159">
        <v>72550406</v>
      </c>
      <c r="E59" s="235" t="s">
        <v>37</v>
      </c>
      <c r="F59" s="14"/>
      <c r="G59" s="235"/>
      <c r="H59" s="272"/>
      <c r="I59" s="479">
        <v>6158642</v>
      </c>
      <c r="J59" s="479">
        <v>4482379</v>
      </c>
      <c r="K59" s="479">
        <v>27000</v>
      </c>
      <c r="L59" s="479">
        <v>1524171</v>
      </c>
      <c r="M59" s="479">
        <v>89648</v>
      </c>
      <c r="N59" s="479">
        <v>35444</v>
      </c>
      <c r="O59" s="441">
        <v>10.996099999999998</v>
      </c>
      <c r="P59" s="441">
        <v>6.9919000000000002</v>
      </c>
      <c r="Q59" s="441">
        <v>4.0041999999999991</v>
      </c>
      <c r="R59" s="687">
        <f t="shared" ref="R59:BC59" si="155">SUM(R56:R58)</f>
        <v>0</v>
      </c>
      <c r="S59" s="685">
        <f t="shared" si="155"/>
        <v>0</v>
      </c>
      <c r="T59" s="685">
        <f t="shared" si="155"/>
        <v>0</v>
      </c>
      <c r="U59" s="685">
        <f t="shared" si="155"/>
        <v>0</v>
      </c>
      <c r="V59" s="685">
        <f t="shared" si="155"/>
        <v>-57732</v>
      </c>
      <c r="W59" s="685">
        <f t="shared" si="155"/>
        <v>0</v>
      </c>
      <c r="X59" s="685">
        <f t="shared" si="155"/>
        <v>-57732</v>
      </c>
      <c r="Y59" s="685">
        <f t="shared" si="155"/>
        <v>0</v>
      </c>
      <c r="Z59" s="685">
        <f t="shared" si="155"/>
        <v>0</v>
      </c>
      <c r="AA59" s="685">
        <f t="shared" si="155"/>
        <v>0</v>
      </c>
      <c r="AB59" s="685">
        <f t="shared" si="155"/>
        <v>0</v>
      </c>
      <c r="AC59" s="685">
        <f t="shared" si="155"/>
        <v>-57732</v>
      </c>
      <c r="AD59" s="685">
        <f t="shared" si="155"/>
        <v>-19513</v>
      </c>
      <c r="AE59" s="685">
        <f t="shared" si="155"/>
        <v>-1155</v>
      </c>
      <c r="AF59" s="685">
        <f t="shared" si="155"/>
        <v>0</v>
      </c>
      <c r="AG59" s="685">
        <f t="shared" si="155"/>
        <v>78400</v>
      </c>
      <c r="AH59" s="685">
        <f t="shared" si="155"/>
        <v>78400</v>
      </c>
      <c r="AI59" s="685">
        <f t="shared" si="155"/>
        <v>0</v>
      </c>
      <c r="AJ59" s="686">
        <f t="shared" si="155"/>
        <v>0</v>
      </c>
      <c r="AK59" s="686">
        <f t="shared" si="155"/>
        <v>0</v>
      </c>
      <c r="AL59" s="686">
        <f t="shared" si="155"/>
        <v>0</v>
      </c>
      <c r="AM59" s="686">
        <f t="shared" si="155"/>
        <v>0</v>
      </c>
      <c r="AN59" s="686">
        <f t="shared" si="155"/>
        <v>0</v>
      </c>
      <c r="AO59" s="686">
        <f t="shared" si="155"/>
        <v>0</v>
      </c>
      <c r="AP59" s="686">
        <f t="shared" si="155"/>
        <v>0</v>
      </c>
      <c r="AQ59" s="686">
        <f t="shared" si="155"/>
        <v>0</v>
      </c>
      <c r="AR59" s="686">
        <f t="shared" si="155"/>
        <v>0</v>
      </c>
      <c r="AS59" s="686">
        <f t="shared" si="155"/>
        <v>0</v>
      </c>
      <c r="AT59" s="688">
        <f t="shared" si="155"/>
        <v>0</v>
      </c>
      <c r="AU59" s="683">
        <f t="shared" si="155"/>
        <v>6158642</v>
      </c>
      <c r="AV59" s="479">
        <f t="shared" si="155"/>
        <v>4424647</v>
      </c>
      <c r="AW59" s="479">
        <f t="shared" si="155"/>
        <v>27000</v>
      </c>
      <c r="AX59" s="479">
        <f t="shared" si="155"/>
        <v>1504658</v>
      </c>
      <c r="AY59" s="479">
        <f t="shared" si="155"/>
        <v>88493</v>
      </c>
      <c r="AZ59" s="479">
        <f t="shared" si="155"/>
        <v>113844</v>
      </c>
      <c r="BA59" s="441">
        <f t="shared" si="155"/>
        <v>10.996099999999998</v>
      </c>
      <c r="BB59" s="441">
        <f t="shared" si="155"/>
        <v>6.9919000000000002</v>
      </c>
      <c r="BC59" s="520">
        <f t="shared" si="155"/>
        <v>4.0041999999999991</v>
      </c>
    </row>
    <row r="60" spans="1:55" s="234" customFormat="1" ht="12.75" customHeight="1" x14ac:dyDescent="0.2">
      <c r="A60" s="236">
        <v>15</v>
      </c>
      <c r="B60" s="237">
        <v>3466</v>
      </c>
      <c r="C60" s="237">
        <v>691001260</v>
      </c>
      <c r="D60" s="237">
        <v>72048085</v>
      </c>
      <c r="E60" s="238" t="s">
        <v>38</v>
      </c>
      <c r="F60" s="237">
        <v>3111</v>
      </c>
      <c r="G60" s="238" t="s">
        <v>311</v>
      </c>
      <c r="H60" s="273" t="s">
        <v>277</v>
      </c>
      <c r="I60" s="472">
        <v>5166913</v>
      </c>
      <c r="J60" s="472">
        <v>3752374</v>
      </c>
      <c r="K60" s="472">
        <v>30000</v>
      </c>
      <c r="L60" s="472">
        <v>1278442</v>
      </c>
      <c r="M60" s="472">
        <v>75047</v>
      </c>
      <c r="N60" s="472">
        <v>31050</v>
      </c>
      <c r="O60" s="473">
        <v>7.9842000000000004</v>
      </c>
      <c r="P60" s="474">
        <v>6</v>
      </c>
      <c r="Q60" s="483">
        <v>1.9841999999999997</v>
      </c>
      <c r="R60" s="485">
        <f t="shared" ref="R60:R62" si="156">Y60*-1</f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>SUM(R60:W60)</f>
        <v>0</v>
      </c>
      <c r="Y60" s="475">
        <v>0</v>
      </c>
      <c r="Z60" s="475">
        <v>0</v>
      </c>
      <c r="AA60" s="475">
        <v>0</v>
      </c>
      <c r="AB60" s="475">
        <f t="shared" ref="AB60:AB62" si="157">SUM(Y60:AA60)</f>
        <v>0</v>
      </c>
      <c r="AC60" s="475">
        <f t="shared" ref="AC60:AC62" si="158">X60+AB60</f>
        <v>0</v>
      </c>
      <c r="AD60" s="70">
        <f t="shared" ref="AD60:AD62" si="159">ROUND((X60+Y60+Z60)*33.8%,0)</f>
        <v>0</v>
      </c>
      <c r="AE60" s="70">
        <f t="shared" ref="AE60:AE62" si="160">ROUND(X60*2%,0)</f>
        <v>0</v>
      </c>
      <c r="AF60" s="475">
        <v>0</v>
      </c>
      <c r="AG60" s="475">
        <v>0</v>
      </c>
      <c r="AH60" s="475">
        <f t="shared" ref="AH60:AH62" si="161">SUM(AF60:AG60)</f>
        <v>0</v>
      </c>
      <c r="AI60" s="475">
        <f t="shared" ref="AI60:AI62" si="162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>AJ60+AL60+AM60+AO60+AP60</f>
        <v>0</v>
      </c>
      <c r="AS60" s="476">
        <f>AK60+AN60+AQ60</f>
        <v>0</v>
      </c>
      <c r="AT60" s="478">
        <f t="shared" ref="AT60:AT62" si="163">SUM(AR60:AS60)</f>
        <v>0</v>
      </c>
      <c r="AU60" s="484">
        <f t="shared" si="17"/>
        <v>5166913</v>
      </c>
      <c r="AV60" s="475">
        <f t="shared" si="18"/>
        <v>3752374</v>
      </c>
      <c r="AW60" s="475">
        <f t="shared" ref="AW60:AW62" si="164">K60+AB60</f>
        <v>30000</v>
      </c>
      <c r="AX60" s="475">
        <f t="shared" ref="AX60:AY62" si="165">L60+AD60</f>
        <v>1278442</v>
      </c>
      <c r="AY60" s="475">
        <f t="shared" si="165"/>
        <v>75047</v>
      </c>
      <c r="AZ60" s="475">
        <f t="shared" si="19"/>
        <v>31050</v>
      </c>
      <c r="BA60" s="476">
        <f t="shared" si="20"/>
        <v>7.9842000000000004</v>
      </c>
      <c r="BB60" s="476">
        <f t="shared" ref="BB60:BC62" si="166">P60+AR60</f>
        <v>6</v>
      </c>
      <c r="BC60" s="478">
        <f t="shared" si="166"/>
        <v>1.9841999999999997</v>
      </c>
    </row>
    <row r="61" spans="1:55" s="234" customFormat="1" x14ac:dyDescent="0.2">
      <c r="A61" s="236">
        <v>15</v>
      </c>
      <c r="B61" s="237">
        <v>3466</v>
      </c>
      <c r="C61" s="237">
        <v>691001260</v>
      </c>
      <c r="D61" s="237">
        <v>72048085</v>
      </c>
      <c r="E61" s="238" t="s">
        <v>38</v>
      </c>
      <c r="F61" s="237">
        <v>3111</v>
      </c>
      <c r="G61" s="238" t="s">
        <v>312</v>
      </c>
      <c r="H61" s="273" t="s">
        <v>278</v>
      </c>
      <c r="I61" s="472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56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>SUM(R61:W61)</f>
        <v>0</v>
      </c>
      <c r="Y61" s="475">
        <v>0</v>
      </c>
      <c r="Z61" s="475">
        <v>0</v>
      </c>
      <c r="AA61" s="475">
        <v>0</v>
      </c>
      <c r="AB61" s="475">
        <f t="shared" si="157"/>
        <v>0</v>
      </c>
      <c r="AC61" s="475">
        <f t="shared" si="158"/>
        <v>0</v>
      </c>
      <c r="AD61" s="70">
        <f t="shared" si="159"/>
        <v>0</v>
      </c>
      <c r="AE61" s="70">
        <f t="shared" si="160"/>
        <v>0</v>
      </c>
      <c r="AF61" s="475">
        <v>0</v>
      </c>
      <c r="AG61" s="475">
        <v>0</v>
      </c>
      <c r="AH61" s="475">
        <f t="shared" si="161"/>
        <v>0</v>
      </c>
      <c r="AI61" s="475">
        <f t="shared" si="162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>AJ61+AL61+AM61+AO61+AP61</f>
        <v>0</v>
      </c>
      <c r="AS61" s="476">
        <f>AK61+AN61+AQ61</f>
        <v>0</v>
      </c>
      <c r="AT61" s="478">
        <f t="shared" si="163"/>
        <v>0</v>
      </c>
      <c r="AU61" s="484">
        <f t="shared" si="17"/>
        <v>470471</v>
      </c>
      <c r="AV61" s="475">
        <f t="shared" si="18"/>
        <v>346444</v>
      </c>
      <c r="AW61" s="475">
        <f t="shared" si="164"/>
        <v>0</v>
      </c>
      <c r="AX61" s="475">
        <f t="shared" si="165"/>
        <v>117098</v>
      </c>
      <c r="AY61" s="475">
        <f t="shared" si="165"/>
        <v>6929</v>
      </c>
      <c r="AZ61" s="475">
        <f t="shared" si="19"/>
        <v>0</v>
      </c>
      <c r="BA61" s="476">
        <f t="shared" si="20"/>
        <v>1</v>
      </c>
      <c r="BB61" s="476">
        <f t="shared" si="166"/>
        <v>1</v>
      </c>
      <c r="BC61" s="478">
        <f t="shared" si="166"/>
        <v>0</v>
      </c>
    </row>
    <row r="62" spans="1:55" s="234" customFormat="1" ht="12.75" customHeight="1" x14ac:dyDescent="0.2">
      <c r="A62" s="236">
        <v>15</v>
      </c>
      <c r="B62" s="237">
        <v>3466</v>
      </c>
      <c r="C62" s="237">
        <v>691001260</v>
      </c>
      <c r="D62" s="237">
        <v>72048085</v>
      </c>
      <c r="E62" s="238" t="s">
        <v>38</v>
      </c>
      <c r="F62" s="237">
        <v>3141</v>
      </c>
      <c r="G62" s="238" t="s">
        <v>315</v>
      </c>
      <c r="H62" s="273" t="s">
        <v>278</v>
      </c>
      <c r="I62" s="472">
        <v>855155</v>
      </c>
      <c r="J62" s="472">
        <v>626770</v>
      </c>
      <c r="K62" s="472">
        <v>0</v>
      </c>
      <c r="L62" s="472">
        <v>211848</v>
      </c>
      <c r="M62" s="472">
        <v>12535</v>
      </c>
      <c r="N62" s="472">
        <v>4002</v>
      </c>
      <c r="O62" s="473">
        <v>1.97</v>
      </c>
      <c r="P62" s="474">
        <v>0</v>
      </c>
      <c r="Q62" s="483">
        <v>1.97</v>
      </c>
      <c r="R62" s="485">
        <f t="shared" si="156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>SUM(R62:W62)</f>
        <v>0</v>
      </c>
      <c r="Y62" s="475">
        <v>0</v>
      </c>
      <c r="Z62" s="475">
        <v>0</v>
      </c>
      <c r="AA62" s="475">
        <v>0</v>
      </c>
      <c r="AB62" s="475">
        <f t="shared" si="157"/>
        <v>0</v>
      </c>
      <c r="AC62" s="475">
        <f t="shared" si="158"/>
        <v>0</v>
      </c>
      <c r="AD62" s="70">
        <f t="shared" si="159"/>
        <v>0</v>
      </c>
      <c r="AE62" s="70">
        <f t="shared" si="160"/>
        <v>0</v>
      </c>
      <c r="AF62" s="475">
        <v>0</v>
      </c>
      <c r="AG62" s="475">
        <v>0</v>
      </c>
      <c r="AH62" s="475">
        <f t="shared" si="161"/>
        <v>0</v>
      </c>
      <c r="AI62" s="475">
        <f t="shared" si="162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si="163"/>
        <v>0</v>
      </c>
      <c r="AU62" s="484">
        <f t="shared" si="17"/>
        <v>855155</v>
      </c>
      <c r="AV62" s="475">
        <f t="shared" si="18"/>
        <v>626770</v>
      </c>
      <c r="AW62" s="475">
        <f t="shared" si="164"/>
        <v>0</v>
      </c>
      <c r="AX62" s="475">
        <f t="shared" si="165"/>
        <v>211848</v>
      </c>
      <c r="AY62" s="475">
        <f t="shared" si="165"/>
        <v>12535</v>
      </c>
      <c r="AZ62" s="475">
        <f t="shared" si="19"/>
        <v>4002</v>
      </c>
      <c r="BA62" s="476">
        <f t="shared" si="20"/>
        <v>1.97</v>
      </c>
      <c r="BB62" s="476">
        <f t="shared" si="166"/>
        <v>0</v>
      </c>
      <c r="BC62" s="478">
        <f t="shared" si="166"/>
        <v>1.97</v>
      </c>
    </row>
    <row r="63" spans="1:55" s="234" customFormat="1" ht="12.75" customHeight="1" x14ac:dyDescent="0.2">
      <c r="A63" s="160">
        <v>15</v>
      </c>
      <c r="B63" s="14">
        <v>3466</v>
      </c>
      <c r="C63" s="159">
        <v>691001260</v>
      </c>
      <c r="D63" s="159">
        <v>72048085</v>
      </c>
      <c r="E63" s="235" t="s">
        <v>39</v>
      </c>
      <c r="F63" s="14"/>
      <c r="G63" s="235"/>
      <c r="H63" s="272"/>
      <c r="I63" s="479">
        <v>6492539</v>
      </c>
      <c r="J63" s="479">
        <v>4725588</v>
      </c>
      <c r="K63" s="479">
        <v>30000</v>
      </c>
      <c r="L63" s="479">
        <v>1607388</v>
      </c>
      <c r="M63" s="479">
        <v>94511</v>
      </c>
      <c r="N63" s="479">
        <v>35052</v>
      </c>
      <c r="O63" s="441">
        <v>10.954200000000002</v>
      </c>
      <c r="P63" s="441">
        <v>7</v>
      </c>
      <c r="Q63" s="441">
        <v>3.9541999999999997</v>
      </c>
      <c r="R63" s="687">
        <f t="shared" ref="R63:BC63" si="167">SUM(R60:R62)</f>
        <v>0</v>
      </c>
      <c r="S63" s="685">
        <f t="shared" si="167"/>
        <v>0</v>
      </c>
      <c r="T63" s="685">
        <f t="shared" si="167"/>
        <v>0</v>
      </c>
      <c r="U63" s="685">
        <f t="shared" si="167"/>
        <v>0</v>
      </c>
      <c r="V63" s="685">
        <f t="shared" si="167"/>
        <v>0</v>
      </c>
      <c r="W63" s="685">
        <f t="shared" si="167"/>
        <v>0</v>
      </c>
      <c r="X63" s="685">
        <f t="shared" si="167"/>
        <v>0</v>
      </c>
      <c r="Y63" s="685">
        <f t="shared" si="167"/>
        <v>0</v>
      </c>
      <c r="Z63" s="685">
        <f t="shared" si="167"/>
        <v>0</v>
      </c>
      <c r="AA63" s="685">
        <f t="shared" si="167"/>
        <v>0</v>
      </c>
      <c r="AB63" s="685">
        <f t="shared" si="167"/>
        <v>0</v>
      </c>
      <c r="AC63" s="685">
        <f t="shared" si="167"/>
        <v>0</v>
      </c>
      <c r="AD63" s="685">
        <f t="shared" si="167"/>
        <v>0</v>
      </c>
      <c r="AE63" s="685">
        <f t="shared" si="167"/>
        <v>0</v>
      </c>
      <c r="AF63" s="685">
        <f t="shared" si="167"/>
        <v>0</v>
      </c>
      <c r="AG63" s="685">
        <f t="shared" si="167"/>
        <v>0</v>
      </c>
      <c r="AH63" s="685">
        <f t="shared" si="167"/>
        <v>0</v>
      </c>
      <c r="AI63" s="685">
        <f t="shared" si="167"/>
        <v>0</v>
      </c>
      <c r="AJ63" s="686">
        <f t="shared" si="167"/>
        <v>0</v>
      </c>
      <c r="AK63" s="686">
        <f t="shared" si="167"/>
        <v>0</v>
      </c>
      <c r="AL63" s="686">
        <f t="shared" si="167"/>
        <v>0</v>
      </c>
      <c r="AM63" s="686">
        <f t="shared" si="167"/>
        <v>0</v>
      </c>
      <c r="AN63" s="686">
        <f t="shared" si="167"/>
        <v>0</v>
      </c>
      <c r="AO63" s="686">
        <f t="shared" si="167"/>
        <v>0</v>
      </c>
      <c r="AP63" s="686">
        <f t="shared" si="167"/>
        <v>0</v>
      </c>
      <c r="AQ63" s="686">
        <f t="shared" si="167"/>
        <v>0</v>
      </c>
      <c r="AR63" s="686">
        <f t="shared" si="167"/>
        <v>0</v>
      </c>
      <c r="AS63" s="686">
        <f t="shared" si="167"/>
        <v>0</v>
      </c>
      <c r="AT63" s="688">
        <f t="shared" si="167"/>
        <v>0</v>
      </c>
      <c r="AU63" s="683">
        <f t="shared" si="167"/>
        <v>6492539</v>
      </c>
      <c r="AV63" s="479">
        <f t="shared" si="167"/>
        <v>4725588</v>
      </c>
      <c r="AW63" s="479">
        <f t="shared" si="167"/>
        <v>30000</v>
      </c>
      <c r="AX63" s="479">
        <f t="shared" si="167"/>
        <v>1607388</v>
      </c>
      <c r="AY63" s="479">
        <f t="shared" si="167"/>
        <v>94511</v>
      </c>
      <c r="AZ63" s="479">
        <f t="shared" si="167"/>
        <v>35052</v>
      </c>
      <c r="BA63" s="441">
        <f t="shared" si="167"/>
        <v>10.954200000000002</v>
      </c>
      <c r="BB63" s="441">
        <f t="shared" si="167"/>
        <v>7</v>
      </c>
      <c r="BC63" s="520">
        <f t="shared" si="167"/>
        <v>3.9541999999999997</v>
      </c>
    </row>
    <row r="64" spans="1:55" s="234" customFormat="1" ht="12.75" customHeight="1" x14ac:dyDescent="0.2">
      <c r="A64" s="236">
        <v>16</v>
      </c>
      <c r="B64" s="237">
        <v>3407</v>
      </c>
      <c r="C64" s="237">
        <v>667000089</v>
      </c>
      <c r="D64" s="237">
        <v>72743778</v>
      </c>
      <c r="E64" s="238" t="s">
        <v>40</v>
      </c>
      <c r="F64" s="237">
        <v>3111</v>
      </c>
      <c r="G64" s="238" t="s">
        <v>311</v>
      </c>
      <c r="H64" s="273" t="s">
        <v>277</v>
      </c>
      <c r="I64" s="472">
        <v>11646850</v>
      </c>
      <c r="J64" s="472">
        <v>8515938</v>
      </c>
      <c r="K64" s="472">
        <v>12000</v>
      </c>
      <c r="L64" s="472">
        <v>2882443</v>
      </c>
      <c r="M64" s="472">
        <v>170319</v>
      </c>
      <c r="N64" s="472">
        <v>66150</v>
      </c>
      <c r="O64" s="473">
        <v>19.234999999999999</v>
      </c>
      <c r="P64" s="474">
        <v>14</v>
      </c>
      <c r="Q64" s="483">
        <v>5.2349999999999994</v>
      </c>
      <c r="R64" s="485">
        <f t="shared" ref="R64:R66" si="168">Y64*-1</f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>SUM(R64:W64)</f>
        <v>0</v>
      </c>
      <c r="Y64" s="475">
        <v>0</v>
      </c>
      <c r="Z64" s="475">
        <v>0</v>
      </c>
      <c r="AA64" s="475">
        <v>0</v>
      </c>
      <c r="AB64" s="475">
        <f t="shared" ref="AB64:AB66" si="169">SUM(Y64:AA64)</f>
        <v>0</v>
      </c>
      <c r="AC64" s="475">
        <f t="shared" ref="AC64:AC66" si="170">X64+AB64</f>
        <v>0</v>
      </c>
      <c r="AD64" s="70">
        <f t="shared" ref="AD64:AD66" si="171">ROUND((X64+Y64+Z64)*33.8%,0)</f>
        <v>0</v>
      </c>
      <c r="AE64" s="70">
        <f t="shared" ref="AE64:AE66" si="172">ROUND(X64*2%,0)</f>
        <v>0</v>
      </c>
      <c r="AF64" s="475">
        <v>0</v>
      </c>
      <c r="AG64" s="475">
        <v>0</v>
      </c>
      <c r="AH64" s="475">
        <f t="shared" ref="AH64:AH66" si="173">SUM(AF64:AG64)</f>
        <v>0</v>
      </c>
      <c r="AI64" s="475">
        <f t="shared" ref="AI64:AI66" si="174">AC64+AD64+AE64+AH64</f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0</v>
      </c>
      <c r="AT64" s="478">
        <f t="shared" ref="AT64:AT66" si="175">SUM(AR64:AS64)</f>
        <v>0</v>
      </c>
      <c r="AU64" s="484">
        <f t="shared" si="17"/>
        <v>11646850</v>
      </c>
      <c r="AV64" s="475">
        <f t="shared" si="18"/>
        <v>8515938</v>
      </c>
      <c r="AW64" s="475">
        <f t="shared" ref="AW64:AW66" si="176">K64+AB64</f>
        <v>12000</v>
      </c>
      <c r="AX64" s="475">
        <f t="shared" ref="AX64:AY66" si="177">L64+AD64</f>
        <v>2882443</v>
      </c>
      <c r="AY64" s="475">
        <f t="shared" si="177"/>
        <v>170319</v>
      </c>
      <c r="AZ64" s="475">
        <f t="shared" si="19"/>
        <v>66150</v>
      </c>
      <c r="BA64" s="476">
        <f t="shared" si="20"/>
        <v>19.234999999999999</v>
      </c>
      <c r="BB64" s="476">
        <f t="shared" ref="BB64:BC66" si="178">P64+AR64</f>
        <v>14</v>
      </c>
      <c r="BC64" s="478">
        <f t="shared" si="178"/>
        <v>5.2349999999999994</v>
      </c>
    </row>
    <row r="65" spans="1:55" s="234" customFormat="1" ht="12.75" customHeight="1" x14ac:dyDescent="0.2">
      <c r="A65" s="236">
        <v>16</v>
      </c>
      <c r="B65" s="237">
        <v>3407</v>
      </c>
      <c r="C65" s="237">
        <v>667000089</v>
      </c>
      <c r="D65" s="237">
        <v>72743778</v>
      </c>
      <c r="E65" s="238" t="s">
        <v>40</v>
      </c>
      <c r="F65" s="237">
        <v>3111</v>
      </c>
      <c r="G65" s="238" t="s">
        <v>312</v>
      </c>
      <c r="H65" s="273" t="s">
        <v>278</v>
      </c>
      <c r="I65" s="472">
        <v>471972</v>
      </c>
      <c r="J65" s="472">
        <v>346444</v>
      </c>
      <c r="K65" s="472">
        <v>0</v>
      </c>
      <c r="L65" s="472">
        <v>117099</v>
      </c>
      <c r="M65" s="472">
        <v>6929</v>
      </c>
      <c r="N65" s="472">
        <v>1500</v>
      </c>
      <c r="O65" s="473">
        <v>1</v>
      </c>
      <c r="P65" s="474">
        <v>1</v>
      </c>
      <c r="Q65" s="483">
        <v>0</v>
      </c>
      <c r="R65" s="485">
        <f t="shared" si="168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>SUM(R65:W65)</f>
        <v>0</v>
      </c>
      <c r="Y65" s="475">
        <v>0</v>
      </c>
      <c r="Z65" s="475">
        <v>0</v>
      </c>
      <c r="AA65" s="475">
        <v>0</v>
      </c>
      <c r="AB65" s="475">
        <f t="shared" si="169"/>
        <v>0</v>
      </c>
      <c r="AC65" s="475">
        <f t="shared" si="170"/>
        <v>0</v>
      </c>
      <c r="AD65" s="70">
        <f t="shared" si="171"/>
        <v>0</v>
      </c>
      <c r="AE65" s="70">
        <f t="shared" si="172"/>
        <v>0</v>
      </c>
      <c r="AF65" s="475">
        <v>0</v>
      </c>
      <c r="AG65" s="475">
        <v>0</v>
      </c>
      <c r="AH65" s="475">
        <f t="shared" si="173"/>
        <v>0</v>
      </c>
      <c r="AI65" s="475">
        <f t="shared" si="174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>AJ65+AL65+AM65+AO65+AP65</f>
        <v>0</v>
      </c>
      <c r="AS65" s="476">
        <f>AK65+AN65+AQ65</f>
        <v>0</v>
      </c>
      <c r="AT65" s="478">
        <f t="shared" si="175"/>
        <v>0</v>
      </c>
      <c r="AU65" s="484">
        <f t="shared" si="17"/>
        <v>471972</v>
      </c>
      <c r="AV65" s="475">
        <f t="shared" si="18"/>
        <v>346444</v>
      </c>
      <c r="AW65" s="475">
        <f t="shared" si="176"/>
        <v>0</v>
      </c>
      <c r="AX65" s="475">
        <f t="shared" si="177"/>
        <v>117099</v>
      </c>
      <c r="AY65" s="475">
        <f t="shared" si="177"/>
        <v>6929</v>
      </c>
      <c r="AZ65" s="475">
        <f t="shared" si="19"/>
        <v>1500</v>
      </c>
      <c r="BA65" s="476">
        <f t="shared" si="20"/>
        <v>1</v>
      </c>
      <c r="BB65" s="476">
        <f t="shared" si="178"/>
        <v>1</v>
      </c>
      <c r="BC65" s="478">
        <f t="shared" si="178"/>
        <v>0</v>
      </c>
    </row>
    <row r="66" spans="1:55" s="234" customFormat="1" ht="12.75" customHeight="1" x14ac:dyDescent="0.2">
      <c r="A66" s="236">
        <v>16</v>
      </c>
      <c r="B66" s="237">
        <v>3407</v>
      </c>
      <c r="C66" s="237">
        <v>667000089</v>
      </c>
      <c r="D66" s="237">
        <v>72743778</v>
      </c>
      <c r="E66" s="238" t="s">
        <v>40</v>
      </c>
      <c r="F66" s="237">
        <v>3141</v>
      </c>
      <c r="G66" s="238" t="s">
        <v>315</v>
      </c>
      <c r="H66" s="273" t="s">
        <v>278</v>
      </c>
      <c r="I66" s="472">
        <v>1779327</v>
      </c>
      <c r="J66" s="472">
        <v>1303977</v>
      </c>
      <c r="K66" s="472">
        <v>0</v>
      </c>
      <c r="L66" s="472">
        <v>440744</v>
      </c>
      <c r="M66" s="472">
        <v>26080</v>
      </c>
      <c r="N66" s="472">
        <v>8526</v>
      </c>
      <c r="O66" s="473">
        <v>4.1100000000000003</v>
      </c>
      <c r="P66" s="474">
        <v>0</v>
      </c>
      <c r="Q66" s="483">
        <v>4.1100000000000003</v>
      </c>
      <c r="R66" s="485">
        <f t="shared" si="168"/>
        <v>0</v>
      </c>
      <c r="S66" s="475">
        <v>0</v>
      </c>
      <c r="T66" s="475">
        <v>-3719</v>
      </c>
      <c r="U66" s="475">
        <v>0</v>
      </c>
      <c r="V66" s="475">
        <v>0</v>
      </c>
      <c r="W66" s="475">
        <v>0</v>
      </c>
      <c r="X66" s="475">
        <f>SUM(R66:W66)</f>
        <v>-3719</v>
      </c>
      <c r="Y66" s="475">
        <v>0</v>
      </c>
      <c r="Z66" s="475">
        <v>0</v>
      </c>
      <c r="AA66" s="475">
        <v>0</v>
      </c>
      <c r="AB66" s="475">
        <f t="shared" si="169"/>
        <v>0</v>
      </c>
      <c r="AC66" s="475">
        <f t="shared" si="170"/>
        <v>-3719</v>
      </c>
      <c r="AD66" s="70">
        <f t="shared" si="171"/>
        <v>-1257</v>
      </c>
      <c r="AE66" s="70">
        <f t="shared" si="172"/>
        <v>-74</v>
      </c>
      <c r="AF66" s="475">
        <v>0</v>
      </c>
      <c r="AG66" s="475">
        <v>0</v>
      </c>
      <c r="AH66" s="475">
        <f t="shared" si="173"/>
        <v>0</v>
      </c>
      <c r="AI66" s="475">
        <f t="shared" si="174"/>
        <v>-5050</v>
      </c>
      <c r="AJ66" s="476">
        <v>0</v>
      </c>
      <c r="AK66" s="476">
        <v>0</v>
      </c>
      <c r="AL66" s="476">
        <v>0</v>
      </c>
      <c r="AM66" s="476">
        <v>0</v>
      </c>
      <c r="AN66" s="476">
        <v>-0.01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-0.01</v>
      </c>
      <c r="AT66" s="478">
        <f t="shared" si="175"/>
        <v>-0.01</v>
      </c>
      <c r="AU66" s="484">
        <f t="shared" si="17"/>
        <v>1774277</v>
      </c>
      <c r="AV66" s="475">
        <f t="shared" si="18"/>
        <v>1300258</v>
      </c>
      <c r="AW66" s="475">
        <f t="shared" si="176"/>
        <v>0</v>
      </c>
      <c r="AX66" s="475">
        <f t="shared" si="177"/>
        <v>439487</v>
      </c>
      <c r="AY66" s="475">
        <f t="shared" si="177"/>
        <v>26006</v>
      </c>
      <c r="AZ66" s="475">
        <f t="shared" si="19"/>
        <v>8526</v>
      </c>
      <c r="BA66" s="476">
        <f t="shared" si="20"/>
        <v>4.1000000000000005</v>
      </c>
      <c r="BB66" s="476">
        <f t="shared" si="178"/>
        <v>0</v>
      </c>
      <c r="BC66" s="478">
        <f t="shared" si="178"/>
        <v>4.1000000000000005</v>
      </c>
    </row>
    <row r="67" spans="1:55" s="234" customFormat="1" ht="12.75" customHeight="1" x14ac:dyDescent="0.2">
      <c r="A67" s="160">
        <v>16</v>
      </c>
      <c r="B67" s="14">
        <v>3407</v>
      </c>
      <c r="C67" s="159">
        <v>667000089</v>
      </c>
      <c r="D67" s="159">
        <v>72743778</v>
      </c>
      <c r="E67" s="235" t="s">
        <v>41</v>
      </c>
      <c r="F67" s="14"/>
      <c r="G67" s="235"/>
      <c r="H67" s="272"/>
      <c r="I67" s="479">
        <v>13898149</v>
      </c>
      <c r="J67" s="479">
        <v>10166359</v>
      </c>
      <c r="K67" s="479">
        <v>12000</v>
      </c>
      <c r="L67" s="479">
        <v>3440286</v>
      </c>
      <c r="M67" s="479">
        <v>203328</v>
      </c>
      <c r="N67" s="479">
        <v>76176</v>
      </c>
      <c r="O67" s="441">
        <v>24.344999999999999</v>
      </c>
      <c r="P67" s="441">
        <v>15</v>
      </c>
      <c r="Q67" s="441">
        <v>9.3449999999999989</v>
      </c>
      <c r="R67" s="687">
        <f t="shared" ref="R67:BC67" si="179">SUM(R64:R66)</f>
        <v>0</v>
      </c>
      <c r="S67" s="685">
        <f t="shared" si="179"/>
        <v>0</v>
      </c>
      <c r="T67" s="685">
        <f t="shared" si="179"/>
        <v>-3719</v>
      </c>
      <c r="U67" s="685">
        <f t="shared" si="179"/>
        <v>0</v>
      </c>
      <c r="V67" s="685">
        <f t="shared" si="179"/>
        <v>0</v>
      </c>
      <c r="W67" s="685">
        <f t="shared" si="179"/>
        <v>0</v>
      </c>
      <c r="X67" s="685">
        <f t="shared" si="179"/>
        <v>-3719</v>
      </c>
      <c r="Y67" s="685">
        <f t="shared" si="179"/>
        <v>0</v>
      </c>
      <c r="Z67" s="685">
        <f t="shared" si="179"/>
        <v>0</v>
      </c>
      <c r="AA67" s="685">
        <f t="shared" si="179"/>
        <v>0</v>
      </c>
      <c r="AB67" s="685">
        <f t="shared" si="179"/>
        <v>0</v>
      </c>
      <c r="AC67" s="685">
        <f t="shared" si="179"/>
        <v>-3719</v>
      </c>
      <c r="AD67" s="685">
        <f t="shared" si="179"/>
        <v>-1257</v>
      </c>
      <c r="AE67" s="685">
        <f t="shared" si="179"/>
        <v>-74</v>
      </c>
      <c r="AF67" s="685">
        <f t="shared" si="179"/>
        <v>0</v>
      </c>
      <c r="AG67" s="685">
        <f t="shared" si="179"/>
        <v>0</v>
      </c>
      <c r="AH67" s="685">
        <f t="shared" si="179"/>
        <v>0</v>
      </c>
      <c r="AI67" s="685">
        <f t="shared" si="179"/>
        <v>-5050</v>
      </c>
      <c r="AJ67" s="686">
        <f t="shared" si="179"/>
        <v>0</v>
      </c>
      <c r="AK67" s="686">
        <f t="shared" si="179"/>
        <v>0</v>
      </c>
      <c r="AL67" s="686">
        <f t="shared" si="179"/>
        <v>0</v>
      </c>
      <c r="AM67" s="686">
        <f t="shared" si="179"/>
        <v>0</v>
      </c>
      <c r="AN67" s="686">
        <f t="shared" si="179"/>
        <v>-0.01</v>
      </c>
      <c r="AO67" s="686">
        <f t="shared" si="179"/>
        <v>0</v>
      </c>
      <c r="AP67" s="686">
        <f t="shared" si="179"/>
        <v>0</v>
      </c>
      <c r="AQ67" s="686">
        <f t="shared" si="179"/>
        <v>0</v>
      </c>
      <c r="AR67" s="686">
        <f t="shared" si="179"/>
        <v>0</v>
      </c>
      <c r="AS67" s="686">
        <f t="shared" si="179"/>
        <v>-0.01</v>
      </c>
      <c r="AT67" s="688">
        <f t="shared" si="179"/>
        <v>-0.01</v>
      </c>
      <c r="AU67" s="683">
        <f t="shared" si="179"/>
        <v>13893099</v>
      </c>
      <c r="AV67" s="479">
        <f t="shared" si="179"/>
        <v>10162640</v>
      </c>
      <c r="AW67" s="479">
        <f t="shared" si="179"/>
        <v>12000</v>
      </c>
      <c r="AX67" s="479">
        <f t="shared" si="179"/>
        <v>3439029</v>
      </c>
      <c r="AY67" s="479">
        <f t="shared" si="179"/>
        <v>203254</v>
      </c>
      <c r="AZ67" s="479">
        <f t="shared" si="179"/>
        <v>76176</v>
      </c>
      <c r="BA67" s="441">
        <f t="shared" si="179"/>
        <v>24.335000000000001</v>
      </c>
      <c r="BB67" s="441">
        <f t="shared" si="179"/>
        <v>15</v>
      </c>
      <c r="BC67" s="520">
        <f t="shared" si="179"/>
        <v>9.3350000000000009</v>
      </c>
    </row>
    <row r="68" spans="1:55" s="234" customFormat="1" ht="12.75" customHeight="1" x14ac:dyDescent="0.2">
      <c r="A68" s="236">
        <v>17</v>
      </c>
      <c r="B68" s="237">
        <v>3463</v>
      </c>
      <c r="C68" s="237">
        <v>691001308</v>
      </c>
      <c r="D68" s="237">
        <v>72048166</v>
      </c>
      <c r="E68" s="238" t="s">
        <v>42</v>
      </c>
      <c r="F68" s="237">
        <v>3111</v>
      </c>
      <c r="G68" s="238" t="s">
        <v>311</v>
      </c>
      <c r="H68" s="273" t="s">
        <v>277</v>
      </c>
      <c r="I68" s="472">
        <v>6990009</v>
      </c>
      <c r="J68" s="472">
        <v>5034374</v>
      </c>
      <c r="K68" s="472">
        <v>85000</v>
      </c>
      <c r="L68" s="472">
        <v>1730348</v>
      </c>
      <c r="M68" s="472">
        <v>100687</v>
      </c>
      <c r="N68" s="472">
        <v>39600</v>
      </c>
      <c r="O68" s="473">
        <v>11.1997</v>
      </c>
      <c r="P68" s="474">
        <v>8.4514999999999993</v>
      </c>
      <c r="Q68" s="483">
        <v>2.7481999999999998</v>
      </c>
      <c r="R68" s="485">
        <f t="shared" ref="R68:R70" si="180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ref="AB68:AB70" si="181">SUM(Y68:AA68)</f>
        <v>0</v>
      </c>
      <c r="AC68" s="475">
        <f t="shared" ref="AC68:AC70" si="182">X68+AB68</f>
        <v>0</v>
      </c>
      <c r="AD68" s="70">
        <f t="shared" ref="AD68:AD70" si="183">ROUND((X68+Y68+Z68)*33.8%,0)</f>
        <v>0</v>
      </c>
      <c r="AE68" s="70">
        <f t="shared" ref="AE68:AE70" si="184">ROUND(X68*2%,0)</f>
        <v>0</v>
      </c>
      <c r="AF68" s="475">
        <v>0</v>
      </c>
      <c r="AG68" s="475">
        <v>0</v>
      </c>
      <c r="AH68" s="475">
        <f t="shared" ref="AH68:AH70" si="185">SUM(AF68:AG68)</f>
        <v>0</v>
      </c>
      <c r="AI68" s="475">
        <f t="shared" ref="AI68:AI70" si="186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ref="AT68:AT70" si="187">SUM(AR68:AS68)</f>
        <v>0</v>
      </c>
      <c r="AU68" s="484">
        <f t="shared" si="17"/>
        <v>6990009</v>
      </c>
      <c r="AV68" s="475">
        <f t="shared" si="18"/>
        <v>5034374</v>
      </c>
      <c r="AW68" s="475">
        <f t="shared" ref="AW68:AW70" si="188">K68+AB68</f>
        <v>85000</v>
      </c>
      <c r="AX68" s="475">
        <f t="shared" ref="AX68:AY70" si="189">L68+AD68</f>
        <v>1730348</v>
      </c>
      <c r="AY68" s="475">
        <f t="shared" si="189"/>
        <v>100687</v>
      </c>
      <c r="AZ68" s="475">
        <f t="shared" si="19"/>
        <v>39600</v>
      </c>
      <c r="BA68" s="476">
        <f t="shared" si="20"/>
        <v>11.1997</v>
      </c>
      <c r="BB68" s="476">
        <f t="shared" ref="BB68:BC70" si="190">P68+AR68</f>
        <v>8.4514999999999993</v>
      </c>
      <c r="BC68" s="478">
        <f t="shared" si="190"/>
        <v>2.7481999999999998</v>
      </c>
    </row>
    <row r="69" spans="1:55" s="234" customFormat="1" x14ac:dyDescent="0.2">
      <c r="A69" s="236">
        <v>17</v>
      </c>
      <c r="B69" s="237">
        <v>3463</v>
      </c>
      <c r="C69" s="237">
        <v>691001308</v>
      </c>
      <c r="D69" s="237">
        <v>72048166</v>
      </c>
      <c r="E69" s="238" t="s">
        <v>42</v>
      </c>
      <c r="F69" s="237">
        <v>3111</v>
      </c>
      <c r="G69" s="238" t="s">
        <v>312</v>
      </c>
      <c r="H69" s="273" t="s">
        <v>278</v>
      </c>
      <c r="I69" s="472">
        <v>1268976</v>
      </c>
      <c r="J69" s="472">
        <v>930947</v>
      </c>
      <c r="K69" s="472">
        <v>0</v>
      </c>
      <c r="L69" s="472">
        <v>314660</v>
      </c>
      <c r="M69" s="472">
        <v>18619</v>
      </c>
      <c r="N69" s="472">
        <v>4750</v>
      </c>
      <c r="O69" s="473">
        <v>2.65</v>
      </c>
      <c r="P69" s="474">
        <v>2.65</v>
      </c>
      <c r="Q69" s="483">
        <v>0</v>
      </c>
      <c r="R69" s="485">
        <f t="shared" si="180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81"/>
        <v>0</v>
      </c>
      <c r="AC69" s="475">
        <f t="shared" si="182"/>
        <v>0</v>
      </c>
      <c r="AD69" s="70">
        <f t="shared" si="183"/>
        <v>0</v>
      </c>
      <c r="AE69" s="70">
        <f t="shared" si="184"/>
        <v>0</v>
      </c>
      <c r="AF69" s="475">
        <v>0</v>
      </c>
      <c r="AG69" s="475">
        <v>0</v>
      </c>
      <c r="AH69" s="475">
        <f t="shared" si="185"/>
        <v>0</v>
      </c>
      <c r="AI69" s="475">
        <f t="shared" si="186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87"/>
        <v>0</v>
      </c>
      <c r="AU69" s="484">
        <f t="shared" si="17"/>
        <v>1268976</v>
      </c>
      <c r="AV69" s="475">
        <f t="shared" si="18"/>
        <v>930947</v>
      </c>
      <c r="AW69" s="475">
        <f t="shared" si="188"/>
        <v>0</v>
      </c>
      <c r="AX69" s="475">
        <f t="shared" si="189"/>
        <v>314660</v>
      </c>
      <c r="AY69" s="475">
        <f t="shared" si="189"/>
        <v>18619</v>
      </c>
      <c r="AZ69" s="475">
        <f t="shared" si="19"/>
        <v>4750</v>
      </c>
      <c r="BA69" s="476">
        <f t="shared" si="20"/>
        <v>2.65</v>
      </c>
      <c r="BB69" s="476">
        <f t="shared" si="190"/>
        <v>2.65</v>
      </c>
      <c r="BC69" s="478">
        <f t="shared" si="190"/>
        <v>0</v>
      </c>
    </row>
    <row r="70" spans="1:55" s="234" customFormat="1" ht="12.75" customHeight="1" x14ac:dyDescent="0.2">
      <c r="A70" s="236">
        <v>17</v>
      </c>
      <c r="B70" s="237">
        <v>3463</v>
      </c>
      <c r="C70" s="237">
        <v>691001308</v>
      </c>
      <c r="D70" s="237">
        <v>72048166</v>
      </c>
      <c r="E70" s="238" t="s">
        <v>42</v>
      </c>
      <c r="F70" s="237">
        <v>3141</v>
      </c>
      <c r="G70" s="238" t="s">
        <v>315</v>
      </c>
      <c r="H70" s="273" t="s">
        <v>278</v>
      </c>
      <c r="I70" s="472">
        <v>1009360</v>
      </c>
      <c r="J70" s="472">
        <v>714879</v>
      </c>
      <c r="K70" s="472">
        <v>25000</v>
      </c>
      <c r="L70" s="472">
        <v>250079</v>
      </c>
      <c r="M70" s="472">
        <v>14298</v>
      </c>
      <c r="N70" s="472">
        <v>5104</v>
      </c>
      <c r="O70" s="473">
        <v>2.33</v>
      </c>
      <c r="P70" s="474">
        <v>0</v>
      </c>
      <c r="Q70" s="483">
        <v>2.33</v>
      </c>
      <c r="R70" s="485">
        <f t="shared" si="180"/>
        <v>0</v>
      </c>
      <c r="S70" s="475">
        <v>0</v>
      </c>
      <c r="T70" s="475">
        <v>5847</v>
      </c>
      <c r="U70" s="475">
        <v>0</v>
      </c>
      <c r="V70" s="475">
        <v>0</v>
      </c>
      <c r="W70" s="475">
        <v>0</v>
      </c>
      <c r="X70" s="475">
        <f>SUM(R70:W70)</f>
        <v>5847</v>
      </c>
      <c r="Y70" s="475">
        <v>0</v>
      </c>
      <c r="Z70" s="475">
        <v>0</v>
      </c>
      <c r="AA70" s="475">
        <v>0</v>
      </c>
      <c r="AB70" s="475">
        <f t="shared" si="181"/>
        <v>0</v>
      </c>
      <c r="AC70" s="475">
        <f t="shared" si="182"/>
        <v>5847</v>
      </c>
      <c r="AD70" s="70">
        <f t="shared" si="183"/>
        <v>1976</v>
      </c>
      <c r="AE70" s="70">
        <f t="shared" si="184"/>
        <v>117</v>
      </c>
      <c r="AF70" s="475">
        <v>0</v>
      </c>
      <c r="AG70" s="475">
        <v>0</v>
      </c>
      <c r="AH70" s="475">
        <f t="shared" si="185"/>
        <v>0</v>
      </c>
      <c r="AI70" s="475">
        <f t="shared" si="186"/>
        <v>7940</v>
      </c>
      <c r="AJ70" s="476">
        <v>0</v>
      </c>
      <c r="AK70" s="476">
        <v>0</v>
      </c>
      <c r="AL70" s="476">
        <v>0</v>
      </c>
      <c r="AM70" s="476">
        <v>0</v>
      </c>
      <c r="AN70" s="476">
        <v>0.02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0.02</v>
      </c>
      <c r="AT70" s="478">
        <f t="shared" si="187"/>
        <v>0.02</v>
      </c>
      <c r="AU70" s="484">
        <f t="shared" si="17"/>
        <v>1017300</v>
      </c>
      <c r="AV70" s="475">
        <f t="shared" si="18"/>
        <v>720726</v>
      </c>
      <c r="AW70" s="475">
        <f t="shared" si="188"/>
        <v>25000</v>
      </c>
      <c r="AX70" s="475">
        <f t="shared" si="189"/>
        <v>252055</v>
      </c>
      <c r="AY70" s="475">
        <f t="shared" si="189"/>
        <v>14415</v>
      </c>
      <c r="AZ70" s="475">
        <f t="shared" si="19"/>
        <v>5104</v>
      </c>
      <c r="BA70" s="476">
        <f t="shared" si="20"/>
        <v>2.35</v>
      </c>
      <c r="BB70" s="476">
        <f t="shared" si="190"/>
        <v>0</v>
      </c>
      <c r="BC70" s="478">
        <f t="shared" si="190"/>
        <v>2.35</v>
      </c>
    </row>
    <row r="71" spans="1:55" s="234" customFormat="1" ht="12.75" customHeight="1" x14ac:dyDescent="0.2">
      <c r="A71" s="160">
        <v>17</v>
      </c>
      <c r="B71" s="14">
        <v>3463</v>
      </c>
      <c r="C71" s="159">
        <v>691001308</v>
      </c>
      <c r="D71" s="159">
        <v>72048166</v>
      </c>
      <c r="E71" s="235" t="s">
        <v>43</v>
      </c>
      <c r="F71" s="14"/>
      <c r="G71" s="235"/>
      <c r="H71" s="272"/>
      <c r="I71" s="479">
        <v>9268345</v>
      </c>
      <c r="J71" s="479">
        <v>6680200</v>
      </c>
      <c r="K71" s="479">
        <v>110000</v>
      </c>
      <c r="L71" s="479">
        <v>2295087</v>
      </c>
      <c r="M71" s="479">
        <v>133604</v>
      </c>
      <c r="N71" s="479">
        <v>49454</v>
      </c>
      <c r="O71" s="441">
        <v>16.1797</v>
      </c>
      <c r="P71" s="441">
        <v>11.1015</v>
      </c>
      <c r="Q71" s="441">
        <v>5.0781999999999998</v>
      </c>
      <c r="R71" s="687">
        <f t="shared" ref="R71:BC71" si="191">SUM(R68:R70)</f>
        <v>0</v>
      </c>
      <c r="S71" s="685">
        <f t="shared" si="191"/>
        <v>0</v>
      </c>
      <c r="T71" s="685">
        <f t="shared" si="191"/>
        <v>5847</v>
      </c>
      <c r="U71" s="685">
        <f t="shared" si="191"/>
        <v>0</v>
      </c>
      <c r="V71" s="685">
        <f t="shared" si="191"/>
        <v>0</v>
      </c>
      <c r="W71" s="685">
        <f t="shared" si="191"/>
        <v>0</v>
      </c>
      <c r="X71" s="685">
        <f t="shared" si="191"/>
        <v>5847</v>
      </c>
      <c r="Y71" s="685">
        <f t="shared" si="191"/>
        <v>0</v>
      </c>
      <c r="Z71" s="685">
        <f t="shared" si="191"/>
        <v>0</v>
      </c>
      <c r="AA71" s="685">
        <f t="shared" si="191"/>
        <v>0</v>
      </c>
      <c r="AB71" s="685">
        <f t="shared" si="191"/>
        <v>0</v>
      </c>
      <c r="AC71" s="685">
        <f t="shared" si="191"/>
        <v>5847</v>
      </c>
      <c r="AD71" s="685">
        <f t="shared" si="191"/>
        <v>1976</v>
      </c>
      <c r="AE71" s="685">
        <f t="shared" si="191"/>
        <v>117</v>
      </c>
      <c r="AF71" s="685">
        <f t="shared" si="191"/>
        <v>0</v>
      </c>
      <c r="AG71" s="685">
        <f t="shared" si="191"/>
        <v>0</v>
      </c>
      <c r="AH71" s="685">
        <f t="shared" si="191"/>
        <v>0</v>
      </c>
      <c r="AI71" s="685">
        <f t="shared" si="191"/>
        <v>7940</v>
      </c>
      <c r="AJ71" s="686">
        <f t="shared" si="191"/>
        <v>0</v>
      </c>
      <c r="AK71" s="686">
        <f t="shared" si="191"/>
        <v>0</v>
      </c>
      <c r="AL71" s="686">
        <f t="shared" si="191"/>
        <v>0</v>
      </c>
      <c r="AM71" s="686">
        <f t="shared" si="191"/>
        <v>0</v>
      </c>
      <c r="AN71" s="686">
        <f t="shared" si="191"/>
        <v>0.02</v>
      </c>
      <c r="AO71" s="686">
        <f t="shared" si="191"/>
        <v>0</v>
      </c>
      <c r="AP71" s="686">
        <f t="shared" si="191"/>
        <v>0</v>
      </c>
      <c r="AQ71" s="686">
        <f t="shared" si="191"/>
        <v>0</v>
      </c>
      <c r="AR71" s="686">
        <f t="shared" si="191"/>
        <v>0</v>
      </c>
      <c r="AS71" s="686">
        <f t="shared" si="191"/>
        <v>0.02</v>
      </c>
      <c r="AT71" s="688">
        <f t="shared" si="191"/>
        <v>0.02</v>
      </c>
      <c r="AU71" s="683">
        <f t="shared" si="191"/>
        <v>9276285</v>
      </c>
      <c r="AV71" s="479">
        <f t="shared" si="191"/>
        <v>6686047</v>
      </c>
      <c r="AW71" s="479">
        <f t="shared" si="191"/>
        <v>110000</v>
      </c>
      <c r="AX71" s="479">
        <f t="shared" si="191"/>
        <v>2297063</v>
      </c>
      <c r="AY71" s="479">
        <f t="shared" si="191"/>
        <v>133721</v>
      </c>
      <c r="AZ71" s="479">
        <f t="shared" si="191"/>
        <v>49454</v>
      </c>
      <c r="BA71" s="441">
        <f t="shared" si="191"/>
        <v>16.1997</v>
      </c>
      <c r="BB71" s="441">
        <f t="shared" si="191"/>
        <v>11.1015</v>
      </c>
      <c r="BC71" s="520">
        <f t="shared" si="191"/>
        <v>5.0982000000000003</v>
      </c>
    </row>
    <row r="72" spans="1:55" s="234" customFormat="1" ht="12.75" customHeight="1" x14ac:dyDescent="0.2">
      <c r="A72" s="236">
        <v>18</v>
      </c>
      <c r="B72" s="237">
        <v>3460</v>
      </c>
      <c r="C72" s="237">
        <v>691000387</v>
      </c>
      <c r="D72" s="237">
        <v>86797034</v>
      </c>
      <c r="E72" s="238" t="s">
        <v>44</v>
      </c>
      <c r="F72" s="237">
        <v>3111</v>
      </c>
      <c r="G72" s="238" t="s">
        <v>311</v>
      </c>
      <c r="H72" s="273" t="s">
        <v>277</v>
      </c>
      <c r="I72" s="472">
        <v>9424347</v>
      </c>
      <c r="J72" s="472">
        <v>6902428</v>
      </c>
      <c r="K72" s="472">
        <v>0</v>
      </c>
      <c r="L72" s="472">
        <v>2333021</v>
      </c>
      <c r="M72" s="472">
        <v>138048</v>
      </c>
      <c r="N72" s="472">
        <v>50850</v>
      </c>
      <c r="O72" s="473">
        <v>16.363800000000001</v>
      </c>
      <c r="P72" s="474">
        <v>12.0593</v>
      </c>
      <c r="Q72" s="483">
        <v>4.3045000000000009</v>
      </c>
      <c r="R72" s="485">
        <f t="shared" ref="R72:R74" si="192">Y72*-1</f>
        <v>0</v>
      </c>
      <c r="S72" s="475">
        <v>0</v>
      </c>
      <c r="T72" s="475">
        <v>-800850</v>
      </c>
      <c r="U72" s="475">
        <v>0</v>
      </c>
      <c r="V72" s="475">
        <v>0</v>
      </c>
      <c r="W72" s="475">
        <v>0</v>
      </c>
      <c r="X72" s="475">
        <f>SUM(R72:W72)</f>
        <v>-800850</v>
      </c>
      <c r="Y72" s="475">
        <v>0</v>
      </c>
      <c r="Z72" s="475">
        <v>0</v>
      </c>
      <c r="AA72" s="475">
        <v>0</v>
      </c>
      <c r="AB72" s="475">
        <f t="shared" ref="AB72:AB74" si="193">SUM(Y72:AA72)</f>
        <v>0</v>
      </c>
      <c r="AC72" s="475">
        <f t="shared" ref="AC72:AC74" si="194">X72+AB72</f>
        <v>-800850</v>
      </c>
      <c r="AD72" s="70">
        <f t="shared" ref="AD72:AD74" si="195">ROUND((X72+Y72+Z72)*33.8%,0)</f>
        <v>-270687</v>
      </c>
      <c r="AE72" s="70">
        <f t="shared" ref="AE72:AE74" si="196">ROUND(X72*2%,0)</f>
        <v>-16017</v>
      </c>
      <c r="AF72" s="475">
        <v>0</v>
      </c>
      <c r="AG72" s="475">
        <v>0</v>
      </c>
      <c r="AH72" s="475">
        <f t="shared" ref="AH72:AH74" si="197">SUM(AF72:AG72)</f>
        <v>0</v>
      </c>
      <c r="AI72" s="475">
        <f t="shared" ref="AI72:AI74" si="198">AC72+AD72+AE72+AH72</f>
        <v>-1087554</v>
      </c>
      <c r="AJ72" s="476">
        <v>0</v>
      </c>
      <c r="AK72" s="476">
        <v>0</v>
      </c>
      <c r="AL72" s="476">
        <v>0</v>
      </c>
      <c r="AM72" s="476">
        <v>-1.61</v>
      </c>
      <c r="AN72" s="476">
        <v>-0.17</v>
      </c>
      <c r="AO72" s="476">
        <v>0</v>
      </c>
      <c r="AP72" s="476">
        <v>0</v>
      </c>
      <c r="AQ72" s="476">
        <v>0</v>
      </c>
      <c r="AR72" s="476">
        <f>AJ72+AL72+AM72+AO72+AP72</f>
        <v>-1.61</v>
      </c>
      <c r="AS72" s="476">
        <f>AK72+AN72+AQ72</f>
        <v>-0.17</v>
      </c>
      <c r="AT72" s="478">
        <f t="shared" ref="AT72:AT74" si="199">SUM(AR72:AS72)</f>
        <v>-1.78</v>
      </c>
      <c r="AU72" s="484">
        <f t="shared" si="17"/>
        <v>8336793</v>
      </c>
      <c r="AV72" s="475">
        <f t="shared" si="18"/>
        <v>6101578</v>
      </c>
      <c r="AW72" s="475">
        <f t="shared" ref="AW72:AW74" si="200">K72+AB72</f>
        <v>0</v>
      </c>
      <c r="AX72" s="475">
        <f t="shared" ref="AX72:AY74" si="201">L72+AD72</f>
        <v>2062334</v>
      </c>
      <c r="AY72" s="475">
        <f t="shared" si="201"/>
        <v>122031</v>
      </c>
      <c r="AZ72" s="475">
        <f t="shared" si="19"/>
        <v>50850</v>
      </c>
      <c r="BA72" s="476">
        <f t="shared" si="20"/>
        <v>14.583800000000002</v>
      </c>
      <c r="BB72" s="476">
        <f t="shared" ref="BB72:BC74" si="202">P72+AR72</f>
        <v>10.449300000000001</v>
      </c>
      <c r="BC72" s="478">
        <f t="shared" si="202"/>
        <v>4.134500000000001</v>
      </c>
    </row>
    <row r="73" spans="1:55" s="234" customFormat="1" ht="12.75" customHeight="1" x14ac:dyDescent="0.2">
      <c r="A73" s="236">
        <v>18</v>
      </c>
      <c r="B73" s="237">
        <v>3460</v>
      </c>
      <c r="C73" s="237">
        <v>691000387</v>
      </c>
      <c r="D73" s="237">
        <v>86797034</v>
      </c>
      <c r="E73" s="238" t="s">
        <v>44</v>
      </c>
      <c r="F73" s="237">
        <v>3111</v>
      </c>
      <c r="G73" s="238" t="s">
        <v>312</v>
      </c>
      <c r="H73" s="273" t="s">
        <v>278</v>
      </c>
      <c r="I73" s="472">
        <v>172494</v>
      </c>
      <c r="J73" s="472">
        <v>127021</v>
      </c>
      <c r="K73" s="472">
        <v>0</v>
      </c>
      <c r="L73" s="472">
        <v>42933</v>
      </c>
      <c r="M73" s="472">
        <v>2540</v>
      </c>
      <c r="N73" s="472">
        <v>0</v>
      </c>
      <c r="O73" s="473">
        <v>0.5</v>
      </c>
      <c r="P73" s="474">
        <v>0.5</v>
      </c>
      <c r="Q73" s="483">
        <v>0</v>
      </c>
      <c r="R73" s="485">
        <f t="shared" si="192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>SUM(R73:W73)</f>
        <v>0</v>
      </c>
      <c r="Y73" s="475">
        <v>0</v>
      </c>
      <c r="Z73" s="475">
        <v>0</v>
      </c>
      <c r="AA73" s="475">
        <v>0</v>
      </c>
      <c r="AB73" s="475">
        <f t="shared" si="193"/>
        <v>0</v>
      </c>
      <c r="AC73" s="475">
        <f t="shared" si="194"/>
        <v>0</v>
      </c>
      <c r="AD73" s="70">
        <f t="shared" si="195"/>
        <v>0</v>
      </c>
      <c r="AE73" s="70">
        <f t="shared" si="196"/>
        <v>0</v>
      </c>
      <c r="AF73" s="475">
        <v>0</v>
      </c>
      <c r="AG73" s="475">
        <v>0</v>
      </c>
      <c r="AH73" s="475">
        <f t="shared" si="197"/>
        <v>0</v>
      </c>
      <c r="AI73" s="475">
        <f t="shared" si="198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>AJ73+AL73+AM73+AO73+AP73</f>
        <v>0</v>
      </c>
      <c r="AS73" s="476">
        <f>AK73+AN73+AQ73</f>
        <v>0</v>
      </c>
      <c r="AT73" s="478">
        <f t="shared" si="199"/>
        <v>0</v>
      </c>
      <c r="AU73" s="484">
        <f t="shared" si="17"/>
        <v>172494</v>
      </c>
      <c r="AV73" s="475">
        <f t="shared" si="18"/>
        <v>127021</v>
      </c>
      <c r="AW73" s="475">
        <f t="shared" si="200"/>
        <v>0</v>
      </c>
      <c r="AX73" s="475">
        <f t="shared" si="201"/>
        <v>42933</v>
      </c>
      <c r="AY73" s="475">
        <f t="shared" si="201"/>
        <v>2540</v>
      </c>
      <c r="AZ73" s="475">
        <f t="shared" si="19"/>
        <v>0</v>
      </c>
      <c r="BA73" s="476">
        <f t="shared" si="20"/>
        <v>0.5</v>
      </c>
      <c r="BB73" s="476">
        <f t="shared" si="202"/>
        <v>0.5</v>
      </c>
      <c r="BC73" s="478">
        <f t="shared" si="202"/>
        <v>0</v>
      </c>
    </row>
    <row r="74" spans="1:55" s="234" customFormat="1" ht="12.75" customHeight="1" x14ac:dyDescent="0.2">
      <c r="A74" s="236">
        <v>18</v>
      </c>
      <c r="B74" s="237">
        <v>3460</v>
      </c>
      <c r="C74" s="237">
        <v>691000387</v>
      </c>
      <c r="D74" s="237">
        <v>86797034</v>
      </c>
      <c r="E74" s="238" t="s">
        <v>44</v>
      </c>
      <c r="F74" s="237">
        <v>3141</v>
      </c>
      <c r="G74" s="238" t="s">
        <v>315</v>
      </c>
      <c r="H74" s="273" t="s">
        <v>278</v>
      </c>
      <c r="I74" s="472">
        <v>912995</v>
      </c>
      <c r="J74" s="472">
        <v>669063</v>
      </c>
      <c r="K74" s="472">
        <v>0</v>
      </c>
      <c r="L74" s="472">
        <v>226143</v>
      </c>
      <c r="M74" s="472">
        <v>13381</v>
      </c>
      <c r="N74" s="472">
        <v>4408</v>
      </c>
      <c r="O74" s="473">
        <v>2.11</v>
      </c>
      <c r="P74" s="474">
        <v>0</v>
      </c>
      <c r="Q74" s="483">
        <v>2.11</v>
      </c>
      <c r="R74" s="485">
        <f t="shared" si="192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>SUM(R74:W74)</f>
        <v>0</v>
      </c>
      <c r="Y74" s="475">
        <v>0</v>
      </c>
      <c r="Z74" s="475">
        <v>0</v>
      </c>
      <c r="AA74" s="475">
        <v>0</v>
      </c>
      <c r="AB74" s="475">
        <f t="shared" si="193"/>
        <v>0</v>
      </c>
      <c r="AC74" s="475">
        <f t="shared" si="194"/>
        <v>0</v>
      </c>
      <c r="AD74" s="70">
        <f t="shared" si="195"/>
        <v>0</v>
      </c>
      <c r="AE74" s="70">
        <f t="shared" si="196"/>
        <v>0</v>
      </c>
      <c r="AF74" s="475">
        <v>0</v>
      </c>
      <c r="AG74" s="475">
        <v>0</v>
      </c>
      <c r="AH74" s="475">
        <f t="shared" si="197"/>
        <v>0</v>
      </c>
      <c r="AI74" s="475">
        <f t="shared" si="198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199"/>
        <v>0</v>
      </c>
      <c r="AU74" s="484">
        <f t="shared" si="17"/>
        <v>912995</v>
      </c>
      <c r="AV74" s="475">
        <f t="shared" si="18"/>
        <v>669063</v>
      </c>
      <c r="AW74" s="475">
        <f t="shared" si="200"/>
        <v>0</v>
      </c>
      <c r="AX74" s="475">
        <f t="shared" si="201"/>
        <v>226143</v>
      </c>
      <c r="AY74" s="475">
        <f t="shared" si="201"/>
        <v>13381</v>
      </c>
      <c r="AZ74" s="475">
        <f t="shared" si="19"/>
        <v>4408</v>
      </c>
      <c r="BA74" s="476">
        <f t="shared" si="20"/>
        <v>2.11</v>
      </c>
      <c r="BB74" s="476">
        <f t="shared" si="202"/>
        <v>0</v>
      </c>
      <c r="BC74" s="478">
        <f t="shared" si="202"/>
        <v>2.11</v>
      </c>
    </row>
    <row r="75" spans="1:55" s="234" customFormat="1" ht="12.75" customHeight="1" x14ac:dyDescent="0.2">
      <c r="A75" s="160">
        <v>18</v>
      </c>
      <c r="B75" s="14">
        <v>3460</v>
      </c>
      <c r="C75" s="159">
        <v>691000387</v>
      </c>
      <c r="D75" s="159">
        <v>86797034</v>
      </c>
      <c r="E75" s="235" t="s">
        <v>45</v>
      </c>
      <c r="F75" s="14"/>
      <c r="G75" s="235"/>
      <c r="H75" s="272"/>
      <c r="I75" s="479">
        <v>10509836</v>
      </c>
      <c r="J75" s="479">
        <v>7698512</v>
      </c>
      <c r="K75" s="479">
        <v>0</v>
      </c>
      <c r="L75" s="479">
        <v>2602097</v>
      </c>
      <c r="M75" s="479">
        <v>153969</v>
      </c>
      <c r="N75" s="479">
        <v>55258</v>
      </c>
      <c r="O75" s="441">
        <v>18.973800000000001</v>
      </c>
      <c r="P75" s="441">
        <v>12.5593</v>
      </c>
      <c r="Q75" s="441">
        <v>6.4145000000000003</v>
      </c>
      <c r="R75" s="687">
        <f t="shared" ref="R75:BC75" si="203">SUM(R72:R74)</f>
        <v>0</v>
      </c>
      <c r="S75" s="685">
        <f t="shared" si="203"/>
        <v>0</v>
      </c>
      <c r="T75" s="685">
        <f t="shared" si="203"/>
        <v>-800850</v>
      </c>
      <c r="U75" s="685">
        <f t="shared" si="203"/>
        <v>0</v>
      </c>
      <c r="V75" s="685">
        <f t="shared" si="203"/>
        <v>0</v>
      </c>
      <c r="W75" s="685">
        <f t="shared" si="203"/>
        <v>0</v>
      </c>
      <c r="X75" s="685">
        <f t="shared" si="203"/>
        <v>-800850</v>
      </c>
      <c r="Y75" s="685">
        <f t="shared" si="203"/>
        <v>0</v>
      </c>
      <c r="Z75" s="685">
        <f t="shared" si="203"/>
        <v>0</v>
      </c>
      <c r="AA75" s="685">
        <f t="shared" si="203"/>
        <v>0</v>
      </c>
      <c r="AB75" s="685">
        <f t="shared" si="203"/>
        <v>0</v>
      </c>
      <c r="AC75" s="685">
        <f t="shared" si="203"/>
        <v>-800850</v>
      </c>
      <c r="AD75" s="685">
        <f t="shared" si="203"/>
        <v>-270687</v>
      </c>
      <c r="AE75" s="685">
        <f t="shared" si="203"/>
        <v>-16017</v>
      </c>
      <c r="AF75" s="685">
        <f t="shared" si="203"/>
        <v>0</v>
      </c>
      <c r="AG75" s="685">
        <f t="shared" si="203"/>
        <v>0</v>
      </c>
      <c r="AH75" s="685">
        <f t="shared" si="203"/>
        <v>0</v>
      </c>
      <c r="AI75" s="685">
        <f t="shared" si="203"/>
        <v>-1087554</v>
      </c>
      <c r="AJ75" s="686">
        <f t="shared" si="203"/>
        <v>0</v>
      </c>
      <c r="AK75" s="686">
        <f t="shared" si="203"/>
        <v>0</v>
      </c>
      <c r="AL75" s="686">
        <f t="shared" si="203"/>
        <v>0</v>
      </c>
      <c r="AM75" s="686">
        <f t="shared" si="203"/>
        <v>-1.61</v>
      </c>
      <c r="AN75" s="686">
        <f t="shared" si="203"/>
        <v>-0.17</v>
      </c>
      <c r="AO75" s="686">
        <f t="shared" si="203"/>
        <v>0</v>
      </c>
      <c r="AP75" s="686">
        <f t="shared" si="203"/>
        <v>0</v>
      </c>
      <c r="AQ75" s="686">
        <f t="shared" si="203"/>
        <v>0</v>
      </c>
      <c r="AR75" s="686">
        <f t="shared" si="203"/>
        <v>-1.61</v>
      </c>
      <c r="AS75" s="686">
        <f t="shared" si="203"/>
        <v>-0.17</v>
      </c>
      <c r="AT75" s="688">
        <f t="shared" si="203"/>
        <v>-1.78</v>
      </c>
      <c r="AU75" s="683">
        <f t="shared" si="203"/>
        <v>9422282</v>
      </c>
      <c r="AV75" s="479">
        <f t="shared" si="203"/>
        <v>6897662</v>
      </c>
      <c r="AW75" s="479">
        <f t="shared" si="203"/>
        <v>0</v>
      </c>
      <c r="AX75" s="479">
        <f t="shared" si="203"/>
        <v>2331410</v>
      </c>
      <c r="AY75" s="479">
        <f t="shared" si="203"/>
        <v>137952</v>
      </c>
      <c r="AZ75" s="479">
        <f t="shared" si="203"/>
        <v>55258</v>
      </c>
      <c r="BA75" s="441">
        <f t="shared" si="203"/>
        <v>17.193800000000003</v>
      </c>
      <c r="BB75" s="441">
        <f t="shared" si="203"/>
        <v>10.949300000000001</v>
      </c>
      <c r="BC75" s="520">
        <f t="shared" si="203"/>
        <v>6.2445000000000004</v>
      </c>
    </row>
    <row r="76" spans="1:55" s="234" customFormat="1" ht="12.75" customHeight="1" x14ac:dyDescent="0.2">
      <c r="A76" s="236">
        <v>19</v>
      </c>
      <c r="B76" s="237">
        <v>3413</v>
      </c>
      <c r="C76" s="237">
        <v>600077918</v>
      </c>
      <c r="D76" s="237">
        <v>72743433</v>
      </c>
      <c r="E76" s="238" t="s">
        <v>279</v>
      </c>
      <c r="F76" s="237">
        <v>3111</v>
      </c>
      <c r="G76" s="238" t="s">
        <v>311</v>
      </c>
      <c r="H76" s="273" t="s">
        <v>277</v>
      </c>
      <c r="I76" s="472">
        <v>11154645</v>
      </c>
      <c r="J76" s="472">
        <v>8161189</v>
      </c>
      <c r="K76" s="472">
        <v>0</v>
      </c>
      <c r="L76" s="472">
        <v>2758482</v>
      </c>
      <c r="M76" s="472">
        <v>163224</v>
      </c>
      <c r="N76" s="472">
        <v>71750</v>
      </c>
      <c r="O76" s="473">
        <v>17.7</v>
      </c>
      <c r="P76" s="474">
        <v>12.7097</v>
      </c>
      <c r="Q76" s="483">
        <v>4.9902999999999995</v>
      </c>
      <c r="R76" s="485">
        <f t="shared" ref="R76:R79" si="204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>SUM(R76:W76)</f>
        <v>0</v>
      </c>
      <c r="Y76" s="475">
        <v>0</v>
      </c>
      <c r="Z76" s="475">
        <v>0</v>
      </c>
      <c r="AA76" s="475">
        <v>0</v>
      </c>
      <c r="AB76" s="475">
        <f t="shared" ref="AB76:AB79" si="205">SUM(Y76:AA76)</f>
        <v>0</v>
      </c>
      <c r="AC76" s="475">
        <f t="shared" ref="AC76:AC79" si="206">X76+AB76</f>
        <v>0</v>
      </c>
      <c r="AD76" s="70">
        <f t="shared" ref="AD76:AD79" si="207">ROUND((X76+Y76+Z76)*33.8%,0)</f>
        <v>0</v>
      </c>
      <c r="AE76" s="70">
        <f t="shared" ref="AE76:AE79" si="208">ROUND(X76*2%,0)</f>
        <v>0</v>
      </c>
      <c r="AF76" s="475">
        <v>0</v>
      </c>
      <c r="AG76" s="475">
        <v>0</v>
      </c>
      <c r="AH76" s="475">
        <f t="shared" ref="AH76:AH79" si="209">SUM(AF76:AG76)</f>
        <v>0</v>
      </c>
      <c r="AI76" s="475">
        <f t="shared" ref="AI76:AI79" si="210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ref="AT76:AT79" si="211">SUM(AR76:AS76)</f>
        <v>0</v>
      </c>
      <c r="AU76" s="484">
        <f t="shared" si="17"/>
        <v>11154645</v>
      </c>
      <c r="AV76" s="475">
        <f t="shared" si="18"/>
        <v>8161189</v>
      </c>
      <c r="AW76" s="475">
        <f t="shared" ref="AW76:AW79" si="212">K76+AB76</f>
        <v>0</v>
      </c>
      <c r="AX76" s="475">
        <f t="shared" ref="AX76:AY79" si="213">L76+AD76</f>
        <v>2758482</v>
      </c>
      <c r="AY76" s="475">
        <f t="shared" si="213"/>
        <v>163224</v>
      </c>
      <c r="AZ76" s="475">
        <f t="shared" si="19"/>
        <v>71750</v>
      </c>
      <c r="BA76" s="476">
        <f t="shared" si="20"/>
        <v>17.7</v>
      </c>
      <c r="BB76" s="476">
        <f t="shared" ref="BB76:BC79" si="214">P76+AR76</f>
        <v>12.7097</v>
      </c>
      <c r="BC76" s="478">
        <f t="shared" si="214"/>
        <v>4.9902999999999995</v>
      </c>
    </row>
    <row r="77" spans="1:55" s="234" customFormat="1" ht="12.75" customHeight="1" x14ac:dyDescent="0.2">
      <c r="A77" s="236">
        <v>19</v>
      </c>
      <c r="B77" s="237">
        <v>3413</v>
      </c>
      <c r="C77" s="237">
        <v>600077918</v>
      </c>
      <c r="D77" s="237">
        <v>72743433</v>
      </c>
      <c r="E77" s="238" t="s">
        <v>279</v>
      </c>
      <c r="F77" s="237">
        <v>3111</v>
      </c>
      <c r="G77" s="238" t="s">
        <v>313</v>
      </c>
      <c r="H77" s="273" t="s">
        <v>277</v>
      </c>
      <c r="I77" s="472">
        <v>1917159</v>
      </c>
      <c r="J77" s="472">
        <v>1411752</v>
      </c>
      <c r="K77" s="472">
        <v>0</v>
      </c>
      <c r="L77" s="472">
        <v>477172</v>
      </c>
      <c r="M77" s="472">
        <v>28235</v>
      </c>
      <c r="N77" s="472">
        <v>0</v>
      </c>
      <c r="O77" s="473">
        <v>4</v>
      </c>
      <c r="P77" s="474">
        <v>4</v>
      </c>
      <c r="Q77" s="483">
        <v>0</v>
      </c>
      <c r="R77" s="485">
        <f t="shared" si="204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205"/>
        <v>0</v>
      </c>
      <c r="AC77" s="475">
        <f t="shared" si="206"/>
        <v>0</v>
      </c>
      <c r="AD77" s="70">
        <f t="shared" si="207"/>
        <v>0</v>
      </c>
      <c r="AE77" s="70">
        <f t="shared" si="208"/>
        <v>0</v>
      </c>
      <c r="AF77" s="475">
        <v>0</v>
      </c>
      <c r="AG77" s="475">
        <v>0</v>
      </c>
      <c r="AH77" s="475">
        <f t="shared" si="209"/>
        <v>0</v>
      </c>
      <c r="AI77" s="475">
        <f t="shared" si="210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211"/>
        <v>0</v>
      </c>
      <c r="AU77" s="484">
        <f t="shared" si="17"/>
        <v>1917159</v>
      </c>
      <c r="AV77" s="475">
        <f t="shared" si="18"/>
        <v>1411752</v>
      </c>
      <c r="AW77" s="475">
        <f t="shared" si="212"/>
        <v>0</v>
      </c>
      <c r="AX77" s="475">
        <f t="shared" si="213"/>
        <v>477172</v>
      </c>
      <c r="AY77" s="475">
        <f t="shared" si="213"/>
        <v>28235</v>
      </c>
      <c r="AZ77" s="475">
        <f t="shared" si="19"/>
        <v>0</v>
      </c>
      <c r="BA77" s="476">
        <f t="shared" si="20"/>
        <v>4</v>
      </c>
      <c r="BB77" s="476">
        <f t="shared" si="214"/>
        <v>4</v>
      </c>
      <c r="BC77" s="478">
        <f t="shared" si="214"/>
        <v>0</v>
      </c>
    </row>
    <row r="78" spans="1:55" s="234" customFormat="1" x14ac:dyDescent="0.2">
      <c r="A78" s="236">
        <v>19</v>
      </c>
      <c r="B78" s="237">
        <v>3413</v>
      </c>
      <c r="C78" s="237">
        <v>600077918</v>
      </c>
      <c r="D78" s="237">
        <v>72743433</v>
      </c>
      <c r="E78" s="238" t="s">
        <v>279</v>
      </c>
      <c r="F78" s="237">
        <v>3111</v>
      </c>
      <c r="G78" s="238" t="s">
        <v>312</v>
      </c>
      <c r="H78" s="273" t="s">
        <v>278</v>
      </c>
      <c r="I78" s="472">
        <v>0</v>
      </c>
      <c r="J78" s="472">
        <v>0</v>
      </c>
      <c r="K78" s="472">
        <v>0</v>
      </c>
      <c r="L78" s="472">
        <v>0</v>
      </c>
      <c r="M78" s="472">
        <v>0</v>
      </c>
      <c r="N78" s="472">
        <v>0</v>
      </c>
      <c r="O78" s="473">
        <v>0</v>
      </c>
      <c r="P78" s="474">
        <v>0</v>
      </c>
      <c r="Q78" s="483">
        <v>0</v>
      </c>
      <c r="R78" s="485">
        <f t="shared" si="204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si="205"/>
        <v>0</v>
      </c>
      <c r="AC78" s="475">
        <f t="shared" si="206"/>
        <v>0</v>
      </c>
      <c r="AD78" s="70">
        <f t="shared" si="207"/>
        <v>0</v>
      </c>
      <c r="AE78" s="70">
        <f t="shared" si="208"/>
        <v>0</v>
      </c>
      <c r="AF78" s="475">
        <v>0</v>
      </c>
      <c r="AG78" s="475">
        <v>0</v>
      </c>
      <c r="AH78" s="475">
        <f t="shared" si="209"/>
        <v>0</v>
      </c>
      <c r="AI78" s="475">
        <f t="shared" si="210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si="211"/>
        <v>0</v>
      </c>
      <c r="AU78" s="484">
        <f t="shared" ref="AU78:AU141" si="215">I78+AI78</f>
        <v>0</v>
      </c>
      <c r="AV78" s="475">
        <f t="shared" ref="AV78:AV141" si="216">J78+X78</f>
        <v>0</v>
      </c>
      <c r="AW78" s="475">
        <f t="shared" si="212"/>
        <v>0</v>
      </c>
      <c r="AX78" s="475">
        <f t="shared" si="213"/>
        <v>0</v>
      </c>
      <c r="AY78" s="475">
        <f t="shared" si="213"/>
        <v>0</v>
      </c>
      <c r="AZ78" s="475">
        <f t="shared" ref="AZ78:AZ141" si="217">N78+AH78</f>
        <v>0</v>
      </c>
      <c r="BA78" s="476">
        <f t="shared" ref="BA78:BA141" si="218">O78+AT78</f>
        <v>0</v>
      </c>
      <c r="BB78" s="476">
        <f t="shared" si="214"/>
        <v>0</v>
      </c>
      <c r="BC78" s="478">
        <f t="shared" si="214"/>
        <v>0</v>
      </c>
    </row>
    <row r="79" spans="1:55" s="234" customFormat="1" ht="12.75" customHeight="1" x14ac:dyDescent="0.2">
      <c r="A79" s="236">
        <v>19</v>
      </c>
      <c r="B79" s="237">
        <v>3413</v>
      </c>
      <c r="C79" s="237">
        <v>600077918</v>
      </c>
      <c r="D79" s="237">
        <v>72743433</v>
      </c>
      <c r="E79" s="238" t="s">
        <v>279</v>
      </c>
      <c r="F79" s="237">
        <v>3141</v>
      </c>
      <c r="G79" s="238" t="s">
        <v>315</v>
      </c>
      <c r="H79" s="273" t="s">
        <v>278</v>
      </c>
      <c r="I79" s="472">
        <v>1289728</v>
      </c>
      <c r="J79" s="472">
        <v>945256</v>
      </c>
      <c r="K79" s="472">
        <v>0</v>
      </c>
      <c r="L79" s="472">
        <v>319497</v>
      </c>
      <c r="M79" s="472">
        <v>18905</v>
      </c>
      <c r="N79" s="472">
        <v>6070</v>
      </c>
      <c r="O79" s="473">
        <v>2.98</v>
      </c>
      <c r="P79" s="474">
        <v>0</v>
      </c>
      <c r="Q79" s="483">
        <v>2.98</v>
      </c>
      <c r="R79" s="485">
        <f t="shared" si="204"/>
        <v>0</v>
      </c>
      <c r="S79" s="475">
        <v>0</v>
      </c>
      <c r="T79" s="475">
        <v>2344</v>
      </c>
      <c r="U79" s="475">
        <v>0</v>
      </c>
      <c r="V79" s="475">
        <v>0</v>
      </c>
      <c r="W79" s="475">
        <v>0</v>
      </c>
      <c r="X79" s="475">
        <f>SUM(R79:W79)</f>
        <v>2344</v>
      </c>
      <c r="Y79" s="475">
        <v>0</v>
      </c>
      <c r="Z79" s="475">
        <v>0</v>
      </c>
      <c r="AA79" s="475">
        <v>0</v>
      </c>
      <c r="AB79" s="475">
        <f t="shared" si="205"/>
        <v>0</v>
      </c>
      <c r="AC79" s="475">
        <f t="shared" si="206"/>
        <v>2344</v>
      </c>
      <c r="AD79" s="70">
        <f t="shared" si="207"/>
        <v>792</v>
      </c>
      <c r="AE79" s="70">
        <f t="shared" si="208"/>
        <v>47</v>
      </c>
      <c r="AF79" s="475">
        <v>0</v>
      </c>
      <c r="AG79" s="475">
        <v>0</v>
      </c>
      <c r="AH79" s="475">
        <f t="shared" si="209"/>
        <v>0</v>
      </c>
      <c r="AI79" s="475">
        <f t="shared" si="210"/>
        <v>3183</v>
      </c>
      <c r="AJ79" s="476">
        <v>0</v>
      </c>
      <c r="AK79" s="476">
        <v>0</v>
      </c>
      <c r="AL79" s="476">
        <v>0</v>
      </c>
      <c r="AM79" s="476">
        <v>0</v>
      </c>
      <c r="AN79" s="476">
        <v>0.01</v>
      </c>
      <c r="AO79" s="476">
        <v>0</v>
      </c>
      <c r="AP79" s="476">
        <v>0</v>
      </c>
      <c r="AQ79" s="476">
        <v>0</v>
      </c>
      <c r="AR79" s="476">
        <f>AJ79+AL79+AM79+AO79+AP79</f>
        <v>0</v>
      </c>
      <c r="AS79" s="476">
        <f>AK79+AN79+AQ79</f>
        <v>0.01</v>
      </c>
      <c r="AT79" s="478">
        <f t="shared" si="211"/>
        <v>0.01</v>
      </c>
      <c r="AU79" s="484">
        <f t="shared" si="215"/>
        <v>1292911</v>
      </c>
      <c r="AV79" s="475">
        <f t="shared" si="216"/>
        <v>947600</v>
      </c>
      <c r="AW79" s="475">
        <f t="shared" si="212"/>
        <v>0</v>
      </c>
      <c r="AX79" s="475">
        <f t="shared" si="213"/>
        <v>320289</v>
      </c>
      <c r="AY79" s="475">
        <f t="shared" si="213"/>
        <v>18952</v>
      </c>
      <c r="AZ79" s="475">
        <f t="shared" si="217"/>
        <v>6070</v>
      </c>
      <c r="BA79" s="476">
        <f t="shared" si="218"/>
        <v>2.9899999999999998</v>
      </c>
      <c r="BB79" s="476">
        <f t="shared" si="214"/>
        <v>0</v>
      </c>
      <c r="BC79" s="478">
        <f t="shared" si="214"/>
        <v>2.9899999999999998</v>
      </c>
    </row>
    <row r="80" spans="1:55" s="234" customFormat="1" ht="12.75" customHeight="1" x14ac:dyDescent="0.2">
      <c r="A80" s="160">
        <v>19</v>
      </c>
      <c r="B80" s="14">
        <v>3413</v>
      </c>
      <c r="C80" s="159">
        <v>600077918</v>
      </c>
      <c r="D80" s="159">
        <v>72743433</v>
      </c>
      <c r="E80" s="235" t="s">
        <v>46</v>
      </c>
      <c r="F80" s="14"/>
      <c r="G80" s="235"/>
      <c r="H80" s="272"/>
      <c r="I80" s="479">
        <v>14361532</v>
      </c>
      <c r="J80" s="479">
        <v>10518197</v>
      </c>
      <c r="K80" s="479">
        <v>0</v>
      </c>
      <c r="L80" s="479">
        <v>3555151</v>
      </c>
      <c r="M80" s="479">
        <v>210364</v>
      </c>
      <c r="N80" s="479">
        <v>77820</v>
      </c>
      <c r="O80" s="441">
        <v>24.68</v>
      </c>
      <c r="P80" s="441">
        <v>16.709699999999998</v>
      </c>
      <c r="Q80" s="441">
        <v>7.9702999999999999</v>
      </c>
      <c r="R80" s="687">
        <f t="shared" ref="R80:BC80" si="219">SUM(R76:R79)</f>
        <v>0</v>
      </c>
      <c r="S80" s="685">
        <f t="shared" si="219"/>
        <v>0</v>
      </c>
      <c r="T80" s="685">
        <f t="shared" si="219"/>
        <v>2344</v>
      </c>
      <c r="U80" s="685">
        <f t="shared" si="219"/>
        <v>0</v>
      </c>
      <c r="V80" s="685">
        <f t="shared" si="219"/>
        <v>0</v>
      </c>
      <c r="W80" s="685">
        <f t="shared" si="219"/>
        <v>0</v>
      </c>
      <c r="X80" s="685">
        <f t="shared" si="219"/>
        <v>2344</v>
      </c>
      <c r="Y80" s="685">
        <f t="shared" si="219"/>
        <v>0</v>
      </c>
      <c r="Z80" s="685">
        <f t="shared" si="219"/>
        <v>0</v>
      </c>
      <c r="AA80" s="685">
        <f t="shared" si="219"/>
        <v>0</v>
      </c>
      <c r="AB80" s="685">
        <f t="shared" si="219"/>
        <v>0</v>
      </c>
      <c r="AC80" s="685">
        <f t="shared" si="219"/>
        <v>2344</v>
      </c>
      <c r="AD80" s="685">
        <f t="shared" si="219"/>
        <v>792</v>
      </c>
      <c r="AE80" s="685">
        <f t="shared" si="219"/>
        <v>47</v>
      </c>
      <c r="AF80" s="685">
        <f t="shared" si="219"/>
        <v>0</v>
      </c>
      <c r="AG80" s="685">
        <f t="shared" si="219"/>
        <v>0</v>
      </c>
      <c r="AH80" s="685">
        <f t="shared" si="219"/>
        <v>0</v>
      </c>
      <c r="AI80" s="685">
        <f t="shared" si="219"/>
        <v>3183</v>
      </c>
      <c r="AJ80" s="686">
        <f t="shared" si="219"/>
        <v>0</v>
      </c>
      <c r="AK80" s="686">
        <f t="shared" si="219"/>
        <v>0</v>
      </c>
      <c r="AL80" s="686">
        <f t="shared" si="219"/>
        <v>0</v>
      </c>
      <c r="AM80" s="686">
        <f t="shared" si="219"/>
        <v>0</v>
      </c>
      <c r="AN80" s="686">
        <f t="shared" si="219"/>
        <v>0.01</v>
      </c>
      <c r="AO80" s="686">
        <f t="shared" si="219"/>
        <v>0</v>
      </c>
      <c r="AP80" s="686">
        <f t="shared" si="219"/>
        <v>0</v>
      </c>
      <c r="AQ80" s="686">
        <f t="shared" si="219"/>
        <v>0</v>
      </c>
      <c r="AR80" s="686">
        <f t="shared" si="219"/>
        <v>0</v>
      </c>
      <c r="AS80" s="686">
        <f t="shared" si="219"/>
        <v>0.01</v>
      </c>
      <c r="AT80" s="688">
        <f t="shared" si="219"/>
        <v>0.01</v>
      </c>
      <c r="AU80" s="683">
        <f t="shared" si="219"/>
        <v>14364715</v>
      </c>
      <c r="AV80" s="479">
        <f t="shared" si="219"/>
        <v>10520541</v>
      </c>
      <c r="AW80" s="479">
        <f t="shared" si="219"/>
        <v>0</v>
      </c>
      <c r="AX80" s="479">
        <f t="shared" si="219"/>
        <v>3555943</v>
      </c>
      <c r="AY80" s="479">
        <f t="shared" si="219"/>
        <v>210411</v>
      </c>
      <c r="AZ80" s="479">
        <f t="shared" si="219"/>
        <v>77820</v>
      </c>
      <c r="BA80" s="441">
        <f t="shared" si="219"/>
        <v>24.689999999999998</v>
      </c>
      <c r="BB80" s="441">
        <f t="shared" si="219"/>
        <v>16.709699999999998</v>
      </c>
      <c r="BC80" s="520">
        <f t="shared" si="219"/>
        <v>7.9802999999999997</v>
      </c>
    </row>
    <row r="81" spans="1:55" s="234" customFormat="1" ht="12.75" customHeight="1" x14ac:dyDescent="0.2">
      <c r="A81" s="236">
        <v>20</v>
      </c>
      <c r="B81" s="237">
        <v>3409</v>
      </c>
      <c r="C81" s="237">
        <v>600078396</v>
      </c>
      <c r="D81" s="237">
        <v>43257399</v>
      </c>
      <c r="E81" s="238" t="s">
        <v>47</v>
      </c>
      <c r="F81" s="237">
        <v>3113</v>
      </c>
      <c r="G81" s="238" t="s">
        <v>314</v>
      </c>
      <c r="H81" s="273" t="s">
        <v>277</v>
      </c>
      <c r="I81" s="472">
        <v>24821997</v>
      </c>
      <c r="J81" s="472">
        <v>17796722</v>
      </c>
      <c r="K81" s="472">
        <v>61000</v>
      </c>
      <c r="L81" s="472">
        <v>6035910</v>
      </c>
      <c r="M81" s="472">
        <v>355935</v>
      </c>
      <c r="N81" s="472">
        <v>572430</v>
      </c>
      <c r="O81" s="473">
        <v>33.418199999999999</v>
      </c>
      <c r="P81" s="474">
        <v>25.528799999999997</v>
      </c>
      <c r="Q81" s="483">
        <v>7.8894000000000002</v>
      </c>
      <c r="R81" s="485">
        <f t="shared" ref="R81:R85" si="220">Y81*-1</f>
        <v>-20000</v>
      </c>
      <c r="S81" s="475">
        <v>0</v>
      </c>
      <c r="T81" s="475">
        <v>0</v>
      </c>
      <c r="U81" s="475">
        <v>57024</v>
      </c>
      <c r="V81" s="475">
        <v>0</v>
      </c>
      <c r="W81" s="475">
        <v>0</v>
      </c>
      <c r="X81" s="475">
        <f>SUM(R81:W81)</f>
        <v>37024</v>
      </c>
      <c r="Y81" s="475">
        <v>20000</v>
      </c>
      <c r="Z81" s="475">
        <v>0</v>
      </c>
      <c r="AA81" s="475">
        <v>0</v>
      </c>
      <c r="AB81" s="475">
        <f t="shared" ref="AB81:AB85" si="221">SUM(Y81:AA81)</f>
        <v>20000</v>
      </c>
      <c r="AC81" s="475">
        <f t="shared" ref="AC81:AC85" si="222">X81+AB81</f>
        <v>57024</v>
      </c>
      <c r="AD81" s="70">
        <f t="shared" ref="AD81:AD85" si="223">ROUND((X81+Y81+Z81)*33.8%,0)</f>
        <v>19274</v>
      </c>
      <c r="AE81" s="70">
        <f t="shared" ref="AE81:AE85" si="224">ROUND(X81*2%,0)</f>
        <v>740</v>
      </c>
      <c r="AF81" s="475">
        <v>0</v>
      </c>
      <c r="AG81" s="475">
        <v>0</v>
      </c>
      <c r="AH81" s="475">
        <f t="shared" ref="AH81:AH85" si="225">SUM(AF81:AG81)</f>
        <v>0</v>
      </c>
      <c r="AI81" s="475">
        <f t="shared" ref="AI81:AI85" si="226">AC81+AD81+AE81+AH81</f>
        <v>77038</v>
      </c>
      <c r="AJ81" s="476">
        <v>-0.04</v>
      </c>
      <c r="AK81" s="476">
        <v>0</v>
      </c>
      <c r="AL81" s="476">
        <v>0</v>
      </c>
      <c r="AM81" s="476">
        <v>0</v>
      </c>
      <c r="AN81" s="476">
        <v>0</v>
      </c>
      <c r="AO81" s="476">
        <v>0.09</v>
      </c>
      <c r="AP81" s="476">
        <v>0</v>
      </c>
      <c r="AQ81" s="476">
        <v>0</v>
      </c>
      <c r="AR81" s="476">
        <f>AJ81+AL81+AM81+AO81+AP81</f>
        <v>4.9999999999999996E-2</v>
      </c>
      <c r="AS81" s="476">
        <f>AK81+AN81+AQ81</f>
        <v>0</v>
      </c>
      <c r="AT81" s="478">
        <f t="shared" ref="AT81:AT85" si="227">SUM(AR81:AS81)</f>
        <v>4.9999999999999996E-2</v>
      </c>
      <c r="AU81" s="484">
        <f t="shared" si="215"/>
        <v>24899035</v>
      </c>
      <c r="AV81" s="475">
        <f t="shared" si="216"/>
        <v>17833746</v>
      </c>
      <c r="AW81" s="475">
        <f t="shared" ref="AW81:AW85" si="228">K81+AB81</f>
        <v>81000</v>
      </c>
      <c r="AX81" s="475">
        <f t="shared" ref="AX81:AY85" si="229">L81+AD81</f>
        <v>6055184</v>
      </c>
      <c r="AY81" s="475">
        <f t="shared" si="229"/>
        <v>356675</v>
      </c>
      <c r="AZ81" s="475">
        <f t="shared" si="217"/>
        <v>572430</v>
      </c>
      <c r="BA81" s="476">
        <f t="shared" si="218"/>
        <v>33.468199999999996</v>
      </c>
      <c r="BB81" s="476">
        <f t="shared" ref="BB81:BC85" si="230">P81+AR81</f>
        <v>25.578799999999998</v>
      </c>
      <c r="BC81" s="478">
        <f t="shared" si="230"/>
        <v>7.8894000000000002</v>
      </c>
    </row>
    <row r="82" spans="1:55" s="234" customFormat="1" x14ac:dyDescent="0.2">
      <c r="A82" s="236">
        <v>20</v>
      </c>
      <c r="B82" s="237">
        <v>3409</v>
      </c>
      <c r="C82" s="237">
        <v>600078396</v>
      </c>
      <c r="D82" s="237">
        <v>43257399</v>
      </c>
      <c r="E82" s="238" t="s">
        <v>47</v>
      </c>
      <c r="F82" s="237">
        <v>3113</v>
      </c>
      <c r="G82" s="238" t="s">
        <v>312</v>
      </c>
      <c r="H82" s="273" t="s">
        <v>278</v>
      </c>
      <c r="I82" s="472">
        <v>4194013</v>
      </c>
      <c r="J82" s="472">
        <v>3078250</v>
      </c>
      <c r="K82" s="472">
        <v>0</v>
      </c>
      <c r="L82" s="472">
        <v>1040449</v>
      </c>
      <c r="M82" s="472">
        <v>61564</v>
      </c>
      <c r="N82" s="472">
        <v>13750</v>
      </c>
      <c r="O82" s="473">
        <v>8.5100000000000016</v>
      </c>
      <c r="P82" s="474">
        <v>8.5100000000000016</v>
      </c>
      <c r="Q82" s="483">
        <v>0</v>
      </c>
      <c r="R82" s="485">
        <f t="shared" si="220"/>
        <v>0</v>
      </c>
      <c r="S82" s="475">
        <v>-15424</v>
      </c>
      <c r="T82" s="475">
        <v>0</v>
      </c>
      <c r="U82" s="475">
        <v>0</v>
      </c>
      <c r="V82" s="475">
        <v>0</v>
      </c>
      <c r="W82" s="475">
        <v>0</v>
      </c>
      <c r="X82" s="475">
        <f>SUM(R82:W82)</f>
        <v>-15424</v>
      </c>
      <c r="Y82" s="475">
        <v>0</v>
      </c>
      <c r="Z82" s="475">
        <v>0</v>
      </c>
      <c r="AA82" s="475">
        <v>0</v>
      </c>
      <c r="AB82" s="475">
        <f t="shared" si="221"/>
        <v>0</v>
      </c>
      <c r="AC82" s="475">
        <f t="shared" si="222"/>
        <v>-15424</v>
      </c>
      <c r="AD82" s="70">
        <f t="shared" si="223"/>
        <v>-5213</v>
      </c>
      <c r="AE82" s="70">
        <f t="shared" si="224"/>
        <v>-308</v>
      </c>
      <c r="AF82" s="475">
        <v>0</v>
      </c>
      <c r="AG82" s="475">
        <v>0</v>
      </c>
      <c r="AH82" s="475">
        <f t="shared" si="225"/>
        <v>0</v>
      </c>
      <c r="AI82" s="475">
        <f t="shared" si="226"/>
        <v>-20945</v>
      </c>
      <c r="AJ82" s="476">
        <v>0</v>
      </c>
      <c r="AK82" s="476">
        <v>0</v>
      </c>
      <c r="AL82" s="476">
        <v>-0.03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>AJ82+AL82+AM82+AO82+AP82</f>
        <v>-0.03</v>
      </c>
      <c r="AS82" s="476">
        <f>AK82+AN82+AQ82</f>
        <v>0</v>
      </c>
      <c r="AT82" s="478">
        <f t="shared" si="227"/>
        <v>-0.03</v>
      </c>
      <c r="AU82" s="484">
        <f t="shared" si="215"/>
        <v>4173068</v>
      </c>
      <c r="AV82" s="475">
        <f t="shared" si="216"/>
        <v>3062826</v>
      </c>
      <c r="AW82" s="475">
        <f t="shared" si="228"/>
        <v>0</v>
      </c>
      <c r="AX82" s="475">
        <f t="shared" si="229"/>
        <v>1035236</v>
      </c>
      <c r="AY82" s="475">
        <f t="shared" si="229"/>
        <v>61256</v>
      </c>
      <c r="AZ82" s="475">
        <f t="shared" si="217"/>
        <v>13750</v>
      </c>
      <c r="BA82" s="476">
        <f t="shared" si="218"/>
        <v>8.4800000000000022</v>
      </c>
      <c r="BB82" s="476">
        <f t="shared" si="230"/>
        <v>8.4800000000000022</v>
      </c>
      <c r="BC82" s="478">
        <f t="shared" si="230"/>
        <v>0</v>
      </c>
    </row>
    <row r="83" spans="1:55" s="234" customFormat="1" ht="12.75" customHeight="1" x14ac:dyDescent="0.2">
      <c r="A83" s="236">
        <v>20</v>
      </c>
      <c r="B83" s="237">
        <v>3409</v>
      </c>
      <c r="C83" s="237">
        <v>600078396</v>
      </c>
      <c r="D83" s="237">
        <v>43257399</v>
      </c>
      <c r="E83" s="238" t="s">
        <v>47</v>
      </c>
      <c r="F83" s="237">
        <v>3141</v>
      </c>
      <c r="G83" s="238" t="s">
        <v>315</v>
      </c>
      <c r="H83" s="273" t="s">
        <v>278</v>
      </c>
      <c r="I83" s="472">
        <v>2129947</v>
      </c>
      <c r="J83" s="472">
        <v>1557638</v>
      </c>
      <c r="K83" s="472">
        <v>0</v>
      </c>
      <c r="L83" s="472">
        <v>526482</v>
      </c>
      <c r="M83" s="472">
        <v>31153</v>
      </c>
      <c r="N83" s="472">
        <v>14674</v>
      </c>
      <c r="O83" s="473">
        <v>4.91</v>
      </c>
      <c r="P83" s="474">
        <v>0</v>
      </c>
      <c r="Q83" s="483">
        <v>4.91</v>
      </c>
      <c r="R83" s="485">
        <f t="shared" si="220"/>
        <v>0</v>
      </c>
      <c r="S83" s="475">
        <v>0</v>
      </c>
      <c r="T83" s="475">
        <v>19864</v>
      </c>
      <c r="U83" s="475">
        <v>0</v>
      </c>
      <c r="V83" s="475">
        <v>0</v>
      </c>
      <c r="W83" s="475">
        <v>0</v>
      </c>
      <c r="X83" s="475">
        <f>SUM(R83:W83)</f>
        <v>19864</v>
      </c>
      <c r="Y83" s="475">
        <v>0</v>
      </c>
      <c r="Z83" s="475">
        <v>0</v>
      </c>
      <c r="AA83" s="475">
        <v>0</v>
      </c>
      <c r="AB83" s="475">
        <f t="shared" si="221"/>
        <v>0</v>
      </c>
      <c r="AC83" s="475">
        <f t="shared" si="222"/>
        <v>19864</v>
      </c>
      <c r="AD83" s="70">
        <f t="shared" si="223"/>
        <v>6714</v>
      </c>
      <c r="AE83" s="70">
        <f t="shared" si="224"/>
        <v>397</v>
      </c>
      <c r="AF83" s="475">
        <v>0</v>
      </c>
      <c r="AG83" s="475">
        <v>0</v>
      </c>
      <c r="AH83" s="475">
        <f t="shared" si="225"/>
        <v>0</v>
      </c>
      <c r="AI83" s="475">
        <f t="shared" si="226"/>
        <v>26975</v>
      </c>
      <c r="AJ83" s="476">
        <v>0</v>
      </c>
      <c r="AK83" s="476">
        <v>0</v>
      </c>
      <c r="AL83" s="476">
        <v>0</v>
      </c>
      <c r="AM83" s="476">
        <v>0</v>
      </c>
      <c r="AN83" s="476">
        <v>0.06</v>
      </c>
      <c r="AO83" s="476">
        <v>0</v>
      </c>
      <c r="AP83" s="476">
        <v>0</v>
      </c>
      <c r="AQ83" s="476">
        <v>0</v>
      </c>
      <c r="AR83" s="476">
        <f>AJ83+AL83+AM83+AO83+AP83</f>
        <v>0</v>
      </c>
      <c r="AS83" s="476">
        <f>AK83+AN83+AQ83</f>
        <v>0.06</v>
      </c>
      <c r="AT83" s="478">
        <f t="shared" si="227"/>
        <v>0.06</v>
      </c>
      <c r="AU83" s="484">
        <f t="shared" si="215"/>
        <v>2156922</v>
      </c>
      <c r="AV83" s="475">
        <f t="shared" si="216"/>
        <v>1577502</v>
      </c>
      <c r="AW83" s="475">
        <f t="shared" si="228"/>
        <v>0</v>
      </c>
      <c r="AX83" s="475">
        <f t="shared" si="229"/>
        <v>533196</v>
      </c>
      <c r="AY83" s="475">
        <f t="shared" si="229"/>
        <v>31550</v>
      </c>
      <c r="AZ83" s="475">
        <f t="shared" si="217"/>
        <v>14674</v>
      </c>
      <c r="BA83" s="476">
        <f t="shared" si="218"/>
        <v>4.97</v>
      </c>
      <c r="BB83" s="476">
        <f t="shared" si="230"/>
        <v>0</v>
      </c>
      <c r="BC83" s="478">
        <f t="shared" si="230"/>
        <v>4.97</v>
      </c>
    </row>
    <row r="84" spans="1:55" s="234" customFormat="1" ht="12.75" customHeight="1" x14ac:dyDescent="0.2">
      <c r="A84" s="236">
        <v>20</v>
      </c>
      <c r="B84" s="237">
        <v>3409</v>
      </c>
      <c r="C84" s="237">
        <v>600078396</v>
      </c>
      <c r="D84" s="237">
        <v>43257399</v>
      </c>
      <c r="E84" s="238" t="s">
        <v>47</v>
      </c>
      <c r="F84" s="237">
        <v>3143</v>
      </c>
      <c r="G84" s="238" t="s">
        <v>626</v>
      </c>
      <c r="H84" s="273" t="s">
        <v>277</v>
      </c>
      <c r="I84" s="472">
        <v>2782596</v>
      </c>
      <c r="J84" s="472">
        <v>2040172</v>
      </c>
      <c r="K84" s="472">
        <v>9000</v>
      </c>
      <c r="L84" s="472">
        <v>692620</v>
      </c>
      <c r="M84" s="472">
        <v>40804</v>
      </c>
      <c r="N84" s="472">
        <v>0</v>
      </c>
      <c r="O84" s="473">
        <v>4.5</v>
      </c>
      <c r="P84" s="474">
        <v>4.5</v>
      </c>
      <c r="Q84" s="483">
        <v>0</v>
      </c>
      <c r="R84" s="485">
        <f t="shared" si="220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si="221"/>
        <v>0</v>
      </c>
      <c r="AC84" s="475">
        <f t="shared" si="222"/>
        <v>0</v>
      </c>
      <c r="AD84" s="70">
        <f t="shared" si="223"/>
        <v>0</v>
      </c>
      <c r="AE84" s="70">
        <f t="shared" si="224"/>
        <v>0</v>
      </c>
      <c r="AF84" s="475">
        <v>0</v>
      </c>
      <c r="AG84" s="475">
        <v>0</v>
      </c>
      <c r="AH84" s="475">
        <f t="shared" si="225"/>
        <v>0</v>
      </c>
      <c r="AI84" s="475">
        <f t="shared" si="226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si="227"/>
        <v>0</v>
      </c>
      <c r="AU84" s="484">
        <f t="shared" si="215"/>
        <v>2782596</v>
      </c>
      <c r="AV84" s="475">
        <f t="shared" si="216"/>
        <v>2040172</v>
      </c>
      <c r="AW84" s="475">
        <f t="shared" si="228"/>
        <v>9000</v>
      </c>
      <c r="AX84" s="475">
        <f t="shared" si="229"/>
        <v>692620</v>
      </c>
      <c r="AY84" s="475">
        <f t="shared" si="229"/>
        <v>40804</v>
      </c>
      <c r="AZ84" s="475">
        <f t="shared" si="217"/>
        <v>0</v>
      </c>
      <c r="BA84" s="476">
        <f t="shared" si="218"/>
        <v>4.5</v>
      </c>
      <c r="BB84" s="476">
        <f t="shared" si="230"/>
        <v>4.5</v>
      </c>
      <c r="BC84" s="478">
        <f t="shared" si="230"/>
        <v>0</v>
      </c>
    </row>
    <row r="85" spans="1:55" s="234" customFormat="1" ht="12.75" customHeight="1" x14ac:dyDescent="0.2">
      <c r="A85" s="236">
        <v>20</v>
      </c>
      <c r="B85" s="237">
        <v>3409</v>
      </c>
      <c r="C85" s="237">
        <v>600078396</v>
      </c>
      <c r="D85" s="237">
        <v>43257399</v>
      </c>
      <c r="E85" s="238" t="s">
        <v>47</v>
      </c>
      <c r="F85" s="237">
        <v>3143</v>
      </c>
      <c r="G85" s="238" t="s">
        <v>627</v>
      </c>
      <c r="H85" s="273" t="s">
        <v>278</v>
      </c>
      <c r="I85" s="472">
        <v>89208</v>
      </c>
      <c r="J85" s="472">
        <v>63084</v>
      </c>
      <c r="K85" s="472">
        <v>0</v>
      </c>
      <c r="L85" s="472">
        <v>21322</v>
      </c>
      <c r="M85" s="472">
        <v>1262</v>
      </c>
      <c r="N85" s="472">
        <v>3540</v>
      </c>
      <c r="O85" s="473">
        <v>0.25</v>
      </c>
      <c r="P85" s="474">
        <v>0</v>
      </c>
      <c r="Q85" s="483">
        <v>0.25</v>
      </c>
      <c r="R85" s="485">
        <f t="shared" si="220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>SUM(R85:W85)</f>
        <v>0</v>
      </c>
      <c r="Y85" s="475">
        <v>0</v>
      </c>
      <c r="Z85" s="475">
        <v>0</v>
      </c>
      <c r="AA85" s="475">
        <v>0</v>
      </c>
      <c r="AB85" s="475">
        <f t="shared" si="221"/>
        <v>0</v>
      </c>
      <c r="AC85" s="475">
        <f t="shared" si="222"/>
        <v>0</v>
      </c>
      <c r="AD85" s="70">
        <f t="shared" si="223"/>
        <v>0</v>
      </c>
      <c r="AE85" s="70">
        <f t="shared" si="224"/>
        <v>0</v>
      </c>
      <c r="AF85" s="475">
        <v>0</v>
      </c>
      <c r="AG85" s="475">
        <v>0</v>
      </c>
      <c r="AH85" s="475">
        <f t="shared" si="225"/>
        <v>0</v>
      </c>
      <c r="AI85" s="475">
        <f t="shared" si="226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>AJ85+AL85+AM85+AO85+AP85</f>
        <v>0</v>
      </c>
      <c r="AS85" s="476">
        <f>AK85+AN85+AQ85</f>
        <v>0</v>
      </c>
      <c r="AT85" s="478">
        <f t="shared" si="227"/>
        <v>0</v>
      </c>
      <c r="AU85" s="484">
        <f t="shared" si="215"/>
        <v>89208</v>
      </c>
      <c r="AV85" s="475">
        <f t="shared" si="216"/>
        <v>63084</v>
      </c>
      <c r="AW85" s="475">
        <f t="shared" si="228"/>
        <v>0</v>
      </c>
      <c r="AX85" s="475">
        <f t="shared" si="229"/>
        <v>21322</v>
      </c>
      <c r="AY85" s="475">
        <f t="shared" si="229"/>
        <v>1262</v>
      </c>
      <c r="AZ85" s="475">
        <f t="shared" si="217"/>
        <v>3540</v>
      </c>
      <c r="BA85" s="476">
        <f t="shared" si="218"/>
        <v>0.25</v>
      </c>
      <c r="BB85" s="476">
        <f t="shared" si="230"/>
        <v>0</v>
      </c>
      <c r="BC85" s="478">
        <f t="shared" si="230"/>
        <v>0.25</v>
      </c>
    </row>
    <row r="86" spans="1:55" s="234" customFormat="1" ht="12.75" customHeight="1" x14ac:dyDescent="0.2">
      <c r="A86" s="160">
        <v>20</v>
      </c>
      <c r="B86" s="14">
        <v>3409</v>
      </c>
      <c r="C86" s="159">
        <v>600078396</v>
      </c>
      <c r="D86" s="159">
        <v>43257399</v>
      </c>
      <c r="E86" s="235" t="s">
        <v>48</v>
      </c>
      <c r="F86" s="14"/>
      <c r="G86" s="235"/>
      <c r="H86" s="272"/>
      <c r="I86" s="479">
        <v>34017761</v>
      </c>
      <c r="J86" s="479">
        <v>24535866</v>
      </c>
      <c r="K86" s="479">
        <v>70000</v>
      </c>
      <c r="L86" s="479">
        <v>8316783</v>
      </c>
      <c r="M86" s="479">
        <v>490718</v>
      </c>
      <c r="N86" s="479">
        <v>604394</v>
      </c>
      <c r="O86" s="441">
        <v>51.588200000000001</v>
      </c>
      <c r="P86" s="441">
        <v>38.538799999999995</v>
      </c>
      <c r="Q86" s="441">
        <v>13.0494</v>
      </c>
      <c r="R86" s="687">
        <f t="shared" ref="R86:BC86" si="231">SUM(R81:R85)</f>
        <v>-20000</v>
      </c>
      <c r="S86" s="685">
        <f t="shared" si="231"/>
        <v>-15424</v>
      </c>
      <c r="T86" s="685">
        <f t="shared" si="231"/>
        <v>19864</v>
      </c>
      <c r="U86" s="685">
        <f t="shared" si="231"/>
        <v>57024</v>
      </c>
      <c r="V86" s="685">
        <f t="shared" si="231"/>
        <v>0</v>
      </c>
      <c r="W86" s="685">
        <f t="shared" si="231"/>
        <v>0</v>
      </c>
      <c r="X86" s="685">
        <f t="shared" si="231"/>
        <v>41464</v>
      </c>
      <c r="Y86" s="685">
        <f t="shared" si="231"/>
        <v>20000</v>
      </c>
      <c r="Z86" s="685">
        <f t="shared" si="231"/>
        <v>0</v>
      </c>
      <c r="AA86" s="685">
        <f t="shared" si="231"/>
        <v>0</v>
      </c>
      <c r="AB86" s="685">
        <f t="shared" si="231"/>
        <v>20000</v>
      </c>
      <c r="AC86" s="685">
        <f t="shared" si="231"/>
        <v>61464</v>
      </c>
      <c r="AD86" s="685">
        <f t="shared" si="231"/>
        <v>20775</v>
      </c>
      <c r="AE86" s="685">
        <f t="shared" si="231"/>
        <v>829</v>
      </c>
      <c r="AF86" s="685">
        <f t="shared" si="231"/>
        <v>0</v>
      </c>
      <c r="AG86" s="685">
        <f t="shared" si="231"/>
        <v>0</v>
      </c>
      <c r="AH86" s="685">
        <f t="shared" si="231"/>
        <v>0</v>
      </c>
      <c r="AI86" s="685">
        <f t="shared" si="231"/>
        <v>83068</v>
      </c>
      <c r="AJ86" s="686">
        <f t="shared" si="231"/>
        <v>-0.04</v>
      </c>
      <c r="AK86" s="686">
        <f t="shared" si="231"/>
        <v>0</v>
      </c>
      <c r="AL86" s="686">
        <f t="shared" si="231"/>
        <v>-0.03</v>
      </c>
      <c r="AM86" s="686">
        <f t="shared" si="231"/>
        <v>0</v>
      </c>
      <c r="AN86" s="686">
        <f t="shared" si="231"/>
        <v>0.06</v>
      </c>
      <c r="AO86" s="686">
        <f t="shared" si="231"/>
        <v>0.09</v>
      </c>
      <c r="AP86" s="686">
        <f t="shared" si="231"/>
        <v>0</v>
      </c>
      <c r="AQ86" s="686">
        <f t="shared" si="231"/>
        <v>0</v>
      </c>
      <c r="AR86" s="686">
        <f t="shared" si="231"/>
        <v>1.9999999999999997E-2</v>
      </c>
      <c r="AS86" s="686">
        <f t="shared" si="231"/>
        <v>0.06</v>
      </c>
      <c r="AT86" s="688">
        <f t="shared" si="231"/>
        <v>7.9999999999999988E-2</v>
      </c>
      <c r="AU86" s="683">
        <f t="shared" si="231"/>
        <v>34100829</v>
      </c>
      <c r="AV86" s="479">
        <f t="shared" si="231"/>
        <v>24577330</v>
      </c>
      <c r="AW86" s="479">
        <f t="shared" si="231"/>
        <v>90000</v>
      </c>
      <c r="AX86" s="479">
        <f t="shared" si="231"/>
        <v>8337558</v>
      </c>
      <c r="AY86" s="479">
        <f t="shared" si="231"/>
        <v>491547</v>
      </c>
      <c r="AZ86" s="479">
        <f t="shared" si="231"/>
        <v>604394</v>
      </c>
      <c r="BA86" s="441">
        <f t="shared" si="231"/>
        <v>51.668199999999999</v>
      </c>
      <c r="BB86" s="441">
        <f t="shared" si="231"/>
        <v>38.558799999999998</v>
      </c>
      <c r="BC86" s="520">
        <f t="shared" si="231"/>
        <v>13.109400000000001</v>
      </c>
    </row>
    <row r="87" spans="1:55" s="234" customFormat="1" ht="12.75" customHeight="1" x14ac:dyDescent="0.2">
      <c r="A87" s="236">
        <v>21</v>
      </c>
      <c r="B87" s="237">
        <v>3415</v>
      </c>
      <c r="C87" s="237">
        <v>600078523</v>
      </c>
      <c r="D87" s="237">
        <v>72743271</v>
      </c>
      <c r="E87" s="238" t="s">
        <v>49</v>
      </c>
      <c r="F87" s="237">
        <v>3113</v>
      </c>
      <c r="G87" s="238" t="s">
        <v>314</v>
      </c>
      <c r="H87" s="273" t="s">
        <v>277</v>
      </c>
      <c r="I87" s="472">
        <v>31054748</v>
      </c>
      <c r="J87" s="472">
        <v>22362240</v>
      </c>
      <c r="K87" s="472">
        <v>12000</v>
      </c>
      <c r="L87" s="472">
        <v>7562493</v>
      </c>
      <c r="M87" s="472">
        <v>447245</v>
      </c>
      <c r="N87" s="472">
        <v>670770</v>
      </c>
      <c r="O87" s="473">
        <v>36.846400000000003</v>
      </c>
      <c r="P87" s="474">
        <v>28.363800000000001</v>
      </c>
      <c r="Q87" s="483">
        <v>8.4825999999999997</v>
      </c>
      <c r="R87" s="485">
        <f t="shared" ref="R87:R91" si="232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>SUM(R87:W87)</f>
        <v>0</v>
      </c>
      <c r="Y87" s="475">
        <v>0</v>
      </c>
      <c r="Z87" s="475">
        <v>0</v>
      </c>
      <c r="AA87" s="475">
        <v>0</v>
      </c>
      <c r="AB87" s="475">
        <f t="shared" ref="AB87:AB91" si="233">SUM(Y87:AA87)</f>
        <v>0</v>
      </c>
      <c r="AC87" s="475">
        <f t="shared" ref="AC87:AC91" si="234">X87+AB87</f>
        <v>0</v>
      </c>
      <c r="AD87" s="70">
        <f t="shared" ref="AD87:AD91" si="235">ROUND((X87+Y87+Z87)*33.8%,0)</f>
        <v>0</v>
      </c>
      <c r="AE87" s="70">
        <f t="shared" ref="AE87:AE91" si="236">ROUND(X87*2%,0)</f>
        <v>0</v>
      </c>
      <c r="AF87" s="475">
        <v>0</v>
      </c>
      <c r="AG87" s="475">
        <v>0</v>
      </c>
      <c r="AH87" s="475">
        <f t="shared" ref="AH87:AH91" si="237">SUM(AF87:AG87)</f>
        <v>0</v>
      </c>
      <c r="AI87" s="475">
        <f t="shared" ref="AI87:AI91" si="238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ref="AT87:AT91" si="239">SUM(AR87:AS87)</f>
        <v>0</v>
      </c>
      <c r="AU87" s="484">
        <f t="shared" si="215"/>
        <v>31054748</v>
      </c>
      <c r="AV87" s="475">
        <f t="shared" si="216"/>
        <v>22362240</v>
      </c>
      <c r="AW87" s="475">
        <f t="shared" ref="AW87:AW91" si="240">K87+AB87</f>
        <v>12000</v>
      </c>
      <c r="AX87" s="475">
        <f t="shared" ref="AX87:AY91" si="241">L87+AD87</f>
        <v>7562493</v>
      </c>
      <c r="AY87" s="475">
        <f t="shared" si="241"/>
        <v>447245</v>
      </c>
      <c r="AZ87" s="475">
        <f t="shared" si="217"/>
        <v>670770</v>
      </c>
      <c r="BA87" s="476">
        <f t="shared" si="218"/>
        <v>36.846400000000003</v>
      </c>
      <c r="BB87" s="476">
        <f t="shared" ref="BB87:BC91" si="242">P87+AR87</f>
        <v>28.363800000000001</v>
      </c>
      <c r="BC87" s="478">
        <f t="shared" si="242"/>
        <v>8.4825999999999997</v>
      </c>
    </row>
    <row r="88" spans="1:55" s="234" customFormat="1" x14ac:dyDescent="0.2">
      <c r="A88" s="236">
        <v>21</v>
      </c>
      <c r="B88" s="237">
        <v>3415</v>
      </c>
      <c r="C88" s="237">
        <v>600078523</v>
      </c>
      <c r="D88" s="237">
        <v>72743271</v>
      </c>
      <c r="E88" s="238" t="s">
        <v>49</v>
      </c>
      <c r="F88" s="237">
        <v>3113</v>
      </c>
      <c r="G88" s="238" t="s">
        <v>312</v>
      </c>
      <c r="H88" s="273" t="s">
        <v>278</v>
      </c>
      <c r="I88" s="472">
        <v>1764315</v>
      </c>
      <c r="J88" s="472">
        <v>1299201</v>
      </c>
      <c r="K88" s="472">
        <v>0</v>
      </c>
      <c r="L88" s="472">
        <v>439130</v>
      </c>
      <c r="M88" s="472">
        <v>25984</v>
      </c>
      <c r="N88" s="472">
        <v>0</v>
      </c>
      <c r="O88" s="473">
        <v>3.8</v>
      </c>
      <c r="P88" s="474">
        <v>3.8</v>
      </c>
      <c r="Q88" s="483">
        <v>0</v>
      </c>
      <c r="R88" s="485">
        <f t="shared" si="232"/>
        <v>0</v>
      </c>
      <c r="S88" s="475">
        <v>-11568</v>
      </c>
      <c r="T88" s="475">
        <v>0</v>
      </c>
      <c r="U88" s="475">
        <v>0</v>
      </c>
      <c r="V88" s="475">
        <v>0</v>
      </c>
      <c r="W88" s="475">
        <v>0</v>
      </c>
      <c r="X88" s="475">
        <f>SUM(R88:W88)</f>
        <v>-11568</v>
      </c>
      <c r="Y88" s="475">
        <v>0</v>
      </c>
      <c r="Z88" s="475">
        <v>0</v>
      </c>
      <c r="AA88" s="475">
        <v>0</v>
      </c>
      <c r="AB88" s="475">
        <f t="shared" si="233"/>
        <v>0</v>
      </c>
      <c r="AC88" s="475">
        <f t="shared" si="234"/>
        <v>-11568</v>
      </c>
      <c r="AD88" s="70">
        <f t="shared" si="235"/>
        <v>-3910</v>
      </c>
      <c r="AE88" s="70">
        <f t="shared" si="236"/>
        <v>-231</v>
      </c>
      <c r="AF88" s="475">
        <v>0</v>
      </c>
      <c r="AG88" s="475">
        <v>0</v>
      </c>
      <c r="AH88" s="475">
        <f t="shared" si="237"/>
        <v>0</v>
      </c>
      <c r="AI88" s="475">
        <f t="shared" si="238"/>
        <v>-15709</v>
      </c>
      <c r="AJ88" s="476">
        <v>0</v>
      </c>
      <c r="AK88" s="476">
        <v>0</v>
      </c>
      <c r="AL88" s="476">
        <v>-0.03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>AJ88+AL88+AM88+AO88+AP88</f>
        <v>-0.03</v>
      </c>
      <c r="AS88" s="476">
        <f>AK88+AN88+AQ88</f>
        <v>0</v>
      </c>
      <c r="AT88" s="478">
        <f t="shared" si="239"/>
        <v>-0.03</v>
      </c>
      <c r="AU88" s="484">
        <f t="shared" si="215"/>
        <v>1748606</v>
      </c>
      <c r="AV88" s="475">
        <f t="shared" si="216"/>
        <v>1287633</v>
      </c>
      <c r="AW88" s="475">
        <f t="shared" si="240"/>
        <v>0</v>
      </c>
      <c r="AX88" s="475">
        <f t="shared" si="241"/>
        <v>435220</v>
      </c>
      <c r="AY88" s="475">
        <f t="shared" si="241"/>
        <v>25753</v>
      </c>
      <c r="AZ88" s="475">
        <f t="shared" si="217"/>
        <v>0</v>
      </c>
      <c r="BA88" s="476">
        <f t="shared" si="218"/>
        <v>3.77</v>
      </c>
      <c r="BB88" s="476">
        <f t="shared" si="242"/>
        <v>3.77</v>
      </c>
      <c r="BC88" s="478">
        <f t="shared" si="242"/>
        <v>0</v>
      </c>
    </row>
    <row r="89" spans="1:55" s="234" customFormat="1" ht="12.75" customHeight="1" x14ac:dyDescent="0.2">
      <c r="A89" s="236">
        <v>21</v>
      </c>
      <c r="B89" s="237">
        <v>3415</v>
      </c>
      <c r="C89" s="237">
        <v>600078523</v>
      </c>
      <c r="D89" s="237">
        <v>72743271</v>
      </c>
      <c r="E89" s="238" t="s">
        <v>49</v>
      </c>
      <c r="F89" s="237">
        <v>3141</v>
      </c>
      <c r="G89" s="238" t="s">
        <v>315</v>
      </c>
      <c r="H89" s="273" t="s">
        <v>278</v>
      </c>
      <c r="I89" s="472">
        <v>2779276</v>
      </c>
      <c r="J89" s="472">
        <v>2010580</v>
      </c>
      <c r="K89" s="472">
        <v>18000</v>
      </c>
      <c r="L89" s="472">
        <v>685660</v>
      </c>
      <c r="M89" s="472">
        <v>40212</v>
      </c>
      <c r="N89" s="472">
        <v>24824</v>
      </c>
      <c r="O89" s="473">
        <v>6.39</v>
      </c>
      <c r="P89" s="474">
        <v>0</v>
      </c>
      <c r="Q89" s="483">
        <v>6.39</v>
      </c>
      <c r="R89" s="485">
        <f t="shared" si="232"/>
        <v>0</v>
      </c>
      <c r="S89" s="475">
        <v>0</v>
      </c>
      <c r="T89" s="475">
        <v>-30554</v>
      </c>
      <c r="U89" s="475">
        <v>0</v>
      </c>
      <c r="V89" s="475">
        <v>0</v>
      </c>
      <c r="W89" s="475">
        <v>0</v>
      </c>
      <c r="X89" s="475">
        <f>SUM(R89:W89)</f>
        <v>-30554</v>
      </c>
      <c r="Y89" s="475">
        <v>0</v>
      </c>
      <c r="Z89" s="475">
        <v>0</v>
      </c>
      <c r="AA89" s="475">
        <v>0</v>
      </c>
      <c r="AB89" s="475">
        <f t="shared" si="233"/>
        <v>0</v>
      </c>
      <c r="AC89" s="475">
        <f t="shared" si="234"/>
        <v>-30554</v>
      </c>
      <c r="AD89" s="70">
        <f t="shared" si="235"/>
        <v>-10327</v>
      </c>
      <c r="AE89" s="70">
        <f t="shared" si="236"/>
        <v>-611</v>
      </c>
      <c r="AF89" s="475">
        <v>0</v>
      </c>
      <c r="AG89" s="475">
        <v>0</v>
      </c>
      <c r="AH89" s="475">
        <f t="shared" si="237"/>
        <v>0</v>
      </c>
      <c r="AI89" s="475">
        <f t="shared" si="238"/>
        <v>-41492</v>
      </c>
      <c r="AJ89" s="476">
        <v>0</v>
      </c>
      <c r="AK89" s="476">
        <v>0</v>
      </c>
      <c r="AL89" s="476">
        <v>0</v>
      </c>
      <c r="AM89" s="476">
        <v>0</v>
      </c>
      <c r="AN89" s="476">
        <v>-0.1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-0.1</v>
      </c>
      <c r="AT89" s="478">
        <f t="shared" si="239"/>
        <v>-0.1</v>
      </c>
      <c r="AU89" s="484">
        <f t="shared" si="215"/>
        <v>2737784</v>
      </c>
      <c r="AV89" s="475">
        <f t="shared" si="216"/>
        <v>1980026</v>
      </c>
      <c r="AW89" s="475">
        <f t="shared" si="240"/>
        <v>18000</v>
      </c>
      <c r="AX89" s="475">
        <f t="shared" si="241"/>
        <v>675333</v>
      </c>
      <c r="AY89" s="475">
        <f t="shared" si="241"/>
        <v>39601</v>
      </c>
      <c r="AZ89" s="475">
        <f t="shared" si="217"/>
        <v>24824</v>
      </c>
      <c r="BA89" s="476">
        <f t="shared" si="218"/>
        <v>6.29</v>
      </c>
      <c r="BB89" s="476">
        <f t="shared" si="242"/>
        <v>0</v>
      </c>
      <c r="BC89" s="478">
        <f t="shared" si="242"/>
        <v>6.29</v>
      </c>
    </row>
    <row r="90" spans="1:55" s="234" customFormat="1" ht="12.75" customHeight="1" x14ac:dyDescent="0.2">
      <c r="A90" s="236">
        <v>21</v>
      </c>
      <c r="B90" s="237">
        <v>3415</v>
      </c>
      <c r="C90" s="237">
        <v>600078523</v>
      </c>
      <c r="D90" s="237">
        <v>72743271</v>
      </c>
      <c r="E90" s="238" t="s">
        <v>49</v>
      </c>
      <c r="F90" s="237">
        <v>3143</v>
      </c>
      <c r="G90" s="238" t="s">
        <v>626</v>
      </c>
      <c r="H90" s="273" t="s">
        <v>277</v>
      </c>
      <c r="I90" s="472">
        <v>2992274</v>
      </c>
      <c r="J90" s="472">
        <v>2183736</v>
      </c>
      <c r="K90" s="472">
        <v>20000</v>
      </c>
      <c r="L90" s="472">
        <v>744863</v>
      </c>
      <c r="M90" s="472">
        <v>43675</v>
      </c>
      <c r="N90" s="472">
        <v>0</v>
      </c>
      <c r="O90" s="473">
        <v>4.4463999999999997</v>
      </c>
      <c r="P90" s="474">
        <v>4.4463999999999997</v>
      </c>
      <c r="Q90" s="483">
        <v>0</v>
      </c>
      <c r="R90" s="485">
        <f t="shared" si="232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>SUM(R90:W90)</f>
        <v>0</v>
      </c>
      <c r="Y90" s="475">
        <v>0</v>
      </c>
      <c r="Z90" s="475">
        <v>0</v>
      </c>
      <c r="AA90" s="475">
        <v>0</v>
      </c>
      <c r="AB90" s="475">
        <f t="shared" si="233"/>
        <v>0</v>
      </c>
      <c r="AC90" s="475">
        <f t="shared" si="234"/>
        <v>0</v>
      </c>
      <c r="AD90" s="70">
        <f t="shared" si="235"/>
        <v>0</v>
      </c>
      <c r="AE90" s="70">
        <f t="shared" si="236"/>
        <v>0</v>
      </c>
      <c r="AF90" s="475">
        <v>0</v>
      </c>
      <c r="AG90" s="475">
        <v>0</v>
      </c>
      <c r="AH90" s="475">
        <f t="shared" si="237"/>
        <v>0</v>
      </c>
      <c r="AI90" s="475">
        <f t="shared" si="238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39"/>
        <v>0</v>
      </c>
      <c r="AU90" s="484">
        <f t="shared" si="215"/>
        <v>2992274</v>
      </c>
      <c r="AV90" s="475">
        <f t="shared" si="216"/>
        <v>2183736</v>
      </c>
      <c r="AW90" s="475">
        <f t="shared" si="240"/>
        <v>20000</v>
      </c>
      <c r="AX90" s="475">
        <f t="shared" si="241"/>
        <v>744863</v>
      </c>
      <c r="AY90" s="475">
        <f t="shared" si="241"/>
        <v>43675</v>
      </c>
      <c r="AZ90" s="475">
        <f t="shared" si="217"/>
        <v>0</v>
      </c>
      <c r="BA90" s="476">
        <f t="shared" si="218"/>
        <v>4.4463999999999997</v>
      </c>
      <c r="BB90" s="476">
        <f t="shared" si="242"/>
        <v>4.4463999999999997</v>
      </c>
      <c r="BC90" s="478">
        <f t="shared" si="242"/>
        <v>0</v>
      </c>
    </row>
    <row r="91" spans="1:55" s="234" customFormat="1" ht="12.75" customHeight="1" x14ac:dyDescent="0.2">
      <c r="A91" s="236">
        <v>21</v>
      </c>
      <c r="B91" s="237">
        <v>3415</v>
      </c>
      <c r="C91" s="237">
        <v>600078523</v>
      </c>
      <c r="D91" s="237">
        <v>72743271</v>
      </c>
      <c r="E91" s="238" t="s">
        <v>49</v>
      </c>
      <c r="F91" s="237">
        <v>3143</v>
      </c>
      <c r="G91" s="238" t="s">
        <v>627</v>
      </c>
      <c r="H91" s="273" t="s">
        <v>278</v>
      </c>
      <c r="I91" s="472">
        <v>99036</v>
      </c>
      <c r="J91" s="472">
        <v>70034</v>
      </c>
      <c r="K91" s="472">
        <v>0</v>
      </c>
      <c r="L91" s="472">
        <v>23671</v>
      </c>
      <c r="M91" s="472">
        <v>1401</v>
      </c>
      <c r="N91" s="472">
        <v>3930</v>
      </c>
      <c r="O91" s="473">
        <v>0.27</v>
      </c>
      <c r="P91" s="474">
        <v>0</v>
      </c>
      <c r="Q91" s="483">
        <v>0.27</v>
      </c>
      <c r="R91" s="485">
        <f t="shared" si="232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si="233"/>
        <v>0</v>
      </c>
      <c r="AC91" s="475">
        <f t="shared" si="234"/>
        <v>0</v>
      </c>
      <c r="AD91" s="70">
        <f t="shared" si="235"/>
        <v>0</v>
      </c>
      <c r="AE91" s="70">
        <f t="shared" si="236"/>
        <v>0</v>
      </c>
      <c r="AF91" s="475">
        <v>0</v>
      </c>
      <c r="AG91" s="475">
        <v>0</v>
      </c>
      <c r="AH91" s="475">
        <f t="shared" si="237"/>
        <v>0</v>
      </c>
      <c r="AI91" s="475">
        <f t="shared" si="238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si="239"/>
        <v>0</v>
      </c>
      <c r="AU91" s="484">
        <f t="shared" si="215"/>
        <v>99036</v>
      </c>
      <c r="AV91" s="475">
        <f t="shared" si="216"/>
        <v>70034</v>
      </c>
      <c r="AW91" s="475">
        <f t="shared" si="240"/>
        <v>0</v>
      </c>
      <c r="AX91" s="475">
        <f t="shared" si="241"/>
        <v>23671</v>
      </c>
      <c r="AY91" s="475">
        <f t="shared" si="241"/>
        <v>1401</v>
      </c>
      <c r="AZ91" s="475">
        <f t="shared" si="217"/>
        <v>3930</v>
      </c>
      <c r="BA91" s="476">
        <f t="shared" si="218"/>
        <v>0.27</v>
      </c>
      <c r="BB91" s="476">
        <f t="shared" si="242"/>
        <v>0</v>
      </c>
      <c r="BC91" s="478">
        <f t="shared" si="242"/>
        <v>0.27</v>
      </c>
    </row>
    <row r="92" spans="1:55" s="234" customFormat="1" ht="12.75" customHeight="1" x14ac:dyDescent="0.2">
      <c r="A92" s="160">
        <v>21</v>
      </c>
      <c r="B92" s="14">
        <v>3415</v>
      </c>
      <c r="C92" s="159">
        <v>600078523</v>
      </c>
      <c r="D92" s="159">
        <v>72743271</v>
      </c>
      <c r="E92" s="235" t="s">
        <v>50</v>
      </c>
      <c r="F92" s="14"/>
      <c r="G92" s="235"/>
      <c r="H92" s="272"/>
      <c r="I92" s="479">
        <v>38689649</v>
      </c>
      <c r="J92" s="479">
        <v>27925791</v>
      </c>
      <c r="K92" s="479">
        <v>50000</v>
      </c>
      <c r="L92" s="479">
        <v>9455817</v>
      </c>
      <c r="M92" s="479">
        <v>558517</v>
      </c>
      <c r="N92" s="479">
        <v>699524</v>
      </c>
      <c r="O92" s="441">
        <v>51.752800000000001</v>
      </c>
      <c r="P92" s="441">
        <v>36.610199999999999</v>
      </c>
      <c r="Q92" s="441">
        <v>15.142599999999998</v>
      </c>
      <c r="R92" s="687">
        <f t="shared" ref="R92:BC92" si="243">SUM(R87:R91)</f>
        <v>0</v>
      </c>
      <c r="S92" s="685">
        <f t="shared" si="243"/>
        <v>-11568</v>
      </c>
      <c r="T92" s="685">
        <f t="shared" si="243"/>
        <v>-30554</v>
      </c>
      <c r="U92" s="685">
        <f t="shared" si="243"/>
        <v>0</v>
      </c>
      <c r="V92" s="685">
        <f t="shared" si="243"/>
        <v>0</v>
      </c>
      <c r="W92" s="685">
        <f t="shared" si="243"/>
        <v>0</v>
      </c>
      <c r="X92" s="685">
        <f t="shared" si="243"/>
        <v>-42122</v>
      </c>
      <c r="Y92" s="685">
        <f t="shared" si="243"/>
        <v>0</v>
      </c>
      <c r="Z92" s="685">
        <f t="shared" si="243"/>
        <v>0</v>
      </c>
      <c r="AA92" s="685">
        <f t="shared" si="243"/>
        <v>0</v>
      </c>
      <c r="AB92" s="685">
        <f t="shared" si="243"/>
        <v>0</v>
      </c>
      <c r="AC92" s="685">
        <f t="shared" si="243"/>
        <v>-42122</v>
      </c>
      <c r="AD92" s="685">
        <f t="shared" si="243"/>
        <v>-14237</v>
      </c>
      <c r="AE92" s="685">
        <f t="shared" si="243"/>
        <v>-842</v>
      </c>
      <c r="AF92" s="685">
        <f t="shared" si="243"/>
        <v>0</v>
      </c>
      <c r="AG92" s="685">
        <f t="shared" si="243"/>
        <v>0</v>
      </c>
      <c r="AH92" s="685">
        <f t="shared" si="243"/>
        <v>0</v>
      </c>
      <c r="AI92" s="685">
        <f t="shared" si="243"/>
        <v>-57201</v>
      </c>
      <c r="AJ92" s="686">
        <f t="shared" si="243"/>
        <v>0</v>
      </c>
      <c r="AK92" s="686">
        <f t="shared" si="243"/>
        <v>0</v>
      </c>
      <c r="AL92" s="686">
        <f t="shared" si="243"/>
        <v>-0.03</v>
      </c>
      <c r="AM92" s="686">
        <f t="shared" si="243"/>
        <v>0</v>
      </c>
      <c r="AN92" s="686">
        <f t="shared" si="243"/>
        <v>-0.1</v>
      </c>
      <c r="AO92" s="686">
        <f t="shared" si="243"/>
        <v>0</v>
      </c>
      <c r="AP92" s="686">
        <f t="shared" si="243"/>
        <v>0</v>
      </c>
      <c r="AQ92" s="686">
        <f t="shared" si="243"/>
        <v>0</v>
      </c>
      <c r="AR92" s="686">
        <f t="shared" si="243"/>
        <v>-0.03</v>
      </c>
      <c r="AS92" s="686">
        <f t="shared" si="243"/>
        <v>-0.1</v>
      </c>
      <c r="AT92" s="688">
        <f t="shared" si="243"/>
        <v>-0.13</v>
      </c>
      <c r="AU92" s="683">
        <f t="shared" si="243"/>
        <v>38632448</v>
      </c>
      <c r="AV92" s="479">
        <f t="shared" si="243"/>
        <v>27883669</v>
      </c>
      <c r="AW92" s="479">
        <f t="shared" si="243"/>
        <v>50000</v>
      </c>
      <c r="AX92" s="479">
        <f t="shared" si="243"/>
        <v>9441580</v>
      </c>
      <c r="AY92" s="479">
        <f t="shared" si="243"/>
        <v>557675</v>
      </c>
      <c r="AZ92" s="479">
        <f t="shared" si="243"/>
        <v>699524</v>
      </c>
      <c r="BA92" s="441">
        <f t="shared" si="243"/>
        <v>51.622800000000005</v>
      </c>
      <c r="BB92" s="441">
        <f t="shared" si="243"/>
        <v>36.580199999999998</v>
      </c>
      <c r="BC92" s="520">
        <f t="shared" si="243"/>
        <v>15.0426</v>
      </c>
    </row>
    <row r="93" spans="1:55" s="234" customFormat="1" ht="12.75" customHeight="1" x14ac:dyDescent="0.2">
      <c r="A93" s="236">
        <v>22</v>
      </c>
      <c r="B93" s="237">
        <v>3412</v>
      </c>
      <c r="C93" s="237">
        <v>600078540</v>
      </c>
      <c r="D93" s="237">
        <v>72742879</v>
      </c>
      <c r="E93" s="238" t="s">
        <v>51</v>
      </c>
      <c r="F93" s="237">
        <v>3113</v>
      </c>
      <c r="G93" s="238" t="s">
        <v>314</v>
      </c>
      <c r="H93" s="273" t="s">
        <v>277</v>
      </c>
      <c r="I93" s="472">
        <v>42867108</v>
      </c>
      <c r="J93" s="472">
        <v>30679616</v>
      </c>
      <c r="K93" s="472">
        <v>145000</v>
      </c>
      <c r="L93" s="472">
        <v>10418720</v>
      </c>
      <c r="M93" s="472">
        <v>613592</v>
      </c>
      <c r="N93" s="472">
        <v>1010180</v>
      </c>
      <c r="O93" s="473">
        <v>51.953400000000002</v>
      </c>
      <c r="P93" s="474">
        <v>40.644600000000004</v>
      </c>
      <c r="Q93" s="483">
        <v>11.3088</v>
      </c>
      <c r="R93" s="485">
        <f t="shared" ref="R93:R97" si="244">Y93*-1</f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ref="AB93:AB97" si="245">SUM(Y93:AA93)</f>
        <v>0</v>
      </c>
      <c r="AC93" s="475">
        <f t="shared" ref="AC93:AC97" si="246">X93+AB93</f>
        <v>0</v>
      </c>
      <c r="AD93" s="70">
        <f t="shared" ref="AD93:AD97" si="247">ROUND((X93+Y93+Z93)*33.8%,0)</f>
        <v>0</v>
      </c>
      <c r="AE93" s="70">
        <f t="shared" ref="AE93:AE97" si="248">ROUND(X93*2%,0)</f>
        <v>0</v>
      </c>
      <c r="AF93" s="475">
        <v>0</v>
      </c>
      <c r="AG93" s="475">
        <v>0</v>
      </c>
      <c r="AH93" s="475">
        <f t="shared" ref="AH93:AH97" si="249">SUM(AF93:AG93)</f>
        <v>0</v>
      </c>
      <c r="AI93" s="475">
        <f t="shared" ref="AI93:AI97" si="250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ref="AT93:AT97" si="251">SUM(AR93:AS93)</f>
        <v>0</v>
      </c>
      <c r="AU93" s="484">
        <f t="shared" si="215"/>
        <v>42867108</v>
      </c>
      <c r="AV93" s="475">
        <f t="shared" si="216"/>
        <v>30679616</v>
      </c>
      <c r="AW93" s="475">
        <f t="shared" ref="AW93:AW97" si="252">K93+AB93</f>
        <v>145000</v>
      </c>
      <c r="AX93" s="475">
        <f t="shared" ref="AX93:AY97" si="253">L93+AD93</f>
        <v>10418720</v>
      </c>
      <c r="AY93" s="475">
        <f t="shared" si="253"/>
        <v>613592</v>
      </c>
      <c r="AZ93" s="475">
        <f t="shared" si="217"/>
        <v>1010180</v>
      </c>
      <c r="BA93" s="476">
        <f t="shared" si="218"/>
        <v>51.953400000000002</v>
      </c>
      <c r="BB93" s="476">
        <f t="shared" ref="BB93:BC97" si="254">P93+AR93</f>
        <v>40.644600000000004</v>
      </c>
      <c r="BC93" s="478">
        <f t="shared" si="254"/>
        <v>11.3088</v>
      </c>
    </row>
    <row r="94" spans="1:55" s="234" customFormat="1" x14ac:dyDescent="0.2">
      <c r="A94" s="236">
        <v>22</v>
      </c>
      <c r="B94" s="237">
        <v>3412</v>
      </c>
      <c r="C94" s="237">
        <v>600078540</v>
      </c>
      <c r="D94" s="237">
        <v>72742879</v>
      </c>
      <c r="E94" s="238" t="s">
        <v>51</v>
      </c>
      <c r="F94" s="237">
        <v>3113</v>
      </c>
      <c r="G94" s="238" t="s">
        <v>312</v>
      </c>
      <c r="H94" s="273" t="s">
        <v>278</v>
      </c>
      <c r="I94" s="472">
        <v>4890768</v>
      </c>
      <c r="J94" s="472">
        <v>3592060</v>
      </c>
      <c r="K94" s="472">
        <v>0</v>
      </c>
      <c r="L94" s="472">
        <v>1214117</v>
      </c>
      <c r="M94" s="472">
        <v>71841</v>
      </c>
      <c r="N94" s="472">
        <v>12750</v>
      </c>
      <c r="O94" s="473">
        <v>10.29</v>
      </c>
      <c r="P94" s="474">
        <v>10.29</v>
      </c>
      <c r="Q94" s="483">
        <v>0</v>
      </c>
      <c r="R94" s="485">
        <f t="shared" si="244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>SUM(R94:W94)</f>
        <v>0</v>
      </c>
      <c r="Y94" s="475">
        <v>0</v>
      </c>
      <c r="Z94" s="475">
        <v>0</v>
      </c>
      <c r="AA94" s="475">
        <v>0</v>
      </c>
      <c r="AB94" s="475">
        <f t="shared" si="245"/>
        <v>0</v>
      </c>
      <c r="AC94" s="475">
        <f t="shared" si="246"/>
        <v>0</v>
      </c>
      <c r="AD94" s="70">
        <f t="shared" si="247"/>
        <v>0</v>
      </c>
      <c r="AE94" s="70">
        <f t="shared" si="248"/>
        <v>0</v>
      </c>
      <c r="AF94" s="475">
        <v>0</v>
      </c>
      <c r="AG94" s="475">
        <v>0</v>
      </c>
      <c r="AH94" s="475">
        <f t="shared" si="249"/>
        <v>0</v>
      </c>
      <c r="AI94" s="475">
        <f t="shared" si="250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51"/>
        <v>0</v>
      </c>
      <c r="AU94" s="484">
        <f t="shared" si="215"/>
        <v>4890768</v>
      </c>
      <c r="AV94" s="475">
        <f t="shared" si="216"/>
        <v>3592060</v>
      </c>
      <c r="AW94" s="475">
        <f t="shared" si="252"/>
        <v>0</v>
      </c>
      <c r="AX94" s="475">
        <f t="shared" si="253"/>
        <v>1214117</v>
      </c>
      <c r="AY94" s="475">
        <f t="shared" si="253"/>
        <v>71841</v>
      </c>
      <c r="AZ94" s="475">
        <f t="shared" si="217"/>
        <v>12750</v>
      </c>
      <c r="BA94" s="476">
        <f t="shared" si="218"/>
        <v>10.29</v>
      </c>
      <c r="BB94" s="476">
        <f t="shared" si="254"/>
        <v>10.29</v>
      </c>
      <c r="BC94" s="478">
        <f t="shared" si="254"/>
        <v>0</v>
      </c>
    </row>
    <row r="95" spans="1:55" s="234" customFormat="1" ht="12.75" customHeight="1" x14ac:dyDescent="0.2">
      <c r="A95" s="236">
        <v>22</v>
      </c>
      <c r="B95" s="237">
        <v>3412</v>
      </c>
      <c r="C95" s="237">
        <v>600078540</v>
      </c>
      <c r="D95" s="237">
        <v>72742879</v>
      </c>
      <c r="E95" s="238" t="s">
        <v>51</v>
      </c>
      <c r="F95" s="237">
        <v>3141</v>
      </c>
      <c r="G95" s="238" t="s">
        <v>315</v>
      </c>
      <c r="H95" s="273" t="s">
        <v>278</v>
      </c>
      <c r="I95" s="472">
        <v>3879231</v>
      </c>
      <c r="J95" s="472">
        <v>2809195</v>
      </c>
      <c r="K95" s="472">
        <v>20000</v>
      </c>
      <c r="L95" s="472">
        <v>956268</v>
      </c>
      <c r="M95" s="472">
        <v>56184</v>
      </c>
      <c r="N95" s="472">
        <v>37584</v>
      </c>
      <c r="O95" s="473">
        <v>8.91</v>
      </c>
      <c r="P95" s="474">
        <v>0</v>
      </c>
      <c r="Q95" s="483">
        <v>8.91</v>
      </c>
      <c r="R95" s="485">
        <f t="shared" si="244"/>
        <v>0</v>
      </c>
      <c r="S95" s="475">
        <v>0</v>
      </c>
      <c r="T95" s="475">
        <v>-28110</v>
      </c>
      <c r="U95" s="475">
        <v>0</v>
      </c>
      <c r="V95" s="475">
        <v>0</v>
      </c>
      <c r="W95" s="475">
        <v>0</v>
      </c>
      <c r="X95" s="475">
        <f>SUM(R95:W95)</f>
        <v>-28110</v>
      </c>
      <c r="Y95" s="475">
        <v>0</v>
      </c>
      <c r="Z95" s="475">
        <v>0</v>
      </c>
      <c r="AA95" s="475">
        <v>0</v>
      </c>
      <c r="AB95" s="475">
        <f t="shared" si="245"/>
        <v>0</v>
      </c>
      <c r="AC95" s="475">
        <f t="shared" si="246"/>
        <v>-28110</v>
      </c>
      <c r="AD95" s="70">
        <f t="shared" si="247"/>
        <v>-9501</v>
      </c>
      <c r="AE95" s="70">
        <f t="shared" si="248"/>
        <v>-562</v>
      </c>
      <c r="AF95" s="475">
        <v>0</v>
      </c>
      <c r="AG95" s="475">
        <v>0</v>
      </c>
      <c r="AH95" s="475">
        <f t="shared" si="249"/>
        <v>0</v>
      </c>
      <c r="AI95" s="475">
        <f t="shared" si="250"/>
        <v>-38173</v>
      </c>
      <c r="AJ95" s="476">
        <v>0</v>
      </c>
      <c r="AK95" s="476">
        <v>0</v>
      </c>
      <c r="AL95" s="476">
        <v>0</v>
      </c>
      <c r="AM95" s="476">
        <v>0</v>
      </c>
      <c r="AN95" s="476">
        <v>-0.09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-0.09</v>
      </c>
      <c r="AT95" s="478">
        <f t="shared" si="251"/>
        <v>-0.09</v>
      </c>
      <c r="AU95" s="484">
        <f t="shared" si="215"/>
        <v>3841058</v>
      </c>
      <c r="AV95" s="475">
        <f t="shared" si="216"/>
        <v>2781085</v>
      </c>
      <c r="AW95" s="475">
        <f t="shared" si="252"/>
        <v>20000</v>
      </c>
      <c r="AX95" s="475">
        <f t="shared" si="253"/>
        <v>946767</v>
      </c>
      <c r="AY95" s="475">
        <f t="shared" si="253"/>
        <v>55622</v>
      </c>
      <c r="AZ95" s="475">
        <f t="shared" si="217"/>
        <v>37584</v>
      </c>
      <c r="BA95" s="476">
        <f t="shared" si="218"/>
        <v>8.82</v>
      </c>
      <c r="BB95" s="476">
        <f t="shared" si="254"/>
        <v>0</v>
      </c>
      <c r="BC95" s="478">
        <f t="shared" si="254"/>
        <v>8.82</v>
      </c>
    </row>
    <row r="96" spans="1:55" s="234" customFormat="1" ht="12.75" customHeight="1" x14ac:dyDescent="0.2">
      <c r="A96" s="236">
        <v>22</v>
      </c>
      <c r="B96" s="237">
        <v>3412</v>
      </c>
      <c r="C96" s="237">
        <v>600078540</v>
      </c>
      <c r="D96" s="237">
        <v>72742879</v>
      </c>
      <c r="E96" s="238" t="s">
        <v>51</v>
      </c>
      <c r="F96" s="237">
        <v>3143</v>
      </c>
      <c r="G96" s="238" t="s">
        <v>626</v>
      </c>
      <c r="H96" s="273" t="s">
        <v>277</v>
      </c>
      <c r="I96" s="472">
        <v>4307910</v>
      </c>
      <c r="J96" s="472">
        <v>3132835</v>
      </c>
      <c r="K96" s="472">
        <v>40000</v>
      </c>
      <c r="L96" s="472">
        <v>1072418</v>
      </c>
      <c r="M96" s="472">
        <v>62657</v>
      </c>
      <c r="N96" s="472">
        <v>0</v>
      </c>
      <c r="O96" s="473">
        <v>6.1204999999999998</v>
      </c>
      <c r="P96" s="474">
        <v>6.1204999999999998</v>
      </c>
      <c r="Q96" s="483">
        <v>0</v>
      </c>
      <c r="R96" s="485">
        <f t="shared" si="244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245"/>
        <v>0</v>
      </c>
      <c r="AC96" s="475">
        <f t="shared" si="246"/>
        <v>0</v>
      </c>
      <c r="AD96" s="70">
        <f t="shared" si="247"/>
        <v>0</v>
      </c>
      <c r="AE96" s="70">
        <f t="shared" si="248"/>
        <v>0</v>
      </c>
      <c r="AF96" s="475">
        <v>0</v>
      </c>
      <c r="AG96" s="475">
        <v>0</v>
      </c>
      <c r="AH96" s="475">
        <f t="shared" si="249"/>
        <v>0</v>
      </c>
      <c r="AI96" s="475">
        <f t="shared" si="250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51"/>
        <v>0</v>
      </c>
      <c r="AU96" s="484">
        <f t="shared" si="215"/>
        <v>4307910</v>
      </c>
      <c r="AV96" s="475">
        <f t="shared" si="216"/>
        <v>3132835</v>
      </c>
      <c r="AW96" s="475">
        <f t="shared" si="252"/>
        <v>40000</v>
      </c>
      <c r="AX96" s="475">
        <f t="shared" si="253"/>
        <v>1072418</v>
      </c>
      <c r="AY96" s="475">
        <f t="shared" si="253"/>
        <v>62657</v>
      </c>
      <c r="AZ96" s="475">
        <f t="shared" si="217"/>
        <v>0</v>
      </c>
      <c r="BA96" s="476">
        <f t="shared" si="218"/>
        <v>6.1204999999999998</v>
      </c>
      <c r="BB96" s="476">
        <f t="shared" si="254"/>
        <v>6.1204999999999998</v>
      </c>
      <c r="BC96" s="478">
        <f t="shared" si="254"/>
        <v>0</v>
      </c>
    </row>
    <row r="97" spans="1:55" s="234" customFormat="1" ht="12.75" customHeight="1" x14ac:dyDescent="0.2">
      <c r="A97" s="236">
        <v>22</v>
      </c>
      <c r="B97" s="237">
        <v>3412</v>
      </c>
      <c r="C97" s="237">
        <v>600078540</v>
      </c>
      <c r="D97" s="237">
        <v>72742879</v>
      </c>
      <c r="E97" s="238" t="s">
        <v>51</v>
      </c>
      <c r="F97" s="237">
        <v>3143</v>
      </c>
      <c r="G97" s="238" t="s">
        <v>627</v>
      </c>
      <c r="H97" s="273" t="s">
        <v>278</v>
      </c>
      <c r="I97" s="472">
        <v>158760</v>
      </c>
      <c r="J97" s="472">
        <v>112268</v>
      </c>
      <c r="K97" s="472">
        <v>0</v>
      </c>
      <c r="L97" s="472">
        <v>37947</v>
      </c>
      <c r="M97" s="472">
        <v>2245</v>
      </c>
      <c r="N97" s="472">
        <v>6300</v>
      </c>
      <c r="O97" s="473">
        <v>0.44</v>
      </c>
      <c r="P97" s="474">
        <v>0</v>
      </c>
      <c r="Q97" s="483">
        <v>0.44</v>
      </c>
      <c r="R97" s="485">
        <f t="shared" si="244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>SUM(R97:W97)</f>
        <v>0</v>
      </c>
      <c r="Y97" s="475">
        <v>0</v>
      </c>
      <c r="Z97" s="475">
        <v>0</v>
      </c>
      <c r="AA97" s="475">
        <v>0</v>
      </c>
      <c r="AB97" s="475">
        <f t="shared" si="245"/>
        <v>0</v>
      </c>
      <c r="AC97" s="475">
        <f t="shared" si="246"/>
        <v>0</v>
      </c>
      <c r="AD97" s="70">
        <f t="shared" si="247"/>
        <v>0</v>
      </c>
      <c r="AE97" s="70">
        <f t="shared" si="248"/>
        <v>0</v>
      </c>
      <c r="AF97" s="475">
        <v>0</v>
      </c>
      <c r="AG97" s="475">
        <v>0</v>
      </c>
      <c r="AH97" s="475">
        <f t="shared" si="249"/>
        <v>0</v>
      </c>
      <c r="AI97" s="475">
        <f t="shared" si="250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251"/>
        <v>0</v>
      </c>
      <c r="AU97" s="484">
        <f t="shared" si="215"/>
        <v>158760</v>
      </c>
      <c r="AV97" s="475">
        <f t="shared" si="216"/>
        <v>112268</v>
      </c>
      <c r="AW97" s="475">
        <f t="shared" si="252"/>
        <v>0</v>
      </c>
      <c r="AX97" s="475">
        <f t="shared" si="253"/>
        <v>37947</v>
      </c>
      <c r="AY97" s="475">
        <f t="shared" si="253"/>
        <v>2245</v>
      </c>
      <c r="AZ97" s="475">
        <f t="shared" si="217"/>
        <v>6300</v>
      </c>
      <c r="BA97" s="476">
        <f t="shared" si="218"/>
        <v>0.44</v>
      </c>
      <c r="BB97" s="476">
        <f t="shared" si="254"/>
        <v>0</v>
      </c>
      <c r="BC97" s="478">
        <f t="shared" si="254"/>
        <v>0.44</v>
      </c>
    </row>
    <row r="98" spans="1:55" s="234" customFormat="1" ht="12.75" customHeight="1" x14ac:dyDescent="0.2">
      <c r="A98" s="160">
        <v>22</v>
      </c>
      <c r="B98" s="14">
        <v>3412</v>
      </c>
      <c r="C98" s="159">
        <v>600078540</v>
      </c>
      <c r="D98" s="159">
        <v>72742879</v>
      </c>
      <c r="E98" s="235" t="s">
        <v>52</v>
      </c>
      <c r="F98" s="14"/>
      <c r="G98" s="235"/>
      <c r="H98" s="272"/>
      <c r="I98" s="479">
        <v>56103777</v>
      </c>
      <c r="J98" s="479">
        <v>40325974</v>
      </c>
      <c r="K98" s="479">
        <v>205000</v>
      </c>
      <c r="L98" s="479">
        <v>13699470</v>
      </c>
      <c r="M98" s="479">
        <v>806519</v>
      </c>
      <c r="N98" s="479">
        <v>1066814</v>
      </c>
      <c r="O98" s="441">
        <v>77.713899999999995</v>
      </c>
      <c r="P98" s="441">
        <v>57.055100000000003</v>
      </c>
      <c r="Q98" s="441">
        <v>20.658800000000003</v>
      </c>
      <c r="R98" s="687">
        <f t="shared" ref="R98:BC98" si="255">SUM(R93:R97)</f>
        <v>0</v>
      </c>
      <c r="S98" s="685">
        <f t="shared" si="255"/>
        <v>0</v>
      </c>
      <c r="T98" s="685">
        <f t="shared" si="255"/>
        <v>-28110</v>
      </c>
      <c r="U98" s="685">
        <f t="shared" si="255"/>
        <v>0</v>
      </c>
      <c r="V98" s="685">
        <f t="shared" si="255"/>
        <v>0</v>
      </c>
      <c r="W98" s="685">
        <f t="shared" si="255"/>
        <v>0</v>
      </c>
      <c r="X98" s="685">
        <f t="shared" si="255"/>
        <v>-28110</v>
      </c>
      <c r="Y98" s="685">
        <f t="shared" si="255"/>
        <v>0</v>
      </c>
      <c r="Z98" s="685">
        <f t="shared" si="255"/>
        <v>0</v>
      </c>
      <c r="AA98" s="685">
        <f t="shared" si="255"/>
        <v>0</v>
      </c>
      <c r="AB98" s="685">
        <f t="shared" si="255"/>
        <v>0</v>
      </c>
      <c r="AC98" s="685">
        <f t="shared" si="255"/>
        <v>-28110</v>
      </c>
      <c r="AD98" s="685">
        <f t="shared" si="255"/>
        <v>-9501</v>
      </c>
      <c r="AE98" s="685">
        <f t="shared" si="255"/>
        <v>-562</v>
      </c>
      <c r="AF98" s="685">
        <f t="shared" si="255"/>
        <v>0</v>
      </c>
      <c r="AG98" s="685">
        <f t="shared" si="255"/>
        <v>0</v>
      </c>
      <c r="AH98" s="685">
        <f t="shared" si="255"/>
        <v>0</v>
      </c>
      <c r="AI98" s="685">
        <f t="shared" si="255"/>
        <v>-38173</v>
      </c>
      <c r="AJ98" s="686">
        <f t="shared" si="255"/>
        <v>0</v>
      </c>
      <c r="AK98" s="686">
        <f t="shared" si="255"/>
        <v>0</v>
      </c>
      <c r="AL98" s="686">
        <f t="shared" si="255"/>
        <v>0</v>
      </c>
      <c r="AM98" s="686">
        <f t="shared" si="255"/>
        <v>0</v>
      </c>
      <c r="AN98" s="686">
        <f t="shared" si="255"/>
        <v>-0.09</v>
      </c>
      <c r="AO98" s="686">
        <f t="shared" si="255"/>
        <v>0</v>
      </c>
      <c r="AP98" s="686">
        <f t="shared" si="255"/>
        <v>0</v>
      </c>
      <c r="AQ98" s="686">
        <f t="shared" si="255"/>
        <v>0</v>
      </c>
      <c r="AR98" s="686">
        <f t="shared" si="255"/>
        <v>0</v>
      </c>
      <c r="AS98" s="686">
        <f t="shared" si="255"/>
        <v>-0.09</v>
      </c>
      <c r="AT98" s="688">
        <f t="shared" si="255"/>
        <v>-0.09</v>
      </c>
      <c r="AU98" s="683">
        <f t="shared" si="255"/>
        <v>56065604</v>
      </c>
      <c r="AV98" s="479">
        <f t="shared" si="255"/>
        <v>40297864</v>
      </c>
      <c r="AW98" s="479">
        <f t="shared" si="255"/>
        <v>205000</v>
      </c>
      <c r="AX98" s="479">
        <f t="shared" si="255"/>
        <v>13689969</v>
      </c>
      <c r="AY98" s="479">
        <f t="shared" si="255"/>
        <v>805957</v>
      </c>
      <c r="AZ98" s="479">
        <f t="shared" si="255"/>
        <v>1066814</v>
      </c>
      <c r="BA98" s="441">
        <f t="shared" si="255"/>
        <v>77.623899999999992</v>
      </c>
      <c r="BB98" s="441">
        <f t="shared" si="255"/>
        <v>57.055100000000003</v>
      </c>
      <c r="BC98" s="520">
        <f t="shared" si="255"/>
        <v>20.5688</v>
      </c>
    </row>
    <row r="99" spans="1:55" s="234" customFormat="1" ht="12" customHeight="1" x14ac:dyDescent="0.2">
      <c r="A99" s="236">
        <v>23</v>
      </c>
      <c r="B99" s="237">
        <v>3416</v>
      </c>
      <c r="C99" s="237">
        <v>600078426</v>
      </c>
      <c r="D99" s="237">
        <v>72743034</v>
      </c>
      <c r="E99" s="238" t="s">
        <v>53</v>
      </c>
      <c r="F99" s="237">
        <v>3113</v>
      </c>
      <c r="G99" s="238" t="s">
        <v>314</v>
      </c>
      <c r="H99" s="273" t="s">
        <v>277</v>
      </c>
      <c r="I99" s="472">
        <v>35389970</v>
      </c>
      <c r="J99" s="472">
        <v>25384769</v>
      </c>
      <c r="K99" s="472">
        <v>53000</v>
      </c>
      <c r="L99" s="472">
        <v>8597966</v>
      </c>
      <c r="M99" s="472">
        <v>507695</v>
      </c>
      <c r="N99" s="472">
        <v>846540</v>
      </c>
      <c r="O99" s="473">
        <v>43.8857</v>
      </c>
      <c r="P99" s="474">
        <v>33.651800000000001</v>
      </c>
      <c r="Q99" s="483">
        <v>10.233899999999998</v>
      </c>
      <c r="R99" s="485">
        <f t="shared" ref="R99:R103" si="256">Y99*-1</f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>SUM(R99:W99)</f>
        <v>0</v>
      </c>
      <c r="Y99" s="475">
        <v>0</v>
      </c>
      <c r="Z99" s="475">
        <v>0</v>
      </c>
      <c r="AA99" s="475">
        <v>0</v>
      </c>
      <c r="AB99" s="475">
        <f t="shared" ref="AB99:AB103" si="257">SUM(Y99:AA99)</f>
        <v>0</v>
      </c>
      <c r="AC99" s="475">
        <f t="shared" ref="AC99:AC103" si="258">X99+AB99</f>
        <v>0</v>
      </c>
      <c r="AD99" s="70">
        <f t="shared" ref="AD99:AD103" si="259">ROUND((X99+Y99+Z99)*33.8%,0)</f>
        <v>0</v>
      </c>
      <c r="AE99" s="70">
        <f t="shared" ref="AE99:AE103" si="260">ROUND(X99*2%,0)</f>
        <v>0</v>
      </c>
      <c r="AF99" s="475">
        <v>0</v>
      </c>
      <c r="AG99" s="475">
        <v>0</v>
      </c>
      <c r="AH99" s="475">
        <f t="shared" ref="AH99:AH103" si="261">SUM(AF99:AG99)</f>
        <v>0</v>
      </c>
      <c r="AI99" s="475">
        <f t="shared" ref="AI99:AI103" si="262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ref="AT99:AT103" si="263">SUM(AR99:AS99)</f>
        <v>0</v>
      </c>
      <c r="AU99" s="484">
        <f t="shared" si="215"/>
        <v>35389970</v>
      </c>
      <c r="AV99" s="475">
        <f t="shared" si="216"/>
        <v>25384769</v>
      </c>
      <c r="AW99" s="475">
        <f t="shared" ref="AW99:AW103" si="264">K99+AB99</f>
        <v>53000</v>
      </c>
      <c r="AX99" s="475">
        <f t="shared" ref="AX99:AY103" si="265">L99+AD99</f>
        <v>8597966</v>
      </c>
      <c r="AY99" s="475">
        <f t="shared" si="265"/>
        <v>507695</v>
      </c>
      <c r="AZ99" s="475">
        <f t="shared" si="217"/>
        <v>846540</v>
      </c>
      <c r="BA99" s="476">
        <f t="shared" si="218"/>
        <v>43.8857</v>
      </c>
      <c r="BB99" s="476">
        <f t="shared" ref="BB99:BC103" si="266">P99+AR99</f>
        <v>33.651800000000001</v>
      </c>
      <c r="BC99" s="478">
        <f t="shared" si="266"/>
        <v>10.233899999999998</v>
      </c>
    </row>
    <row r="100" spans="1:55" s="234" customFormat="1" ht="12" customHeight="1" x14ac:dyDescent="0.2">
      <c r="A100" s="236">
        <v>23</v>
      </c>
      <c r="B100" s="237">
        <v>3416</v>
      </c>
      <c r="C100" s="237">
        <v>600078426</v>
      </c>
      <c r="D100" s="237">
        <v>72743034</v>
      </c>
      <c r="E100" s="238" t="s">
        <v>53</v>
      </c>
      <c r="F100" s="237">
        <v>3113</v>
      </c>
      <c r="G100" s="238" t="s">
        <v>312</v>
      </c>
      <c r="H100" s="273" t="s">
        <v>278</v>
      </c>
      <c r="I100" s="472">
        <v>3831945</v>
      </c>
      <c r="J100" s="472">
        <v>2821757</v>
      </c>
      <c r="K100" s="472">
        <v>0</v>
      </c>
      <c r="L100" s="472">
        <v>953754</v>
      </c>
      <c r="M100" s="472">
        <v>56434</v>
      </c>
      <c r="N100" s="472">
        <v>0</v>
      </c>
      <c r="O100" s="473">
        <v>8.1</v>
      </c>
      <c r="P100" s="474">
        <v>8.1</v>
      </c>
      <c r="Q100" s="483">
        <v>0</v>
      </c>
      <c r="R100" s="485">
        <f t="shared" si="256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>SUM(R100:W100)</f>
        <v>0</v>
      </c>
      <c r="Y100" s="475">
        <v>0</v>
      </c>
      <c r="Z100" s="475">
        <v>0</v>
      </c>
      <c r="AA100" s="475">
        <v>0</v>
      </c>
      <c r="AB100" s="475">
        <f t="shared" si="257"/>
        <v>0</v>
      </c>
      <c r="AC100" s="475">
        <f t="shared" si="258"/>
        <v>0</v>
      </c>
      <c r="AD100" s="70">
        <f t="shared" si="259"/>
        <v>0</v>
      </c>
      <c r="AE100" s="70">
        <f t="shared" si="260"/>
        <v>0</v>
      </c>
      <c r="AF100" s="475">
        <v>0</v>
      </c>
      <c r="AG100" s="475">
        <v>0</v>
      </c>
      <c r="AH100" s="475">
        <f t="shared" si="261"/>
        <v>0</v>
      </c>
      <c r="AI100" s="475">
        <f t="shared" si="262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si="263"/>
        <v>0</v>
      </c>
      <c r="AU100" s="484">
        <f t="shared" si="215"/>
        <v>3831945</v>
      </c>
      <c r="AV100" s="475">
        <f t="shared" si="216"/>
        <v>2821757</v>
      </c>
      <c r="AW100" s="475">
        <f t="shared" si="264"/>
        <v>0</v>
      </c>
      <c r="AX100" s="475">
        <f t="shared" si="265"/>
        <v>953754</v>
      </c>
      <c r="AY100" s="475">
        <f t="shared" si="265"/>
        <v>56434</v>
      </c>
      <c r="AZ100" s="475">
        <f t="shared" si="217"/>
        <v>0</v>
      </c>
      <c r="BA100" s="476">
        <f t="shared" si="218"/>
        <v>8.1</v>
      </c>
      <c r="BB100" s="476">
        <f t="shared" si="266"/>
        <v>8.1</v>
      </c>
      <c r="BC100" s="478">
        <f t="shared" si="266"/>
        <v>0</v>
      </c>
    </row>
    <row r="101" spans="1:55" s="234" customFormat="1" ht="12.75" customHeight="1" x14ac:dyDescent="0.2">
      <c r="A101" s="236">
        <v>23</v>
      </c>
      <c r="B101" s="237">
        <v>3416</v>
      </c>
      <c r="C101" s="237">
        <v>600078426</v>
      </c>
      <c r="D101" s="237">
        <v>72743034</v>
      </c>
      <c r="E101" s="238" t="s">
        <v>53</v>
      </c>
      <c r="F101" s="237">
        <v>3141</v>
      </c>
      <c r="G101" s="238" t="s">
        <v>315</v>
      </c>
      <c r="H101" s="273" t="s">
        <v>278</v>
      </c>
      <c r="I101" s="472">
        <v>3205209</v>
      </c>
      <c r="J101" s="472">
        <v>2338418</v>
      </c>
      <c r="K101" s="472">
        <v>0</v>
      </c>
      <c r="L101" s="472">
        <v>790385</v>
      </c>
      <c r="M101" s="472">
        <v>46768</v>
      </c>
      <c r="N101" s="472">
        <v>29638</v>
      </c>
      <c r="O101" s="473">
        <v>7.36</v>
      </c>
      <c r="P101" s="474">
        <v>0</v>
      </c>
      <c r="Q101" s="483">
        <v>7.36</v>
      </c>
      <c r="R101" s="485">
        <f t="shared" si="256"/>
        <v>0</v>
      </c>
      <c r="S101" s="475">
        <v>0</v>
      </c>
      <c r="T101" s="475">
        <v>-12261</v>
      </c>
      <c r="U101" s="475">
        <v>0</v>
      </c>
      <c r="V101" s="475">
        <v>0</v>
      </c>
      <c r="W101" s="475">
        <v>0</v>
      </c>
      <c r="X101" s="475">
        <f>SUM(R101:W101)</f>
        <v>-12261</v>
      </c>
      <c r="Y101" s="475">
        <v>0</v>
      </c>
      <c r="Z101" s="475">
        <v>0</v>
      </c>
      <c r="AA101" s="475">
        <v>0</v>
      </c>
      <c r="AB101" s="475">
        <f t="shared" si="257"/>
        <v>0</v>
      </c>
      <c r="AC101" s="475">
        <f t="shared" si="258"/>
        <v>-12261</v>
      </c>
      <c r="AD101" s="70">
        <f t="shared" si="259"/>
        <v>-4144</v>
      </c>
      <c r="AE101" s="70">
        <f t="shared" si="260"/>
        <v>-245</v>
      </c>
      <c r="AF101" s="475">
        <v>0</v>
      </c>
      <c r="AG101" s="475">
        <v>0</v>
      </c>
      <c r="AH101" s="475">
        <f t="shared" si="261"/>
        <v>0</v>
      </c>
      <c r="AI101" s="475">
        <f t="shared" si="262"/>
        <v>-16650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-0.03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-0.03</v>
      </c>
      <c r="AT101" s="478">
        <f t="shared" si="263"/>
        <v>-0.03</v>
      </c>
      <c r="AU101" s="484">
        <f t="shared" si="215"/>
        <v>3188559</v>
      </c>
      <c r="AV101" s="475">
        <f t="shared" si="216"/>
        <v>2326157</v>
      </c>
      <c r="AW101" s="475">
        <f t="shared" si="264"/>
        <v>0</v>
      </c>
      <c r="AX101" s="475">
        <f t="shared" si="265"/>
        <v>786241</v>
      </c>
      <c r="AY101" s="475">
        <f t="shared" si="265"/>
        <v>46523</v>
      </c>
      <c r="AZ101" s="475">
        <f t="shared" si="217"/>
        <v>29638</v>
      </c>
      <c r="BA101" s="476">
        <f t="shared" si="218"/>
        <v>7.33</v>
      </c>
      <c r="BB101" s="476">
        <f t="shared" si="266"/>
        <v>0</v>
      </c>
      <c r="BC101" s="478">
        <f t="shared" si="266"/>
        <v>7.33</v>
      </c>
    </row>
    <row r="102" spans="1:55" s="234" customFormat="1" ht="12.75" customHeight="1" x14ac:dyDescent="0.2">
      <c r="A102" s="236">
        <v>23</v>
      </c>
      <c r="B102" s="237">
        <v>3416</v>
      </c>
      <c r="C102" s="237">
        <v>600078426</v>
      </c>
      <c r="D102" s="237">
        <v>72743034</v>
      </c>
      <c r="E102" s="238" t="s">
        <v>53</v>
      </c>
      <c r="F102" s="237">
        <v>3143</v>
      </c>
      <c r="G102" s="238" t="s">
        <v>626</v>
      </c>
      <c r="H102" s="273" t="s">
        <v>277</v>
      </c>
      <c r="I102" s="472">
        <v>3761395</v>
      </c>
      <c r="J102" s="472">
        <v>2769805</v>
      </c>
      <c r="K102" s="472">
        <v>0</v>
      </c>
      <c r="L102" s="472">
        <v>936194</v>
      </c>
      <c r="M102" s="472">
        <v>55396</v>
      </c>
      <c r="N102" s="472">
        <v>0</v>
      </c>
      <c r="O102" s="473">
        <v>5.4314</v>
      </c>
      <c r="P102" s="474">
        <v>5.4314</v>
      </c>
      <c r="Q102" s="483">
        <v>0</v>
      </c>
      <c r="R102" s="485">
        <f t="shared" si="256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>SUM(R102:W102)</f>
        <v>0</v>
      </c>
      <c r="Y102" s="475">
        <v>0</v>
      </c>
      <c r="Z102" s="475">
        <v>0</v>
      </c>
      <c r="AA102" s="475">
        <v>0</v>
      </c>
      <c r="AB102" s="475">
        <f t="shared" si="257"/>
        <v>0</v>
      </c>
      <c r="AC102" s="475">
        <f t="shared" si="258"/>
        <v>0</v>
      </c>
      <c r="AD102" s="70">
        <f t="shared" si="259"/>
        <v>0</v>
      </c>
      <c r="AE102" s="70">
        <f t="shared" si="260"/>
        <v>0</v>
      </c>
      <c r="AF102" s="475">
        <v>0</v>
      </c>
      <c r="AG102" s="475">
        <v>0</v>
      </c>
      <c r="AH102" s="475">
        <f t="shared" si="261"/>
        <v>0</v>
      </c>
      <c r="AI102" s="475">
        <f t="shared" si="262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0</v>
      </c>
      <c r="AT102" s="478">
        <f t="shared" si="263"/>
        <v>0</v>
      </c>
      <c r="AU102" s="484">
        <f t="shared" si="215"/>
        <v>3761395</v>
      </c>
      <c r="AV102" s="475">
        <f t="shared" si="216"/>
        <v>2769805</v>
      </c>
      <c r="AW102" s="475">
        <f t="shared" si="264"/>
        <v>0</v>
      </c>
      <c r="AX102" s="475">
        <f t="shared" si="265"/>
        <v>936194</v>
      </c>
      <c r="AY102" s="475">
        <f t="shared" si="265"/>
        <v>55396</v>
      </c>
      <c r="AZ102" s="475">
        <f t="shared" si="217"/>
        <v>0</v>
      </c>
      <c r="BA102" s="476">
        <f t="shared" si="218"/>
        <v>5.4314</v>
      </c>
      <c r="BB102" s="476">
        <f t="shared" si="266"/>
        <v>5.4314</v>
      </c>
      <c r="BC102" s="478">
        <f t="shared" si="266"/>
        <v>0</v>
      </c>
    </row>
    <row r="103" spans="1:55" s="234" customFormat="1" ht="12.75" customHeight="1" x14ac:dyDescent="0.2">
      <c r="A103" s="236">
        <v>23</v>
      </c>
      <c r="B103" s="237">
        <v>3416</v>
      </c>
      <c r="C103" s="237">
        <v>600078426</v>
      </c>
      <c r="D103" s="237">
        <v>72743034</v>
      </c>
      <c r="E103" s="238" t="s">
        <v>53</v>
      </c>
      <c r="F103" s="237">
        <v>3143</v>
      </c>
      <c r="G103" s="238" t="s">
        <v>627</v>
      </c>
      <c r="H103" s="273" t="s">
        <v>278</v>
      </c>
      <c r="I103" s="472">
        <v>124740</v>
      </c>
      <c r="J103" s="472">
        <v>88211</v>
      </c>
      <c r="K103" s="472">
        <v>0</v>
      </c>
      <c r="L103" s="472">
        <v>29815</v>
      </c>
      <c r="M103" s="472">
        <v>1764</v>
      </c>
      <c r="N103" s="472">
        <v>4950</v>
      </c>
      <c r="O103" s="473">
        <v>0.34</v>
      </c>
      <c r="P103" s="474">
        <v>0</v>
      </c>
      <c r="Q103" s="483">
        <v>0.34</v>
      </c>
      <c r="R103" s="485">
        <f t="shared" si="256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>SUM(R103:W103)</f>
        <v>0</v>
      </c>
      <c r="Y103" s="475">
        <v>0</v>
      </c>
      <c r="Z103" s="475">
        <v>0</v>
      </c>
      <c r="AA103" s="475">
        <v>0</v>
      </c>
      <c r="AB103" s="475">
        <f t="shared" si="257"/>
        <v>0</v>
      </c>
      <c r="AC103" s="475">
        <f t="shared" si="258"/>
        <v>0</v>
      </c>
      <c r="AD103" s="70">
        <f t="shared" si="259"/>
        <v>0</v>
      </c>
      <c r="AE103" s="70">
        <f t="shared" si="260"/>
        <v>0</v>
      </c>
      <c r="AF103" s="475">
        <v>0</v>
      </c>
      <c r="AG103" s="475">
        <v>0</v>
      </c>
      <c r="AH103" s="475">
        <f t="shared" si="261"/>
        <v>0</v>
      </c>
      <c r="AI103" s="475">
        <f t="shared" si="262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</v>
      </c>
      <c r="AT103" s="478">
        <f t="shared" si="263"/>
        <v>0</v>
      </c>
      <c r="AU103" s="484">
        <f t="shared" si="215"/>
        <v>124740</v>
      </c>
      <c r="AV103" s="475">
        <f t="shared" si="216"/>
        <v>88211</v>
      </c>
      <c r="AW103" s="475">
        <f t="shared" si="264"/>
        <v>0</v>
      </c>
      <c r="AX103" s="475">
        <f t="shared" si="265"/>
        <v>29815</v>
      </c>
      <c r="AY103" s="475">
        <f t="shared" si="265"/>
        <v>1764</v>
      </c>
      <c r="AZ103" s="475">
        <f t="shared" si="217"/>
        <v>4950</v>
      </c>
      <c r="BA103" s="476">
        <f t="shared" si="218"/>
        <v>0.34</v>
      </c>
      <c r="BB103" s="476">
        <f t="shared" si="266"/>
        <v>0</v>
      </c>
      <c r="BC103" s="478">
        <f t="shared" si="266"/>
        <v>0.34</v>
      </c>
    </row>
    <row r="104" spans="1:55" s="234" customFormat="1" ht="12.75" customHeight="1" x14ac:dyDescent="0.2">
      <c r="A104" s="160">
        <v>23</v>
      </c>
      <c r="B104" s="14">
        <v>3416</v>
      </c>
      <c r="C104" s="159">
        <v>600078426</v>
      </c>
      <c r="D104" s="159">
        <v>72743034</v>
      </c>
      <c r="E104" s="235" t="s">
        <v>54</v>
      </c>
      <c r="F104" s="14"/>
      <c r="G104" s="235"/>
      <c r="H104" s="272"/>
      <c r="I104" s="479">
        <v>46313259</v>
      </c>
      <c r="J104" s="479">
        <v>33402960</v>
      </c>
      <c r="K104" s="479">
        <v>53000</v>
      </c>
      <c r="L104" s="479">
        <v>11308114</v>
      </c>
      <c r="M104" s="479">
        <v>668057</v>
      </c>
      <c r="N104" s="479">
        <v>881128</v>
      </c>
      <c r="O104" s="441">
        <v>65.117100000000008</v>
      </c>
      <c r="P104" s="441">
        <v>47.183199999999999</v>
      </c>
      <c r="Q104" s="441">
        <v>17.933899999999998</v>
      </c>
      <c r="R104" s="687">
        <f t="shared" ref="R104:BC104" si="267">SUM(R99:R103)</f>
        <v>0</v>
      </c>
      <c r="S104" s="685">
        <f t="shared" si="267"/>
        <v>0</v>
      </c>
      <c r="T104" s="685">
        <f t="shared" si="267"/>
        <v>-12261</v>
      </c>
      <c r="U104" s="685">
        <f t="shared" si="267"/>
        <v>0</v>
      </c>
      <c r="V104" s="685">
        <f t="shared" si="267"/>
        <v>0</v>
      </c>
      <c r="W104" s="685">
        <f t="shared" si="267"/>
        <v>0</v>
      </c>
      <c r="X104" s="685">
        <f t="shared" si="267"/>
        <v>-12261</v>
      </c>
      <c r="Y104" s="685">
        <f t="shared" si="267"/>
        <v>0</v>
      </c>
      <c r="Z104" s="685">
        <f t="shared" si="267"/>
        <v>0</v>
      </c>
      <c r="AA104" s="685">
        <f t="shared" si="267"/>
        <v>0</v>
      </c>
      <c r="AB104" s="685">
        <f t="shared" si="267"/>
        <v>0</v>
      </c>
      <c r="AC104" s="685">
        <f t="shared" si="267"/>
        <v>-12261</v>
      </c>
      <c r="AD104" s="685">
        <f t="shared" si="267"/>
        <v>-4144</v>
      </c>
      <c r="AE104" s="685">
        <f t="shared" si="267"/>
        <v>-245</v>
      </c>
      <c r="AF104" s="685">
        <f t="shared" si="267"/>
        <v>0</v>
      </c>
      <c r="AG104" s="685">
        <f t="shared" si="267"/>
        <v>0</v>
      </c>
      <c r="AH104" s="685">
        <f t="shared" si="267"/>
        <v>0</v>
      </c>
      <c r="AI104" s="685">
        <f t="shared" si="267"/>
        <v>-16650</v>
      </c>
      <c r="AJ104" s="686">
        <f t="shared" si="267"/>
        <v>0</v>
      </c>
      <c r="AK104" s="686">
        <f t="shared" si="267"/>
        <v>0</v>
      </c>
      <c r="AL104" s="686">
        <f t="shared" si="267"/>
        <v>0</v>
      </c>
      <c r="AM104" s="686">
        <f t="shared" si="267"/>
        <v>0</v>
      </c>
      <c r="AN104" s="686">
        <f t="shared" si="267"/>
        <v>-0.03</v>
      </c>
      <c r="AO104" s="686">
        <f t="shared" si="267"/>
        <v>0</v>
      </c>
      <c r="AP104" s="686">
        <f t="shared" si="267"/>
        <v>0</v>
      </c>
      <c r="AQ104" s="686">
        <f t="shared" si="267"/>
        <v>0</v>
      </c>
      <c r="AR104" s="686">
        <f t="shared" si="267"/>
        <v>0</v>
      </c>
      <c r="AS104" s="686">
        <f t="shared" si="267"/>
        <v>-0.03</v>
      </c>
      <c r="AT104" s="688">
        <f t="shared" si="267"/>
        <v>-0.03</v>
      </c>
      <c r="AU104" s="683">
        <f t="shared" si="267"/>
        <v>46296609</v>
      </c>
      <c r="AV104" s="479">
        <f t="shared" si="267"/>
        <v>33390699</v>
      </c>
      <c r="AW104" s="479">
        <f t="shared" si="267"/>
        <v>53000</v>
      </c>
      <c r="AX104" s="479">
        <f t="shared" si="267"/>
        <v>11303970</v>
      </c>
      <c r="AY104" s="479">
        <f t="shared" si="267"/>
        <v>667812</v>
      </c>
      <c r="AZ104" s="479">
        <f t="shared" si="267"/>
        <v>881128</v>
      </c>
      <c r="BA104" s="441">
        <f t="shared" si="267"/>
        <v>65.087100000000007</v>
      </c>
      <c r="BB104" s="441">
        <f t="shared" si="267"/>
        <v>47.183199999999999</v>
      </c>
      <c r="BC104" s="520">
        <f t="shared" si="267"/>
        <v>17.903899999999997</v>
      </c>
    </row>
    <row r="105" spans="1:55" s="234" customFormat="1" ht="12.75" customHeight="1" x14ac:dyDescent="0.2">
      <c r="A105" s="236">
        <v>24</v>
      </c>
      <c r="B105" s="237">
        <v>3414</v>
      </c>
      <c r="C105" s="237">
        <v>600078388</v>
      </c>
      <c r="D105" s="237">
        <v>43257721</v>
      </c>
      <c r="E105" s="238" t="s">
        <v>55</v>
      </c>
      <c r="F105" s="237">
        <v>3113</v>
      </c>
      <c r="G105" s="238" t="s">
        <v>314</v>
      </c>
      <c r="H105" s="273" t="s">
        <v>277</v>
      </c>
      <c r="I105" s="472">
        <v>37266004</v>
      </c>
      <c r="J105" s="472">
        <v>26732646</v>
      </c>
      <c r="K105" s="472">
        <v>90000</v>
      </c>
      <c r="L105" s="472">
        <v>9066055</v>
      </c>
      <c r="M105" s="472">
        <v>534653</v>
      </c>
      <c r="N105" s="472">
        <v>842650</v>
      </c>
      <c r="O105" s="473">
        <v>47.5518</v>
      </c>
      <c r="P105" s="474">
        <v>36.576000000000001</v>
      </c>
      <c r="Q105" s="483">
        <v>10.9758</v>
      </c>
      <c r="R105" s="485">
        <f t="shared" ref="R105:R109" si="268">Y105*-1</f>
        <v>-26000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>SUM(R105:W105)</f>
        <v>-26000</v>
      </c>
      <c r="Y105" s="475">
        <v>26000</v>
      </c>
      <c r="Z105" s="475">
        <v>0</v>
      </c>
      <c r="AA105" s="475">
        <v>0</v>
      </c>
      <c r="AB105" s="475">
        <f t="shared" ref="AB105:AB109" si="269">SUM(Y105:AA105)</f>
        <v>26000</v>
      </c>
      <c r="AC105" s="475">
        <f t="shared" ref="AC105:AC109" si="270">X105+AB105</f>
        <v>0</v>
      </c>
      <c r="AD105" s="70">
        <f t="shared" ref="AD105:AD109" si="271">ROUND((X105+Y105+Z105)*33.8%,0)</f>
        <v>0</v>
      </c>
      <c r="AE105" s="70">
        <f t="shared" ref="AE105:AE109" si="272">ROUND(X105*2%,0)</f>
        <v>-520</v>
      </c>
      <c r="AF105" s="475">
        <v>0</v>
      </c>
      <c r="AG105" s="475">
        <v>0</v>
      </c>
      <c r="AH105" s="475">
        <f t="shared" ref="AH105:AH109" si="273">SUM(AF105:AG105)</f>
        <v>0</v>
      </c>
      <c r="AI105" s="475">
        <f t="shared" ref="AI105:AI109" si="274">AC105+AD105+AE105+AH105</f>
        <v>-520</v>
      </c>
      <c r="AJ105" s="476">
        <v>0</v>
      </c>
      <c r="AK105" s="476">
        <v>-0.12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-0.12</v>
      </c>
      <c r="AT105" s="478">
        <f t="shared" ref="AT105:AT109" si="275">SUM(AR105:AS105)</f>
        <v>-0.12</v>
      </c>
      <c r="AU105" s="484">
        <f t="shared" si="215"/>
        <v>37265484</v>
      </c>
      <c r="AV105" s="475">
        <f t="shared" si="216"/>
        <v>26706646</v>
      </c>
      <c r="AW105" s="475">
        <f t="shared" ref="AW105:AW109" si="276">K105+AB105</f>
        <v>116000</v>
      </c>
      <c r="AX105" s="475">
        <f t="shared" ref="AX105:AY109" si="277">L105+AD105</f>
        <v>9066055</v>
      </c>
      <c r="AY105" s="475">
        <f t="shared" si="277"/>
        <v>534133</v>
      </c>
      <c r="AZ105" s="475">
        <f t="shared" si="217"/>
        <v>842650</v>
      </c>
      <c r="BA105" s="476">
        <f t="shared" si="218"/>
        <v>47.431800000000003</v>
      </c>
      <c r="BB105" s="476">
        <f t="shared" ref="BB105:BC109" si="278">P105+AR105</f>
        <v>36.576000000000001</v>
      </c>
      <c r="BC105" s="478">
        <f t="shared" si="278"/>
        <v>10.8558</v>
      </c>
    </row>
    <row r="106" spans="1:55" s="234" customFormat="1" x14ac:dyDescent="0.2">
      <c r="A106" s="236">
        <v>24</v>
      </c>
      <c r="B106" s="237">
        <v>3414</v>
      </c>
      <c r="C106" s="237">
        <v>600078388</v>
      </c>
      <c r="D106" s="237">
        <v>43257721</v>
      </c>
      <c r="E106" s="238" t="s">
        <v>55</v>
      </c>
      <c r="F106" s="237">
        <v>3113</v>
      </c>
      <c r="G106" s="238" t="s">
        <v>312</v>
      </c>
      <c r="H106" s="273" t="s">
        <v>278</v>
      </c>
      <c r="I106" s="472">
        <v>4641430</v>
      </c>
      <c r="J106" s="472">
        <v>3416001</v>
      </c>
      <c r="K106" s="472">
        <v>0</v>
      </c>
      <c r="L106" s="472">
        <v>1154609</v>
      </c>
      <c r="M106" s="472">
        <v>68320</v>
      </c>
      <c r="N106" s="472">
        <v>2500</v>
      </c>
      <c r="O106" s="473">
        <v>9.7700000000000014</v>
      </c>
      <c r="P106" s="474">
        <v>9.7700000000000014</v>
      </c>
      <c r="Q106" s="483">
        <v>0</v>
      </c>
      <c r="R106" s="485">
        <f t="shared" si="268"/>
        <v>0</v>
      </c>
      <c r="S106" s="475">
        <v>1910</v>
      </c>
      <c r="T106" s="475">
        <v>0</v>
      </c>
      <c r="U106" s="475">
        <v>0</v>
      </c>
      <c r="V106" s="475">
        <v>0</v>
      </c>
      <c r="W106" s="475">
        <v>0</v>
      </c>
      <c r="X106" s="475">
        <f>SUM(R106:W106)</f>
        <v>1910</v>
      </c>
      <c r="Y106" s="475">
        <v>0</v>
      </c>
      <c r="Z106" s="475">
        <v>0</v>
      </c>
      <c r="AA106" s="475">
        <v>0</v>
      </c>
      <c r="AB106" s="475">
        <f t="shared" si="269"/>
        <v>0</v>
      </c>
      <c r="AC106" s="475">
        <f t="shared" si="270"/>
        <v>1910</v>
      </c>
      <c r="AD106" s="70">
        <f t="shared" si="271"/>
        <v>646</v>
      </c>
      <c r="AE106" s="70">
        <f t="shared" si="272"/>
        <v>38</v>
      </c>
      <c r="AF106" s="475">
        <v>2500</v>
      </c>
      <c r="AG106" s="475">
        <v>0</v>
      </c>
      <c r="AH106" s="475">
        <f t="shared" si="273"/>
        <v>2500</v>
      </c>
      <c r="AI106" s="475">
        <f t="shared" si="274"/>
        <v>5094</v>
      </c>
      <c r="AJ106" s="476">
        <v>0</v>
      </c>
      <c r="AK106" s="476">
        <v>0</v>
      </c>
      <c r="AL106" s="476">
        <v>0.01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0.01</v>
      </c>
      <c r="AS106" s="476">
        <f>AK106+AN106+AQ106</f>
        <v>0</v>
      </c>
      <c r="AT106" s="478">
        <f t="shared" si="275"/>
        <v>0.01</v>
      </c>
      <c r="AU106" s="484">
        <f t="shared" si="215"/>
        <v>4646524</v>
      </c>
      <c r="AV106" s="475">
        <f t="shared" si="216"/>
        <v>3417911</v>
      </c>
      <c r="AW106" s="475">
        <f t="shared" si="276"/>
        <v>0</v>
      </c>
      <c r="AX106" s="475">
        <f t="shared" si="277"/>
        <v>1155255</v>
      </c>
      <c r="AY106" s="475">
        <f t="shared" si="277"/>
        <v>68358</v>
      </c>
      <c r="AZ106" s="475">
        <f t="shared" si="217"/>
        <v>5000</v>
      </c>
      <c r="BA106" s="476">
        <f t="shared" si="218"/>
        <v>9.7800000000000011</v>
      </c>
      <c r="BB106" s="476">
        <f t="shared" si="278"/>
        <v>9.7800000000000011</v>
      </c>
      <c r="BC106" s="478">
        <f t="shared" si="278"/>
        <v>0</v>
      </c>
    </row>
    <row r="107" spans="1:55" s="234" customFormat="1" ht="12.75" customHeight="1" x14ac:dyDescent="0.2">
      <c r="A107" s="236">
        <v>24</v>
      </c>
      <c r="B107" s="237">
        <v>3414</v>
      </c>
      <c r="C107" s="237">
        <v>600078388</v>
      </c>
      <c r="D107" s="237">
        <v>43257721</v>
      </c>
      <c r="E107" s="238" t="s">
        <v>55</v>
      </c>
      <c r="F107" s="237">
        <v>3141</v>
      </c>
      <c r="G107" s="238" t="s">
        <v>315</v>
      </c>
      <c r="H107" s="273" t="s">
        <v>278</v>
      </c>
      <c r="I107" s="472">
        <v>3534077</v>
      </c>
      <c r="J107" s="472">
        <v>2577770</v>
      </c>
      <c r="K107" s="472">
        <v>0</v>
      </c>
      <c r="L107" s="472">
        <v>871286</v>
      </c>
      <c r="M107" s="472">
        <v>51555</v>
      </c>
      <c r="N107" s="472">
        <v>33466</v>
      </c>
      <c r="O107" s="473">
        <v>8.1199999999999992</v>
      </c>
      <c r="P107" s="474">
        <v>0</v>
      </c>
      <c r="Q107" s="483">
        <v>8.1199999999999992</v>
      </c>
      <c r="R107" s="485">
        <f t="shared" si="268"/>
        <v>0</v>
      </c>
      <c r="S107" s="475">
        <v>0</v>
      </c>
      <c r="T107" s="475">
        <v>-29997</v>
      </c>
      <c r="U107" s="475">
        <v>0</v>
      </c>
      <c r="V107" s="475">
        <v>0</v>
      </c>
      <c r="W107" s="475">
        <v>0</v>
      </c>
      <c r="X107" s="475">
        <f>SUM(R107:W107)</f>
        <v>-29997</v>
      </c>
      <c r="Y107" s="475">
        <v>0</v>
      </c>
      <c r="Z107" s="475">
        <v>0</v>
      </c>
      <c r="AA107" s="475">
        <v>0</v>
      </c>
      <c r="AB107" s="475">
        <f t="shared" si="269"/>
        <v>0</v>
      </c>
      <c r="AC107" s="475">
        <f t="shared" si="270"/>
        <v>-29997</v>
      </c>
      <c r="AD107" s="70">
        <f t="shared" si="271"/>
        <v>-10139</v>
      </c>
      <c r="AE107" s="70">
        <f t="shared" si="272"/>
        <v>-600</v>
      </c>
      <c r="AF107" s="475">
        <v>0</v>
      </c>
      <c r="AG107" s="475">
        <v>0</v>
      </c>
      <c r="AH107" s="475">
        <f t="shared" si="273"/>
        <v>0</v>
      </c>
      <c r="AI107" s="475">
        <f t="shared" si="274"/>
        <v>-40736</v>
      </c>
      <c r="AJ107" s="476">
        <v>0</v>
      </c>
      <c r="AK107" s="476">
        <v>0</v>
      </c>
      <c r="AL107" s="476">
        <v>0</v>
      </c>
      <c r="AM107" s="476">
        <v>0</v>
      </c>
      <c r="AN107" s="476">
        <v>-0.1</v>
      </c>
      <c r="AO107" s="476">
        <v>0</v>
      </c>
      <c r="AP107" s="476">
        <v>0</v>
      </c>
      <c r="AQ107" s="476">
        <v>0</v>
      </c>
      <c r="AR107" s="476">
        <f>AJ107+AL107+AM107+AO107+AP107</f>
        <v>0</v>
      </c>
      <c r="AS107" s="476">
        <f>AK107+AN107+AQ107</f>
        <v>-0.1</v>
      </c>
      <c r="AT107" s="478">
        <f t="shared" si="275"/>
        <v>-0.1</v>
      </c>
      <c r="AU107" s="484">
        <f t="shared" si="215"/>
        <v>3493341</v>
      </c>
      <c r="AV107" s="475">
        <f t="shared" si="216"/>
        <v>2547773</v>
      </c>
      <c r="AW107" s="475">
        <f t="shared" si="276"/>
        <v>0</v>
      </c>
      <c r="AX107" s="475">
        <f t="shared" si="277"/>
        <v>861147</v>
      </c>
      <c r="AY107" s="475">
        <f t="shared" si="277"/>
        <v>50955</v>
      </c>
      <c r="AZ107" s="475">
        <f t="shared" si="217"/>
        <v>33466</v>
      </c>
      <c r="BA107" s="476">
        <f t="shared" si="218"/>
        <v>8.02</v>
      </c>
      <c r="BB107" s="476">
        <f t="shared" si="278"/>
        <v>0</v>
      </c>
      <c r="BC107" s="478">
        <f t="shared" si="278"/>
        <v>8.02</v>
      </c>
    </row>
    <row r="108" spans="1:55" s="234" customFormat="1" ht="12.75" customHeight="1" x14ac:dyDescent="0.2">
      <c r="A108" s="236">
        <v>24</v>
      </c>
      <c r="B108" s="237">
        <v>3414</v>
      </c>
      <c r="C108" s="237">
        <v>600078388</v>
      </c>
      <c r="D108" s="237">
        <v>43257721</v>
      </c>
      <c r="E108" s="238" t="s">
        <v>55</v>
      </c>
      <c r="F108" s="237">
        <v>3143</v>
      </c>
      <c r="G108" s="238" t="s">
        <v>626</v>
      </c>
      <c r="H108" s="273" t="s">
        <v>277</v>
      </c>
      <c r="I108" s="472">
        <v>3744213</v>
      </c>
      <c r="J108" s="472">
        <v>2747300</v>
      </c>
      <c r="K108" s="472">
        <v>10000</v>
      </c>
      <c r="L108" s="472">
        <v>931967</v>
      </c>
      <c r="M108" s="472">
        <v>54946</v>
      </c>
      <c r="N108" s="472">
        <v>0</v>
      </c>
      <c r="O108" s="473">
        <v>5.4820000000000002</v>
      </c>
      <c r="P108" s="474">
        <v>5.4820000000000002</v>
      </c>
      <c r="Q108" s="483">
        <v>0</v>
      </c>
      <c r="R108" s="485">
        <f t="shared" si="268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>SUM(R108:W108)</f>
        <v>0</v>
      </c>
      <c r="Y108" s="475">
        <v>0</v>
      </c>
      <c r="Z108" s="475">
        <v>0</v>
      </c>
      <c r="AA108" s="475">
        <v>0</v>
      </c>
      <c r="AB108" s="475">
        <f t="shared" si="269"/>
        <v>0</v>
      </c>
      <c r="AC108" s="475">
        <f t="shared" si="270"/>
        <v>0</v>
      </c>
      <c r="AD108" s="70">
        <f t="shared" si="271"/>
        <v>0</v>
      </c>
      <c r="AE108" s="70">
        <f t="shared" si="272"/>
        <v>0</v>
      </c>
      <c r="AF108" s="475">
        <v>0</v>
      </c>
      <c r="AG108" s="475">
        <v>0</v>
      </c>
      <c r="AH108" s="475">
        <f t="shared" si="273"/>
        <v>0</v>
      </c>
      <c r="AI108" s="475">
        <f t="shared" si="274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>AJ108+AL108+AM108+AO108+AP108</f>
        <v>0</v>
      </c>
      <c r="AS108" s="476">
        <f>AK108+AN108+AQ108</f>
        <v>0</v>
      </c>
      <c r="AT108" s="478">
        <f t="shared" si="275"/>
        <v>0</v>
      </c>
      <c r="AU108" s="484">
        <f t="shared" si="215"/>
        <v>3744213</v>
      </c>
      <c r="AV108" s="475">
        <f t="shared" si="216"/>
        <v>2747300</v>
      </c>
      <c r="AW108" s="475">
        <f t="shared" si="276"/>
        <v>10000</v>
      </c>
      <c r="AX108" s="475">
        <f t="shared" si="277"/>
        <v>931967</v>
      </c>
      <c r="AY108" s="475">
        <f t="shared" si="277"/>
        <v>54946</v>
      </c>
      <c r="AZ108" s="475">
        <f t="shared" si="217"/>
        <v>0</v>
      </c>
      <c r="BA108" s="476">
        <f t="shared" si="218"/>
        <v>5.4820000000000002</v>
      </c>
      <c r="BB108" s="476">
        <f t="shared" si="278"/>
        <v>5.4820000000000002</v>
      </c>
      <c r="BC108" s="478">
        <f t="shared" si="278"/>
        <v>0</v>
      </c>
    </row>
    <row r="109" spans="1:55" s="234" customFormat="1" ht="12.75" customHeight="1" x14ac:dyDescent="0.2">
      <c r="A109" s="236">
        <v>24</v>
      </c>
      <c r="B109" s="237">
        <v>3414</v>
      </c>
      <c r="C109" s="237">
        <v>600078388</v>
      </c>
      <c r="D109" s="237">
        <v>43257721</v>
      </c>
      <c r="E109" s="238" t="s">
        <v>55</v>
      </c>
      <c r="F109" s="237">
        <v>3143</v>
      </c>
      <c r="G109" s="238" t="s">
        <v>627</v>
      </c>
      <c r="H109" s="273" t="s">
        <v>278</v>
      </c>
      <c r="I109" s="472">
        <v>125496</v>
      </c>
      <c r="J109" s="472">
        <v>88745</v>
      </c>
      <c r="K109" s="472">
        <v>0</v>
      </c>
      <c r="L109" s="472">
        <v>29996</v>
      </c>
      <c r="M109" s="472">
        <v>1775</v>
      </c>
      <c r="N109" s="472">
        <v>4980</v>
      </c>
      <c r="O109" s="473">
        <v>0.35</v>
      </c>
      <c r="P109" s="474">
        <v>0</v>
      </c>
      <c r="Q109" s="483">
        <v>0.35</v>
      </c>
      <c r="R109" s="485">
        <f t="shared" si="268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>SUM(R109:W109)</f>
        <v>0</v>
      </c>
      <c r="Y109" s="475">
        <v>0</v>
      </c>
      <c r="Z109" s="475">
        <v>0</v>
      </c>
      <c r="AA109" s="475">
        <v>0</v>
      </c>
      <c r="AB109" s="475">
        <f t="shared" si="269"/>
        <v>0</v>
      </c>
      <c r="AC109" s="475">
        <f t="shared" si="270"/>
        <v>0</v>
      </c>
      <c r="AD109" s="70">
        <f t="shared" si="271"/>
        <v>0</v>
      </c>
      <c r="AE109" s="70">
        <f t="shared" si="272"/>
        <v>0</v>
      </c>
      <c r="AF109" s="475">
        <v>0</v>
      </c>
      <c r="AG109" s="475">
        <v>0</v>
      </c>
      <c r="AH109" s="475">
        <f t="shared" si="273"/>
        <v>0</v>
      </c>
      <c r="AI109" s="475">
        <f t="shared" si="274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si="275"/>
        <v>0</v>
      </c>
      <c r="AU109" s="484">
        <f t="shared" si="215"/>
        <v>125496</v>
      </c>
      <c r="AV109" s="475">
        <f t="shared" si="216"/>
        <v>88745</v>
      </c>
      <c r="AW109" s="475">
        <f t="shared" si="276"/>
        <v>0</v>
      </c>
      <c r="AX109" s="475">
        <f t="shared" si="277"/>
        <v>29996</v>
      </c>
      <c r="AY109" s="475">
        <f t="shared" si="277"/>
        <v>1775</v>
      </c>
      <c r="AZ109" s="475">
        <f t="shared" si="217"/>
        <v>4980</v>
      </c>
      <c r="BA109" s="476">
        <f t="shared" si="218"/>
        <v>0.35</v>
      </c>
      <c r="BB109" s="476">
        <f t="shared" si="278"/>
        <v>0</v>
      </c>
      <c r="BC109" s="478">
        <f t="shared" si="278"/>
        <v>0.35</v>
      </c>
    </row>
    <row r="110" spans="1:55" s="234" customFormat="1" ht="12.75" customHeight="1" x14ac:dyDescent="0.2">
      <c r="A110" s="160">
        <v>24</v>
      </c>
      <c r="B110" s="14">
        <v>3414</v>
      </c>
      <c r="C110" s="159">
        <v>600078388</v>
      </c>
      <c r="D110" s="159">
        <v>43257721</v>
      </c>
      <c r="E110" s="235" t="s">
        <v>56</v>
      </c>
      <c r="F110" s="14"/>
      <c r="G110" s="235"/>
      <c r="H110" s="272"/>
      <c r="I110" s="479">
        <v>49311220</v>
      </c>
      <c r="J110" s="479">
        <v>35562462</v>
      </c>
      <c r="K110" s="479">
        <v>100000</v>
      </c>
      <c r="L110" s="479">
        <v>12053913</v>
      </c>
      <c r="M110" s="479">
        <v>711249</v>
      </c>
      <c r="N110" s="479">
        <v>883596</v>
      </c>
      <c r="O110" s="441">
        <v>71.273799999999994</v>
      </c>
      <c r="P110" s="441">
        <v>51.828000000000003</v>
      </c>
      <c r="Q110" s="441">
        <v>19.445799999999998</v>
      </c>
      <c r="R110" s="687">
        <f t="shared" ref="R110:BC110" si="279">SUM(R105:R109)</f>
        <v>-26000</v>
      </c>
      <c r="S110" s="685">
        <f t="shared" si="279"/>
        <v>1910</v>
      </c>
      <c r="T110" s="685">
        <f t="shared" si="279"/>
        <v>-29997</v>
      </c>
      <c r="U110" s="685">
        <f t="shared" si="279"/>
        <v>0</v>
      </c>
      <c r="V110" s="685">
        <f t="shared" si="279"/>
        <v>0</v>
      </c>
      <c r="W110" s="685">
        <f t="shared" si="279"/>
        <v>0</v>
      </c>
      <c r="X110" s="685">
        <f t="shared" si="279"/>
        <v>-54087</v>
      </c>
      <c r="Y110" s="685">
        <f t="shared" si="279"/>
        <v>26000</v>
      </c>
      <c r="Z110" s="685">
        <f t="shared" si="279"/>
        <v>0</v>
      </c>
      <c r="AA110" s="685">
        <f t="shared" si="279"/>
        <v>0</v>
      </c>
      <c r="AB110" s="685">
        <f t="shared" si="279"/>
        <v>26000</v>
      </c>
      <c r="AC110" s="685">
        <f t="shared" si="279"/>
        <v>-28087</v>
      </c>
      <c r="AD110" s="685">
        <f t="shared" si="279"/>
        <v>-9493</v>
      </c>
      <c r="AE110" s="685">
        <f t="shared" si="279"/>
        <v>-1082</v>
      </c>
      <c r="AF110" s="685">
        <f t="shared" si="279"/>
        <v>2500</v>
      </c>
      <c r="AG110" s="685">
        <f t="shared" si="279"/>
        <v>0</v>
      </c>
      <c r="AH110" s="685">
        <f t="shared" si="279"/>
        <v>2500</v>
      </c>
      <c r="AI110" s="685">
        <f t="shared" si="279"/>
        <v>-36162</v>
      </c>
      <c r="AJ110" s="686">
        <f t="shared" si="279"/>
        <v>0</v>
      </c>
      <c r="AK110" s="686">
        <f t="shared" si="279"/>
        <v>-0.12</v>
      </c>
      <c r="AL110" s="686">
        <f t="shared" si="279"/>
        <v>0.01</v>
      </c>
      <c r="AM110" s="686">
        <f t="shared" si="279"/>
        <v>0</v>
      </c>
      <c r="AN110" s="686">
        <f t="shared" si="279"/>
        <v>-0.1</v>
      </c>
      <c r="AO110" s="686">
        <f t="shared" si="279"/>
        <v>0</v>
      </c>
      <c r="AP110" s="686">
        <f t="shared" si="279"/>
        <v>0</v>
      </c>
      <c r="AQ110" s="686">
        <f t="shared" si="279"/>
        <v>0</v>
      </c>
      <c r="AR110" s="686">
        <f t="shared" si="279"/>
        <v>0.01</v>
      </c>
      <c r="AS110" s="686">
        <f t="shared" si="279"/>
        <v>-0.22</v>
      </c>
      <c r="AT110" s="688">
        <f t="shared" si="279"/>
        <v>-0.21000000000000002</v>
      </c>
      <c r="AU110" s="683">
        <f t="shared" si="279"/>
        <v>49275058</v>
      </c>
      <c r="AV110" s="479">
        <f t="shared" si="279"/>
        <v>35508375</v>
      </c>
      <c r="AW110" s="479">
        <f t="shared" si="279"/>
        <v>126000</v>
      </c>
      <c r="AX110" s="479">
        <f t="shared" si="279"/>
        <v>12044420</v>
      </c>
      <c r="AY110" s="479">
        <f t="shared" si="279"/>
        <v>710167</v>
      </c>
      <c r="AZ110" s="479">
        <f t="shared" si="279"/>
        <v>886096</v>
      </c>
      <c r="BA110" s="441">
        <f t="shared" si="279"/>
        <v>71.063800000000001</v>
      </c>
      <c r="BB110" s="441">
        <f t="shared" si="279"/>
        <v>51.838000000000001</v>
      </c>
      <c r="BC110" s="520">
        <f t="shared" si="279"/>
        <v>19.2258</v>
      </c>
    </row>
    <row r="111" spans="1:55" s="234" customFormat="1" ht="12.75" customHeight="1" x14ac:dyDescent="0.2">
      <c r="A111" s="236">
        <v>25</v>
      </c>
      <c r="B111" s="237">
        <v>3411</v>
      </c>
      <c r="C111" s="237">
        <v>600078400</v>
      </c>
      <c r="D111" s="237">
        <v>72742950</v>
      </c>
      <c r="E111" s="238" t="s">
        <v>57</v>
      </c>
      <c r="F111" s="237">
        <v>3113</v>
      </c>
      <c r="G111" s="238" t="s">
        <v>314</v>
      </c>
      <c r="H111" s="273" t="s">
        <v>277</v>
      </c>
      <c r="I111" s="472">
        <v>32334010</v>
      </c>
      <c r="J111" s="472">
        <v>23236274</v>
      </c>
      <c r="K111" s="472">
        <v>0</v>
      </c>
      <c r="L111" s="472">
        <v>7853861</v>
      </c>
      <c r="M111" s="472">
        <v>464725</v>
      </c>
      <c r="N111" s="472">
        <v>779150</v>
      </c>
      <c r="O111" s="473">
        <v>40.101900000000001</v>
      </c>
      <c r="P111" s="474">
        <v>30.909300000000002</v>
      </c>
      <c r="Q111" s="483">
        <v>9.1925999999999988</v>
      </c>
      <c r="R111" s="485">
        <f t="shared" ref="R111:R115" si="280">Y111*-1</f>
        <v>0</v>
      </c>
      <c r="S111" s="475">
        <v>0</v>
      </c>
      <c r="T111" s="475">
        <v>219200</v>
      </c>
      <c r="U111" s="475">
        <v>23760</v>
      </c>
      <c r="V111" s="475">
        <v>0</v>
      </c>
      <c r="W111" s="475">
        <v>0</v>
      </c>
      <c r="X111" s="475">
        <f>SUM(R111:W111)</f>
        <v>242960</v>
      </c>
      <c r="Y111" s="475">
        <v>0</v>
      </c>
      <c r="Z111" s="475">
        <v>0</v>
      </c>
      <c r="AA111" s="475">
        <v>0</v>
      </c>
      <c r="AB111" s="475">
        <f t="shared" ref="AB111:AB115" si="281">SUM(Y111:AA111)</f>
        <v>0</v>
      </c>
      <c r="AC111" s="475">
        <f t="shared" ref="AC111:AC115" si="282">X111+AB111</f>
        <v>242960</v>
      </c>
      <c r="AD111" s="70">
        <f t="shared" ref="AD111:AD115" si="283">ROUND((X111+Y111+Z111)*33.8%,0)</f>
        <v>82120</v>
      </c>
      <c r="AE111" s="70">
        <f t="shared" ref="AE111:AE115" si="284">ROUND(X111*2%,0)</f>
        <v>4859</v>
      </c>
      <c r="AF111" s="475">
        <v>0</v>
      </c>
      <c r="AG111" s="475">
        <v>0</v>
      </c>
      <c r="AH111" s="475">
        <f t="shared" ref="AH111:AH115" si="285">SUM(AF111:AG111)</f>
        <v>0</v>
      </c>
      <c r="AI111" s="475">
        <f t="shared" ref="AI111:AI115" si="286">AC111+AD111+AE111+AH111</f>
        <v>329939</v>
      </c>
      <c r="AJ111" s="476">
        <v>0</v>
      </c>
      <c r="AK111" s="476">
        <v>0</v>
      </c>
      <c r="AL111" s="476">
        <v>0</v>
      </c>
      <c r="AM111" s="476">
        <v>0.33</v>
      </c>
      <c r="AN111" s="476">
        <v>0</v>
      </c>
      <c r="AO111" s="476">
        <v>0.04</v>
      </c>
      <c r="AP111" s="476">
        <v>0</v>
      </c>
      <c r="AQ111" s="476">
        <v>0</v>
      </c>
      <c r="AR111" s="476">
        <f>AJ111+AL111+AM111+AO111+AP111</f>
        <v>0.37</v>
      </c>
      <c r="AS111" s="476">
        <f>AK111+AN111+AQ111</f>
        <v>0</v>
      </c>
      <c r="AT111" s="478">
        <f t="shared" ref="AT111:AT115" si="287">SUM(AR111:AS111)</f>
        <v>0.37</v>
      </c>
      <c r="AU111" s="484">
        <f t="shared" si="215"/>
        <v>32663949</v>
      </c>
      <c r="AV111" s="475">
        <f t="shared" si="216"/>
        <v>23479234</v>
      </c>
      <c r="AW111" s="475">
        <f t="shared" ref="AW111:AW115" si="288">K111+AB111</f>
        <v>0</v>
      </c>
      <c r="AX111" s="475">
        <f t="shared" ref="AX111:AY115" si="289">L111+AD111</f>
        <v>7935981</v>
      </c>
      <c r="AY111" s="475">
        <f t="shared" si="289"/>
        <v>469584</v>
      </c>
      <c r="AZ111" s="475">
        <f t="shared" si="217"/>
        <v>779150</v>
      </c>
      <c r="BA111" s="476">
        <f t="shared" si="218"/>
        <v>40.471899999999998</v>
      </c>
      <c r="BB111" s="476">
        <f t="shared" ref="BB111:BC115" si="290">P111+AR111</f>
        <v>31.279300000000003</v>
      </c>
      <c r="BC111" s="478">
        <f t="shared" si="290"/>
        <v>9.1925999999999988</v>
      </c>
    </row>
    <row r="112" spans="1:55" s="234" customFormat="1" x14ac:dyDescent="0.2">
      <c r="A112" s="236">
        <v>25</v>
      </c>
      <c r="B112" s="237">
        <v>3411</v>
      </c>
      <c r="C112" s="237">
        <v>600078400</v>
      </c>
      <c r="D112" s="237">
        <v>72742950</v>
      </c>
      <c r="E112" s="238" t="s">
        <v>57</v>
      </c>
      <c r="F112" s="237">
        <v>3113</v>
      </c>
      <c r="G112" s="238" t="s">
        <v>312</v>
      </c>
      <c r="H112" s="273" t="s">
        <v>278</v>
      </c>
      <c r="I112" s="472">
        <v>4958823</v>
      </c>
      <c r="J112" s="472">
        <v>3646776</v>
      </c>
      <c r="K112" s="472">
        <v>0</v>
      </c>
      <c r="L112" s="472">
        <v>1232611</v>
      </c>
      <c r="M112" s="472">
        <v>72936</v>
      </c>
      <c r="N112" s="472">
        <v>6500</v>
      </c>
      <c r="O112" s="473">
        <v>9.7100000000000009</v>
      </c>
      <c r="P112" s="474">
        <v>9.7100000000000009</v>
      </c>
      <c r="Q112" s="483">
        <v>0</v>
      </c>
      <c r="R112" s="485">
        <f t="shared" si="280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281"/>
        <v>0</v>
      </c>
      <c r="AC112" s="475">
        <f t="shared" si="282"/>
        <v>0</v>
      </c>
      <c r="AD112" s="70">
        <f t="shared" si="283"/>
        <v>0</v>
      </c>
      <c r="AE112" s="70">
        <f t="shared" si="284"/>
        <v>0</v>
      </c>
      <c r="AF112" s="475">
        <v>0</v>
      </c>
      <c r="AG112" s="475">
        <v>0</v>
      </c>
      <c r="AH112" s="475">
        <f t="shared" si="285"/>
        <v>0</v>
      </c>
      <c r="AI112" s="475">
        <f t="shared" si="286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287"/>
        <v>0</v>
      </c>
      <c r="AU112" s="484">
        <f t="shared" si="215"/>
        <v>4958823</v>
      </c>
      <c r="AV112" s="475">
        <f t="shared" si="216"/>
        <v>3646776</v>
      </c>
      <c r="AW112" s="475">
        <f t="shared" si="288"/>
        <v>0</v>
      </c>
      <c r="AX112" s="475">
        <f t="shared" si="289"/>
        <v>1232611</v>
      </c>
      <c r="AY112" s="475">
        <f t="shared" si="289"/>
        <v>72936</v>
      </c>
      <c r="AZ112" s="475">
        <f t="shared" si="217"/>
        <v>6500</v>
      </c>
      <c r="BA112" s="476">
        <f t="shared" si="218"/>
        <v>9.7100000000000009</v>
      </c>
      <c r="BB112" s="476">
        <f t="shared" si="290"/>
        <v>9.7100000000000009</v>
      </c>
      <c r="BC112" s="478">
        <f t="shared" si="290"/>
        <v>0</v>
      </c>
    </row>
    <row r="113" spans="1:55" s="234" customFormat="1" ht="12.75" customHeight="1" x14ac:dyDescent="0.2">
      <c r="A113" s="236">
        <v>25</v>
      </c>
      <c r="B113" s="237">
        <v>3411</v>
      </c>
      <c r="C113" s="237">
        <v>600078400</v>
      </c>
      <c r="D113" s="237">
        <v>72742950</v>
      </c>
      <c r="E113" s="238" t="s">
        <v>57</v>
      </c>
      <c r="F113" s="237">
        <v>3141</v>
      </c>
      <c r="G113" s="238" t="s">
        <v>315</v>
      </c>
      <c r="H113" s="273" t="s">
        <v>278</v>
      </c>
      <c r="I113" s="472">
        <v>3908951</v>
      </c>
      <c r="J113" s="472">
        <v>2854672</v>
      </c>
      <c r="K113" s="472">
        <v>0</v>
      </c>
      <c r="L113" s="472">
        <v>964879</v>
      </c>
      <c r="M113" s="472">
        <v>57094</v>
      </c>
      <c r="N113" s="472">
        <v>32306</v>
      </c>
      <c r="O113" s="473">
        <v>8.99</v>
      </c>
      <c r="P113" s="474">
        <v>0</v>
      </c>
      <c r="Q113" s="483">
        <v>8.99</v>
      </c>
      <c r="R113" s="485">
        <f t="shared" si="280"/>
        <v>0</v>
      </c>
      <c r="S113" s="475">
        <v>0</v>
      </c>
      <c r="T113" s="475">
        <v>-44579</v>
      </c>
      <c r="U113" s="475">
        <v>0</v>
      </c>
      <c r="V113" s="475">
        <v>0</v>
      </c>
      <c r="W113" s="475">
        <v>0</v>
      </c>
      <c r="X113" s="475">
        <f>SUM(R113:W113)</f>
        <v>-44579</v>
      </c>
      <c r="Y113" s="475">
        <v>0</v>
      </c>
      <c r="Z113" s="475">
        <v>0</v>
      </c>
      <c r="AA113" s="475">
        <v>0</v>
      </c>
      <c r="AB113" s="475">
        <f t="shared" si="281"/>
        <v>0</v>
      </c>
      <c r="AC113" s="475">
        <f t="shared" si="282"/>
        <v>-44579</v>
      </c>
      <c r="AD113" s="70">
        <f t="shared" si="283"/>
        <v>-15068</v>
      </c>
      <c r="AE113" s="70">
        <f t="shared" si="284"/>
        <v>-892</v>
      </c>
      <c r="AF113" s="475">
        <v>0</v>
      </c>
      <c r="AG113" s="475">
        <v>0</v>
      </c>
      <c r="AH113" s="475">
        <f t="shared" si="285"/>
        <v>0</v>
      </c>
      <c r="AI113" s="475">
        <f t="shared" si="286"/>
        <v>-60539</v>
      </c>
      <c r="AJ113" s="476">
        <v>0</v>
      </c>
      <c r="AK113" s="476">
        <v>0</v>
      </c>
      <c r="AL113" s="476">
        <v>0</v>
      </c>
      <c r="AM113" s="476">
        <v>0</v>
      </c>
      <c r="AN113" s="476">
        <v>-0.14000000000000001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-0.14000000000000001</v>
      </c>
      <c r="AT113" s="478">
        <f t="shared" si="287"/>
        <v>-0.14000000000000001</v>
      </c>
      <c r="AU113" s="484">
        <f t="shared" si="215"/>
        <v>3848412</v>
      </c>
      <c r="AV113" s="475">
        <f t="shared" si="216"/>
        <v>2810093</v>
      </c>
      <c r="AW113" s="475">
        <f t="shared" si="288"/>
        <v>0</v>
      </c>
      <c r="AX113" s="475">
        <f t="shared" si="289"/>
        <v>949811</v>
      </c>
      <c r="AY113" s="475">
        <f t="shared" si="289"/>
        <v>56202</v>
      </c>
      <c r="AZ113" s="475">
        <f t="shared" si="217"/>
        <v>32306</v>
      </c>
      <c r="BA113" s="476">
        <f t="shared" si="218"/>
        <v>8.85</v>
      </c>
      <c r="BB113" s="476">
        <f t="shared" si="290"/>
        <v>0</v>
      </c>
      <c r="BC113" s="478">
        <f t="shared" si="290"/>
        <v>8.85</v>
      </c>
    </row>
    <row r="114" spans="1:55" s="234" customFormat="1" ht="12.75" customHeight="1" x14ac:dyDescent="0.2">
      <c r="A114" s="236">
        <v>25</v>
      </c>
      <c r="B114" s="237">
        <v>3411</v>
      </c>
      <c r="C114" s="237">
        <v>600078400</v>
      </c>
      <c r="D114" s="237">
        <v>72742950</v>
      </c>
      <c r="E114" s="238" t="s">
        <v>57</v>
      </c>
      <c r="F114" s="237">
        <v>3143</v>
      </c>
      <c r="G114" s="238" t="s">
        <v>626</v>
      </c>
      <c r="H114" s="273" t="s">
        <v>277</v>
      </c>
      <c r="I114" s="472">
        <v>2698387</v>
      </c>
      <c r="J114" s="472">
        <v>1987030</v>
      </c>
      <c r="K114" s="472">
        <v>0</v>
      </c>
      <c r="L114" s="472">
        <v>671616</v>
      </c>
      <c r="M114" s="472">
        <v>39741</v>
      </c>
      <c r="N114" s="472">
        <v>0</v>
      </c>
      <c r="O114" s="473">
        <v>4</v>
      </c>
      <c r="P114" s="474">
        <v>4</v>
      </c>
      <c r="Q114" s="483">
        <v>0</v>
      </c>
      <c r="R114" s="485">
        <f t="shared" si="280"/>
        <v>0</v>
      </c>
      <c r="S114" s="475">
        <v>0</v>
      </c>
      <c r="T114" s="475">
        <v>124188</v>
      </c>
      <c r="U114" s="475">
        <v>0</v>
      </c>
      <c r="V114" s="475">
        <v>0</v>
      </c>
      <c r="W114" s="475">
        <v>0</v>
      </c>
      <c r="X114" s="475">
        <f>SUM(R114:W114)</f>
        <v>124188</v>
      </c>
      <c r="Y114" s="475">
        <v>0</v>
      </c>
      <c r="Z114" s="475">
        <v>0</v>
      </c>
      <c r="AA114" s="475">
        <v>0</v>
      </c>
      <c r="AB114" s="475">
        <f t="shared" si="281"/>
        <v>0</v>
      </c>
      <c r="AC114" s="475">
        <f t="shared" si="282"/>
        <v>124188</v>
      </c>
      <c r="AD114" s="70">
        <f t="shared" si="283"/>
        <v>41976</v>
      </c>
      <c r="AE114" s="70">
        <f t="shared" si="284"/>
        <v>2484</v>
      </c>
      <c r="AF114" s="475">
        <v>0</v>
      </c>
      <c r="AG114" s="475">
        <v>0</v>
      </c>
      <c r="AH114" s="475">
        <f t="shared" si="285"/>
        <v>0</v>
      </c>
      <c r="AI114" s="475">
        <f t="shared" si="286"/>
        <v>168648</v>
      </c>
      <c r="AJ114" s="476">
        <v>0</v>
      </c>
      <c r="AK114" s="476">
        <v>0</v>
      </c>
      <c r="AL114" s="476">
        <v>0</v>
      </c>
      <c r="AM114" s="476">
        <v>0.25</v>
      </c>
      <c r="AN114" s="476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0.25</v>
      </c>
      <c r="AS114" s="476">
        <f>AK114+AN114+AQ114</f>
        <v>0</v>
      </c>
      <c r="AT114" s="478">
        <f t="shared" si="287"/>
        <v>0.25</v>
      </c>
      <c r="AU114" s="484">
        <f t="shared" si="215"/>
        <v>2867035</v>
      </c>
      <c r="AV114" s="475">
        <f t="shared" si="216"/>
        <v>2111218</v>
      </c>
      <c r="AW114" s="475">
        <f t="shared" si="288"/>
        <v>0</v>
      </c>
      <c r="AX114" s="475">
        <f t="shared" si="289"/>
        <v>713592</v>
      </c>
      <c r="AY114" s="475">
        <f t="shared" si="289"/>
        <v>42225</v>
      </c>
      <c r="AZ114" s="475">
        <f t="shared" si="217"/>
        <v>0</v>
      </c>
      <c r="BA114" s="476">
        <f t="shared" si="218"/>
        <v>4.25</v>
      </c>
      <c r="BB114" s="476">
        <f t="shared" si="290"/>
        <v>4.25</v>
      </c>
      <c r="BC114" s="478">
        <f t="shared" si="290"/>
        <v>0</v>
      </c>
    </row>
    <row r="115" spans="1:55" s="234" customFormat="1" ht="12.75" customHeight="1" x14ac:dyDescent="0.2">
      <c r="A115" s="236">
        <v>25</v>
      </c>
      <c r="B115" s="237">
        <v>3411</v>
      </c>
      <c r="C115" s="237">
        <v>600078400</v>
      </c>
      <c r="D115" s="237">
        <v>72742950</v>
      </c>
      <c r="E115" s="238" t="s">
        <v>57</v>
      </c>
      <c r="F115" s="237">
        <v>3143</v>
      </c>
      <c r="G115" s="238" t="s">
        <v>627</v>
      </c>
      <c r="H115" s="273" t="s">
        <v>278</v>
      </c>
      <c r="I115" s="472">
        <v>102816</v>
      </c>
      <c r="J115" s="472">
        <v>72707</v>
      </c>
      <c r="K115" s="472">
        <v>0</v>
      </c>
      <c r="L115" s="472">
        <v>24575</v>
      </c>
      <c r="M115" s="472">
        <v>1454</v>
      </c>
      <c r="N115" s="472">
        <v>4080</v>
      </c>
      <c r="O115" s="473">
        <v>0.28000000000000003</v>
      </c>
      <c r="P115" s="474">
        <v>0</v>
      </c>
      <c r="Q115" s="483">
        <v>0.28000000000000003</v>
      </c>
      <c r="R115" s="485">
        <f t="shared" si="280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si="281"/>
        <v>0</v>
      </c>
      <c r="AC115" s="475">
        <f t="shared" si="282"/>
        <v>0</v>
      </c>
      <c r="AD115" s="70">
        <f t="shared" si="283"/>
        <v>0</v>
      </c>
      <c r="AE115" s="70">
        <f t="shared" si="284"/>
        <v>0</v>
      </c>
      <c r="AF115" s="475">
        <v>0</v>
      </c>
      <c r="AG115" s="475">
        <v>0</v>
      </c>
      <c r="AH115" s="475">
        <f t="shared" si="285"/>
        <v>0</v>
      </c>
      <c r="AI115" s="475">
        <f t="shared" si="286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si="287"/>
        <v>0</v>
      </c>
      <c r="AU115" s="484">
        <f t="shared" si="215"/>
        <v>102816</v>
      </c>
      <c r="AV115" s="475">
        <f t="shared" si="216"/>
        <v>72707</v>
      </c>
      <c r="AW115" s="475">
        <f t="shared" si="288"/>
        <v>0</v>
      </c>
      <c r="AX115" s="475">
        <f t="shared" si="289"/>
        <v>24575</v>
      </c>
      <c r="AY115" s="475">
        <f t="shared" si="289"/>
        <v>1454</v>
      </c>
      <c r="AZ115" s="475">
        <f t="shared" si="217"/>
        <v>4080</v>
      </c>
      <c r="BA115" s="476">
        <f t="shared" si="218"/>
        <v>0.28000000000000003</v>
      </c>
      <c r="BB115" s="476">
        <f t="shared" si="290"/>
        <v>0</v>
      </c>
      <c r="BC115" s="478">
        <f t="shared" si="290"/>
        <v>0.28000000000000003</v>
      </c>
    </row>
    <row r="116" spans="1:55" s="234" customFormat="1" ht="12.75" customHeight="1" x14ac:dyDescent="0.2">
      <c r="A116" s="160">
        <v>25</v>
      </c>
      <c r="B116" s="14">
        <v>3411</v>
      </c>
      <c r="C116" s="159">
        <v>600078400</v>
      </c>
      <c r="D116" s="159">
        <v>72742950</v>
      </c>
      <c r="E116" s="235" t="s">
        <v>58</v>
      </c>
      <c r="F116" s="14"/>
      <c r="G116" s="235"/>
      <c r="H116" s="272"/>
      <c r="I116" s="479">
        <v>44002987</v>
      </c>
      <c r="J116" s="479">
        <v>31797459</v>
      </c>
      <c r="K116" s="479">
        <v>0</v>
      </c>
      <c r="L116" s="479">
        <v>10747542</v>
      </c>
      <c r="M116" s="479">
        <v>635950</v>
      </c>
      <c r="N116" s="479">
        <v>822036</v>
      </c>
      <c r="O116" s="441">
        <v>63.081900000000005</v>
      </c>
      <c r="P116" s="441">
        <v>44.619300000000003</v>
      </c>
      <c r="Q116" s="441">
        <v>18.462600000000002</v>
      </c>
      <c r="R116" s="687">
        <f t="shared" ref="R116:BC116" si="291">SUM(R111:R115)</f>
        <v>0</v>
      </c>
      <c r="S116" s="685">
        <f t="shared" si="291"/>
        <v>0</v>
      </c>
      <c r="T116" s="685">
        <f t="shared" si="291"/>
        <v>298809</v>
      </c>
      <c r="U116" s="685">
        <f t="shared" si="291"/>
        <v>23760</v>
      </c>
      <c r="V116" s="685">
        <f t="shared" si="291"/>
        <v>0</v>
      </c>
      <c r="W116" s="685">
        <f t="shared" si="291"/>
        <v>0</v>
      </c>
      <c r="X116" s="685">
        <f t="shared" si="291"/>
        <v>322569</v>
      </c>
      <c r="Y116" s="685">
        <f t="shared" si="291"/>
        <v>0</v>
      </c>
      <c r="Z116" s="685">
        <f t="shared" si="291"/>
        <v>0</v>
      </c>
      <c r="AA116" s="685">
        <f t="shared" si="291"/>
        <v>0</v>
      </c>
      <c r="AB116" s="685">
        <f t="shared" si="291"/>
        <v>0</v>
      </c>
      <c r="AC116" s="685">
        <f t="shared" si="291"/>
        <v>322569</v>
      </c>
      <c r="AD116" s="685">
        <f t="shared" si="291"/>
        <v>109028</v>
      </c>
      <c r="AE116" s="685">
        <f t="shared" si="291"/>
        <v>6451</v>
      </c>
      <c r="AF116" s="685">
        <f t="shared" si="291"/>
        <v>0</v>
      </c>
      <c r="AG116" s="685">
        <f t="shared" si="291"/>
        <v>0</v>
      </c>
      <c r="AH116" s="685">
        <f t="shared" si="291"/>
        <v>0</v>
      </c>
      <c r="AI116" s="685">
        <f t="shared" si="291"/>
        <v>438048</v>
      </c>
      <c r="AJ116" s="686">
        <f t="shared" si="291"/>
        <v>0</v>
      </c>
      <c r="AK116" s="686">
        <f t="shared" si="291"/>
        <v>0</v>
      </c>
      <c r="AL116" s="686">
        <f t="shared" si="291"/>
        <v>0</v>
      </c>
      <c r="AM116" s="686">
        <f t="shared" si="291"/>
        <v>0.58000000000000007</v>
      </c>
      <c r="AN116" s="686">
        <f t="shared" si="291"/>
        <v>-0.14000000000000001</v>
      </c>
      <c r="AO116" s="686">
        <f t="shared" si="291"/>
        <v>0.04</v>
      </c>
      <c r="AP116" s="686">
        <f t="shared" si="291"/>
        <v>0</v>
      </c>
      <c r="AQ116" s="686">
        <f t="shared" si="291"/>
        <v>0</v>
      </c>
      <c r="AR116" s="686">
        <f t="shared" si="291"/>
        <v>0.62</v>
      </c>
      <c r="AS116" s="686">
        <f t="shared" si="291"/>
        <v>-0.14000000000000001</v>
      </c>
      <c r="AT116" s="688">
        <f t="shared" si="291"/>
        <v>0.48</v>
      </c>
      <c r="AU116" s="683">
        <f t="shared" si="291"/>
        <v>44441035</v>
      </c>
      <c r="AV116" s="479">
        <f t="shared" si="291"/>
        <v>32120028</v>
      </c>
      <c r="AW116" s="479">
        <f t="shared" si="291"/>
        <v>0</v>
      </c>
      <c r="AX116" s="479">
        <f t="shared" si="291"/>
        <v>10856570</v>
      </c>
      <c r="AY116" s="479">
        <f t="shared" si="291"/>
        <v>642401</v>
      </c>
      <c r="AZ116" s="479">
        <f t="shared" si="291"/>
        <v>822036</v>
      </c>
      <c r="BA116" s="441">
        <f t="shared" si="291"/>
        <v>63.561900000000001</v>
      </c>
      <c r="BB116" s="441">
        <f t="shared" si="291"/>
        <v>45.2393</v>
      </c>
      <c r="BC116" s="520">
        <f t="shared" si="291"/>
        <v>18.322600000000001</v>
      </c>
    </row>
    <row r="117" spans="1:55" s="234" customFormat="1" ht="12.75" customHeight="1" x14ac:dyDescent="0.2">
      <c r="A117" s="236">
        <v>26</v>
      </c>
      <c r="B117" s="237">
        <v>3408</v>
      </c>
      <c r="C117" s="237">
        <v>600078566</v>
      </c>
      <c r="D117" s="237">
        <v>72743115</v>
      </c>
      <c r="E117" s="238" t="s">
        <v>59</v>
      </c>
      <c r="F117" s="237">
        <v>3113</v>
      </c>
      <c r="G117" s="238" t="s">
        <v>314</v>
      </c>
      <c r="H117" s="273" t="s">
        <v>277</v>
      </c>
      <c r="I117" s="472">
        <v>20080757</v>
      </c>
      <c r="J117" s="472">
        <v>14493392</v>
      </c>
      <c r="K117" s="472">
        <v>0</v>
      </c>
      <c r="L117" s="472">
        <v>4898767</v>
      </c>
      <c r="M117" s="472">
        <v>289868</v>
      </c>
      <c r="N117" s="472">
        <v>398730</v>
      </c>
      <c r="O117" s="473">
        <v>24.932600000000001</v>
      </c>
      <c r="P117" s="474">
        <v>19.295500000000001</v>
      </c>
      <c r="Q117" s="483">
        <v>5.6371000000000002</v>
      </c>
      <c r="R117" s="485">
        <f t="shared" ref="R117:R121" si="292">Y117*-1</f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>SUM(R117:W117)</f>
        <v>0</v>
      </c>
      <c r="Y117" s="475">
        <v>0</v>
      </c>
      <c r="Z117" s="475">
        <v>0</v>
      </c>
      <c r="AA117" s="475">
        <v>0</v>
      </c>
      <c r="AB117" s="475">
        <f t="shared" ref="AB117:AB121" si="293">SUM(Y117:AA117)</f>
        <v>0</v>
      </c>
      <c r="AC117" s="475">
        <f t="shared" ref="AC117:AC121" si="294">X117+AB117</f>
        <v>0</v>
      </c>
      <c r="AD117" s="70">
        <f t="shared" ref="AD117:AD121" si="295">ROUND((X117+Y117+Z117)*33.8%,0)</f>
        <v>0</v>
      </c>
      <c r="AE117" s="70">
        <f t="shared" ref="AE117:AE121" si="296">ROUND(X117*2%,0)</f>
        <v>0</v>
      </c>
      <c r="AF117" s="475">
        <v>0</v>
      </c>
      <c r="AG117" s="475">
        <v>0</v>
      </c>
      <c r="AH117" s="475">
        <f t="shared" ref="AH117:AH121" si="297">SUM(AF117:AG117)</f>
        <v>0</v>
      </c>
      <c r="AI117" s="475">
        <f t="shared" ref="AI117:AI121" si="298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0</v>
      </c>
      <c r="AT117" s="478">
        <f t="shared" ref="AT117:AT121" si="299">SUM(AR117:AS117)</f>
        <v>0</v>
      </c>
      <c r="AU117" s="484">
        <f t="shared" si="215"/>
        <v>20080757</v>
      </c>
      <c r="AV117" s="475">
        <f t="shared" si="216"/>
        <v>14493392</v>
      </c>
      <c r="AW117" s="475">
        <f t="shared" ref="AW117:AW121" si="300">K117+AB117</f>
        <v>0</v>
      </c>
      <c r="AX117" s="475">
        <f t="shared" ref="AX117:AY121" si="301">L117+AD117</f>
        <v>4898767</v>
      </c>
      <c r="AY117" s="475">
        <f t="shared" si="301"/>
        <v>289868</v>
      </c>
      <c r="AZ117" s="475">
        <f t="shared" si="217"/>
        <v>398730</v>
      </c>
      <c r="BA117" s="476">
        <f t="shared" si="218"/>
        <v>24.932600000000001</v>
      </c>
      <c r="BB117" s="476">
        <f t="shared" ref="BB117:BC121" si="302">P117+AR117</f>
        <v>19.295500000000001</v>
      </c>
      <c r="BC117" s="478">
        <f t="shared" si="302"/>
        <v>5.6371000000000002</v>
      </c>
    </row>
    <row r="118" spans="1:55" s="234" customFormat="1" x14ac:dyDescent="0.2">
      <c r="A118" s="236">
        <v>26</v>
      </c>
      <c r="B118" s="237">
        <v>3408</v>
      </c>
      <c r="C118" s="237">
        <v>600078566</v>
      </c>
      <c r="D118" s="237">
        <v>72743115</v>
      </c>
      <c r="E118" s="238" t="s">
        <v>59</v>
      </c>
      <c r="F118" s="237">
        <v>3113</v>
      </c>
      <c r="G118" s="238" t="s">
        <v>312</v>
      </c>
      <c r="H118" s="273" t="s">
        <v>278</v>
      </c>
      <c r="I118" s="472">
        <v>1900506</v>
      </c>
      <c r="J118" s="472">
        <v>1399489</v>
      </c>
      <c r="K118" s="472">
        <v>0</v>
      </c>
      <c r="L118" s="472">
        <v>473027</v>
      </c>
      <c r="M118" s="472">
        <v>27990</v>
      </c>
      <c r="N118" s="472">
        <v>0</v>
      </c>
      <c r="O118" s="473">
        <v>3.72</v>
      </c>
      <c r="P118" s="474">
        <v>3.72</v>
      </c>
      <c r="Q118" s="483">
        <v>0</v>
      </c>
      <c r="R118" s="485">
        <f t="shared" si="292"/>
        <v>0</v>
      </c>
      <c r="S118" s="475">
        <v>86616</v>
      </c>
      <c r="T118" s="475">
        <v>0</v>
      </c>
      <c r="U118" s="475">
        <v>0</v>
      </c>
      <c r="V118" s="475">
        <v>0</v>
      </c>
      <c r="W118" s="475">
        <v>0</v>
      </c>
      <c r="X118" s="475">
        <f>SUM(R118:W118)</f>
        <v>86616</v>
      </c>
      <c r="Y118" s="475">
        <v>0</v>
      </c>
      <c r="Z118" s="475">
        <v>0</v>
      </c>
      <c r="AA118" s="475">
        <v>0</v>
      </c>
      <c r="AB118" s="475">
        <f t="shared" si="293"/>
        <v>0</v>
      </c>
      <c r="AC118" s="475">
        <f t="shared" si="294"/>
        <v>86616</v>
      </c>
      <c r="AD118" s="70">
        <f t="shared" si="295"/>
        <v>29276</v>
      </c>
      <c r="AE118" s="70">
        <f t="shared" si="296"/>
        <v>1732</v>
      </c>
      <c r="AF118" s="475">
        <v>0</v>
      </c>
      <c r="AG118" s="475">
        <v>0</v>
      </c>
      <c r="AH118" s="475">
        <f t="shared" si="297"/>
        <v>0</v>
      </c>
      <c r="AI118" s="475">
        <f t="shared" si="298"/>
        <v>117624</v>
      </c>
      <c r="AJ118" s="476">
        <v>0</v>
      </c>
      <c r="AK118" s="476">
        <v>0</v>
      </c>
      <c r="AL118" s="476">
        <v>0.31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0.31</v>
      </c>
      <c r="AS118" s="476">
        <f>AK118+AN118+AQ118</f>
        <v>0</v>
      </c>
      <c r="AT118" s="478">
        <f t="shared" si="299"/>
        <v>0.31</v>
      </c>
      <c r="AU118" s="484">
        <f t="shared" si="215"/>
        <v>2018130</v>
      </c>
      <c r="AV118" s="475">
        <f t="shared" si="216"/>
        <v>1486105</v>
      </c>
      <c r="AW118" s="475">
        <f t="shared" si="300"/>
        <v>0</v>
      </c>
      <c r="AX118" s="475">
        <f t="shared" si="301"/>
        <v>502303</v>
      </c>
      <c r="AY118" s="475">
        <f t="shared" si="301"/>
        <v>29722</v>
      </c>
      <c r="AZ118" s="475">
        <f t="shared" si="217"/>
        <v>0</v>
      </c>
      <c r="BA118" s="476">
        <f t="shared" si="218"/>
        <v>4.03</v>
      </c>
      <c r="BB118" s="476">
        <f t="shared" si="302"/>
        <v>4.03</v>
      </c>
      <c r="BC118" s="478">
        <f t="shared" si="302"/>
        <v>0</v>
      </c>
    </row>
    <row r="119" spans="1:55" s="234" customFormat="1" ht="12.75" customHeight="1" x14ac:dyDescent="0.2">
      <c r="A119" s="236">
        <v>26</v>
      </c>
      <c r="B119" s="237">
        <v>3408</v>
      </c>
      <c r="C119" s="237">
        <v>600078566</v>
      </c>
      <c r="D119" s="237">
        <v>72743115</v>
      </c>
      <c r="E119" s="238" t="s">
        <v>59</v>
      </c>
      <c r="F119" s="237">
        <v>3141</v>
      </c>
      <c r="G119" s="238" t="s">
        <v>315</v>
      </c>
      <c r="H119" s="273" t="s">
        <v>278</v>
      </c>
      <c r="I119" s="472">
        <v>1680353</v>
      </c>
      <c r="J119" s="472">
        <v>1227635</v>
      </c>
      <c r="K119" s="472">
        <v>0</v>
      </c>
      <c r="L119" s="472">
        <v>414941</v>
      </c>
      <c r="M119" s="472">
        <v>24553</v>
      </c>
      <c r="N119" s="472">
        <v>13224</v>
      </c>
      <c r="O119" s="473">
        <v>3.87</v>
      </c>
      <c r="P119" s="474">
        <v>0</v>
      </c>
      <c r="Q119" s="483">
        <v>3.87</v>
      </c>
      <c r="R119" s="485">
        <f t="shared" si="292"/>
        <v>0</v>
      </c>
      <c r="S119" s="475">
        <v>0</v>
      </c>
      <c r="T119" s="475">
        <v>1420</v>
      </c>
      <c r="U119" s="475">
        <v>0</v>
      </c>
      <c r="V119" s="475">
        <v>0</v>
      </c>
      <c r="W119" s="475">
        <v>0</v>
      </c>
      <c r="X119" s="475">
        <f>SUM(R119:W119)</f>
        <v>1420</v>
      </c>
      <c r="Y119" s="475">
        <v>0</v>
      </c>
      <c r="Z119" s="475">
        <v>0</v>
      </c>
      <c r="AA119" s="475">
        <v>0</v>
      </c>
      <c r="AB119" s="475">
        <f t="shared" si="293"/>
        <v>0</v>
      </c>
      <c r="AC119" s="475">
        <f t="shared" si="294"/>
        <v>1420</v>
      </c>
      <c r="AD119" s="70">
        <f t="shared" si="295"/>
        <v>480</v>
      </c>
      <c r="AE119" s="70">
        <f t="shared" si="296"/>
        <v>28</v>
      </c>
      <c r="AF119" s="475">
        <v>0</v>
      </c>
      <c r="AG119" s="475">
        <v>0</v>
      </c>
      <c r="AH119" s="475">
        <f t="shared" si="297"/>
        <v>0</v>
      </c>
      <c r="AI119" s="475">
        <f t="shared" si="298"/>
        <v>1928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299"/>
        <v>0</v>
      </c>
      <c r="AU119" s="484">
        <f t="shared" si="215"/>
        <v>1682281</v>
      </c>
      <c r="AV119" s="475">
        <f t="shared" si="216"/>
        <v>1229055</v>
      </c>
      <c r="AW119" s="475">
        <f t="shared" si="300"/>
        <v>0</v>
      </c>
      <c r="AX119" s="475">
        <f t="shared" si="301"/>
        <v>415421</v>
      </c>
      <c r="AY119" s="475">
        <f t="shared" si="301"/>
        <v>24581</v>
      </c>
      <c r="AZ119" s="475">
        <f t="shared" si="217"/>
        <v>13224</v>
      </c>
      <c r="BA119" s="476">
        <f t="shared" si="218"/>
        <v>3.87</v>
      </c>
      <c r="BB119" s="476">
        <f t="shared" si="302"/>
        <v>0</v>
      </c>
      <c r="BC119" s="478">
        <f t="shared" si="302"/>
        <v>3.87</v>
      </c>
    </row>
    <row r="120" spans="1:55" s="234" customFormat="1" ht="12.75" customHeight="1" x14ac:dyDescent="0.2">
      <c r="A120" s="236">
        <v>26</v>
      </c>
      <c r="B120" s="237">
        <v>3408</v>
      </c>
      <c r="C120" s="237">
        <v>600078566</v>
      </c>
      <c r="D120" s="237">
        <v>72743115</v>
      </c>
      <c r="E120" s="238" t="s">
        <v>59</v>
      </c>
      <c r="F120" s="237">
        <v>3143</v>
      </c>
      <c r="G120" s="238" t="s">
        <v>626</v>
      </c>
      <c r="H120" s="273" t="s">
        <v>277</v>
      </c>
      <c r="I120" s="472">
        <v>1741576</v>
      </c>
      <c r="J120" s="472">
        <v>1282457</v>
      </c>
      <c r="K120" s="472">
        <v>0</v>
      </c>
      <c r="L120" s="472">
        <v>433470</v>
      </c>
      <c r="M120" s="472">
        <v>25649</v>
      </c>
      <c r="N120" s="472">
        <v>0</v>
      </c>
      <c r="O120" s="473">
        <v>2.5897999999999999</v>
      </c>
      <c r="P120" s="474">
        <v>2.5897999999999999</v>
      </c>
      <c r="Q120" s="483">
        <v>0</v>
      </c>
      <c r="R120" s="485">
        <f t="shared" si="292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93"/>
        <v>0</v>
      </c>
      <c r="AC120" s="475">
        <f t="shared" si="294"/>
        <v>0</v>
      </c>
      <c r="AD120" s="70">
        <f t="shared" si="295"/>
        <v>0</v>
      </c>
      <c r="AE120" s="70">
        <f t="shared" si="296"/>
        <v>0</v>
      </c>
      <c r="AF120" s="475">
        <v>0</v>
      </c>
      <c r="AG120" s="475">
        <v>0</v>
      </c>
      <c r="AH120" s="475">
        <f t="shared" si="297"/>
        <v>0</v>
      </c>
      <c r="AI120" s="475">
        <f t="shared" si="298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99"/>
        <v>0</v>
      </c>
      <c r="AU120" s="484">
        <f t="shared" si="215"/>
        <v>1741576</v>
      </c>
      <c r="AV120" s="475">
        <f t="shared" si="216"/>
        <v>1282457</v>
      </c>
      <c r="AW120" s="475">
        <f t="shared" si="300"/>
        <v>0</v>
      </c>
      <c r="AX120" s="475">
        <f t="shared" si="301"/>
        <v>433470</v>
      </c>
      <c r="AY120" s="475">
        <f t="shared" si="301"/>
        <v>25649</v>
      </c>
      <c r="AZ120" s="475">
        <f t="shared" si="217"/>
        <v>0</v>
      </c>
      <c r="BA120" s="476">
        <f t="shared" si="218"/>
        <v>2.5897999999999999</v>
      </c>
      <c r="BB120" s="476">
        <f t="shared" si="302"/>
        <v>2.5897999999999999</v>
      </c>
      <c r="BC120" s="478">
        <f t="shared" si="302"/>
        <v>0</v>
      </c>
    </row>
    <row r="121" spans="1:55" s="234" customFormat="1" ht="12.75" customHeight="1" x14ac:dyDescent="0.2">
      <c r="A121" s="236">
        <v>26</v>
      </c>
      <c r="B121" s="237">
        <v>3408</v>
      </c>
      <c r="C121" s="237">
        <v>600078566</v>
      </c>
      <c r="D121" s="237">
        <v>72743115</v>
      </c>
      <c r="E121" s="238" t="s">
        <v>59</v>
      </c>
      <c r="F121" s="237">
        <v>3143</v>
      </c>
      <c r="G121" s="238" t="s">
        <v>627</v>
      </c>
      <c r="H121" s="273" t="s">
        <v>278</v>
      </c>
      <c r="I121" s="472">
        <v>58212</v>
      </c>
      <c r="J121" s="472">
        <v>41165</v>
      </c>
      <c r="K121" s="472">
        <v>0</v>
      </c>
      <c r="L121" s="472">
        <v>13914</v>
      </c>
      <c r="M121" s="472">
        <v>823</v>
      </c>
      <c r="N121" s="472">
        <v>2310</v>
      </c>
      <c r="O121" s="473">
        <v>0.16</v>
      </c>
      <c r="P121" s="474">
        <v>0</v>
      </c>
      <c r="Q121" s="483">
        <v>0.16</v>
      </c>
      <c r="R121" s="485">
        <f t="shared" si="292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93"/>
        <v>0</v>
      </c>
      <c r="AC121" s="475">
        <f t="shared" si="294"/>
        <v>0</v>
      </c>
      <c r="AD121" s="70">
        <f t="shared" si="295"/>
        <v>0</v>
      </c>
      <c r="AE121" s="70">
        <f t="shared" si="296"/>
        <v>0</v>
      </c>
      <c r="AF121" s="475">
        <v>0</v>
      </c>
      <c r="AG121" s="475">
        <v>0</v>
      </c>
      <c r="AH121" s="475">
        <f t="shared" si="297"/>
        <v>0</v>
      </c>
      <c r="AI121" s="475">
        <f t="shared" si="298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99"/>
        <v>0</v>
      </c>
      <c r="AU121" s="484">
        <f t="shared" si="215"/>
        <v>58212</v>
      </c>
      <c r="AV121" s="475">
        <f t="shared" si="216"/>
        <v>41165</v>
      </c>
      <c r="AW121" s="475">
        <f t="shared" si="300"/>
        <v>0</v>
      </c>
      <c r="AX121" s="475">
        <f t="shared" si="301"/>
        <v>13914</v>
      </c>
      <c r="AY121" s="475">
        <f t="shared" si="301"/>
        <v>823</v>
      </c>
      <c r="AZ121" s="475">
        <f t="shared" si="217"/>
        <v>2310</v>
      </c>
      <c r="BA121" s="476">
        <f t="shared" si="218"/>
        <v>0.16</v>
      </c>
      <c r="BB121" s="476">
        <f t="shared" si="302"/>
        <v>0</v>
      </c>
      <c r="BC121" s="478">
        <f t="shared" si="302"/>
        <v>0.16</v>
      </c>
    </row>
    <row r="122" spans="1:55" s="234" customFormat="1" ht="12.75" customHeight="1" x14ac:dyDescent="0.2">
      <c r="A122" s="160">
        <v>26</v>
      </c>
      <c r="B122" s="14">
        <v>3408</v>
      </c>
      <c r="C122" s="159">
        <v>600078566</v>
      </c>
      <c r="D122" s="159">
        <v>72743115</v>
      </c>
      <c r="E122" s="235" t="s">
        <v>60</v>
      </c>
      <c r="F122" s="14"/>
      <c r="G122" s="235"/>
      <c r="H122" s="272"/>
      <c r="I122" s="479">
        <v>25461404</v>
      </c>
      <c r="J122" s="479">
        <v>18444138</v>
      </c>
      <c r="K122" s="479">
        <v>0</v>
      </c>
      <c r="L122" s="479">
        <v>6234119</v>
      </c>
      <c r="M122" s="479">
        <v>368883</v>
      </c>
      <c r="N122" s="479">
        <v>414264</v>
      </c>
      <c r="O122" s="441">
        <v>35.27239999999999</v>
      </c>
      <c r="P122" s="441">
        <v>25.6053</v>
      </c>
      <c r="Q122" s="441">
        <v>9.6671000000000014</v>
      </c>
      <c r="R122" s="687">
        <f t="shared" ref="R122:BC122" si="303">SUM(R117:R121)</f>
        <v>0</v>
      </c>
      <c r="S122" s="685">
        <f t="shared" si="303"/>
        <v>86616</v>
      </c>
      <c r="T122" s="685">
        <f t="shared" si="303"/>
        <v>1420</v>
      </c>
      <c r="U122" s="685">
        <f t="shared" si="303"/>
        <v>0</v>
      </c>
      <c r="V122" s="685">
        <f t="shared" si="303"/>
        <v>0</v>
      </c>
      <c r="W122" s="685">
        <f t="shared" si="303"/>
        <v>0</v>
      </c>
      <c r="X122" s="685">
        <f t="shared" si="303"/>
        <v>88036</v>
      </c>
      <c r="Y122" s="685">
        <f t="shared" si="303"/>
        <v>0</v>
      </c>
      <c r="Z122" s="685">
        <f t="shared" si="303"/>
        <v>0</v>
      </c>
      <c r="AA122" s="685">
        <f t="shared" si="303"/>
        <v>0</v>
      </c>
      <c r="AB122" s="685">
        <f t="shared" si="303"/>
        <v>0</v>
      </c>
      <c r="AC122" s="685">
        <f t="shared" si="303"/>
        <v>88036</v>
      </c>
      <c r="AD122" s="685">
        <f t="shared" si="303"/>
        <v>29756</v>
      </c>
      <c r="AE122" s="685">
        <f t="shared" si="303"/>
        <v>1760</v>
      </c>
      <c r="AF122" s="685">
        <f t="shared" si="303"/>
        <v>0</v>
      </c>
      <c r="AG122" s="685">
        <f t="shared" si="303"/>
        <v>0</v>
      </c>
      <c r="AH122" s="685">
        <f t="shared" si="303"/>
        <v>0</v>
      </c>
      <c r="AI122" s="685">
        <f t="shared" si="303"/>
        <v>119552</v>
      </c>
      <c r="AJ122" s="686">
        <f t="shared" si="303"/>
        <v>0</v>
      </c>
      <c r="AK122" s="686">
        <f t="shared" si="303"/>
        <v>0</v>
      </c>
      <c r="AL122" s="686">
        <f t="shared" si="303"/>
        <v>0.31</v>
      </c>
      <c r="AM122" s="686">
        <f t="shared" si="303"/>
        <v>0</v>
      </c>
      <c r="AN122" s="686">
        <f t="shared" si="303"/>
        <v>0</v>
      </c>
      <c r="AO122" s="686">
        <f t="shared" si="303"/>
        <v>0</v>
      </c>
      <c r="AP122" s="686">
        <f t="shared" si="303"/>
        <v>0</v>
      </c>
      <c r="AQ122" s="686">
        <f t="shared" si="303"/>
        <v>0</v>
      </c>
      <c r="AR122" s="686">
        <f t="shared" si="303"/>
        <v>0.31</v>
      </c>
      <c r="AS122" s="686">
        <f t="shared" si="303"/>
        <v>0</v>
      </c>
      <c r="AT122" s="688">
        <f t="shared" si="303"/>
        <v>0.31</v>
      </c>
      <c r="AU122" s="683">
        <f t="shared" si="303"/>
        <v>25580956</v>
      </c>
      <c r="AV122" s="479">
        <f t="shared" si="303"/>
        <v>18532174</v>
      </c>
      <c r="AW122" s="479">
        <f t="shared" si="303"/>
        <v>0</v>
      </c>
      <c r="AX122" s="479">
        <f t="shared" si="303"/>
        <v>6263875</v>
      </c>
      <c r="AY122" s="479">
        <f t="shared" si="303"/>
        <v>370643</v>
      </c>
      <c r="AZ122" s="479">
        <f t="shared" si="303"/>
        <v>414264</v>
      </c>
      <c r="BA122" s="441">
        <f t="shared" si="303"/>
        <v>35.582399999999993</v>
      </c>
      <c r="BB122" s="441">
        <f t="shared" si="303"/>
        <v>25.915300000000002</v>
      </c>
      <c r="BC122" s="520">
        <f t="shared" si="303"/>
        <v>9.6671000000000014</v>
      </c>
    </row>
    <row r="123" spans="1:55" s="234" customFormat="1" ht="12.75" customHeight="1" x14ac:dyDescent="0.2">
      <c r="A123" s="236">
        <v>27</v>
      </c>
      <c r="B123" s="237">
        <v>3417</v>
      </c>
      <c r="C123" s="237">
        <v>600078353</v>
      </c>
      <c r="D123" s="237">
        <v>72743352</v>
      </c>
      <c r="E123" s="238" t="s">
        <v>61</v>
      </c>
      <c r="F123" s="237">
        <v>3113</v>
      </c>
      <c r="G123" s="238" t="s">
        <v>314</v>
      </c>
      <c r="H123" s="273" t="s">
        <v>277</v>
      </c>
      <c r="I123" s="472">
        <v>14887531</v>
      </c>
      <c r="J123" s="472">
        <v>10717291</v>
      </c>
      <c r="K123" s="472">
        <v>20000</v>
      </c>
      <c r="L123" s="472">
        <v>3629204</v>
      </c>
      <c r="M123" s="472">
        <v>214346</v>
      </c>
      <c r="N123" s="472">
        <v>306690</v>
      </c>
      <c r="O123" s="473">
        <v>18.827100000000002</v>
      </c>
      <c r="P123" s="474">
        <v>14.272600000000001</v>
      </c>
      <c r="Q123" s="483">
        <v>4.5545</v>
      </c>
      <c r="R123" s="485">
        <f t="shared" ref="R123:R127" si="304">Y123*-1</f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>SUM(R123:W123)</f>
        <v>0</v>
      </c>
      <c r="Y123" s="475">
        <v>0</v>
      </c>
      <c r="Z123" s="475">
        <v>0</v>
      </c>
      <c r="AA123" s="475">
        <v>0</v>
      </c>
      <c r="AB123" s="475">
        <f t="shared" ref="AB123:AB127" si="305">SUM(Y123:AA123)</f>
        <v>0</v>
      </c>
      <c r="AC123" s="475">
        <f t="shared" ref="AC123:AC127" si="306">X123+AB123</f>
        <v>0</v>
      </c>
      <c r="AD123" s="70">
        <f t="shared" ref="AD123:AD127" si="307">ROUND((X123+Y123+Z123)*33.8%,0)</f>
        <v>0</v>
      </c>
      <c r="AE123" s="70">
        <f t="shared" ref="AE123:AE127" si="308">ROUND(X123*2%,0)</f>
        <v>0</v>
      </c>
      <c r="AF123" s="475">
        <v>0</v>
      </c>
      <c r="AG123" s="475">
        <v>0</v>
      </c>
      <c r="AH123" s="475">
        <f t="shared" ref="AH123:AH127" si="309">SUM(AF123:AG123)</f>
        <v>0</v>
      </c>
      <c r="AI123" s="475">
        <f t="shared" ref="AI123:AI127" si="310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ref="AT123:AT127" si="311">SUM(AR123:AS123)</f>
        <v>0</v>
      </c>
      <c r="AU123" s="484">
        <f t="shared" si="215"/>
        <v>14887531</v>
      </c>
      <c r="AV123" s="475">
        <f t="shared" si="216"/>
        <v>10717291</v>
      </c>
      <c r="AW123" s="475">
        <f t="shared" ref="AW123:AW127" si="312">K123+AB123</f>
        <v>20000</v>
      </c>
      <c r="AX123" s="475">
        <f t="shared" ref="AX123:AY127" si="313">L123+AD123</f>
        <v>3629204</v>
      </c>
      <c r="AY123" s="475">
        <f t="shared" si="313"/>
        <v>214346</v>
      </c>
      <c r="AZ123" s="475">
        <f t="shared" si="217"/>
        <v>306690</v>
      </c>
      <c r="BA123" s="476">
        <f t="shared" si="218"/>
        <v>18.827100000000002</v>
      </c>
      <c r="BB123" s="476">
        <f t="shared" ref="BB123:BC127" si="314">P123+AR123</f>
        <v>14.272600000000001</v>
      </c>
      <c r="BC123" s="478">
        <f t="shared" si="314"/>
        <v>4.5545</v>
      </c>
    </row>
    <row r="124" spans="1:55" s="234" customFormat="1" x14ac:dyDescent="0.2">
      <c r="A124" s="236">
        <v>27</v>
      </c>
      <c r="B124" s="237">
        <v>3417</v>
      </c>
      <c r="C124" s="237">
        <v>600078353</v>
      </c>
      <c r="D124" s="237">
        <v>72743352</v>
      </c>
      <c r="E124" s="238" t="s">
        <v>61</v>
      </c>
      <c r="F124" s="237">
        <v>3113</v>
      </c>
      <c r="G124" s="238" t="s">
        <v>312</v>
      </c>
      <c r="H124" s="273" t="s">
        <v>278</v>
      </c>
      <c r="I124" s="472">
        <v>1010650</v>
      </c>
      <c r="J124" s="472">
        <v>744219</v>
      </c>
      <c r="K124" s="472">
        <v>0</v>
      </c>
      <c r="L124" s="472">
        <v>251546</v>
      </c>
      <c r="M124" s="472">
        <v>14885</v>
      </c>
      <c r="N124" s="472">
        <v>0</v>
      </c>
      <c r="O124" s="473">
        <v>2.1500000000000004</v>
      </c>
      <c r="P124" s="474">
        <v>2.1500000000000004</v>
      </c>
      <c r="Q124" s="483">
        <v>0</v>
      </c>
      <c r="R124" s="485">
        <f t="shared" si="304"/>
        <v>0</v>
      </c>
      <c r="S124" s="475">
        <v>-57741</v>
      </c>
      <c r="T124" s="475">
        <v>0</v>
      </c>
      <c r="U124" s="475">
        <v>0</v>
      </c>
      <c r="V124" s="475">
        <v>0</v>
      </c>
      <c r="W124" s="475">
        <v>0</v>
      </c>
      <c r="X124" s="475">
        <f>SUM(R124:W124)</f>
        <v>-57741</v>
      </c>
      <c r="Y124" s="475">
        <v>0</v>
      </c>
      <c r="Z124" s="475">
        <v>0</v>
      </c>
      <c r="AA124" s="475">
        <v>0</v>
      </c>
      <c r="AB124" s="475">
        <f t="shared" si="305"/>
        <v>0</v>
      </c>
      <c r="AC124" s="475">
        <f t="shared" si="306"/>
        <v>-57741</v>
      </c>
      <c r="AD124" s="70">
        <f t="shared" si="307"/>
        <v>-19516</v>
      </c>
      <c r="AE124" s="70">
        <f t="shared" si="308"/>
        <v>-1155</v>
      </c>
      <c r="AF124" s="475">
        <v>0</v>
      </c>
      <c r="AG124" s="475">
        <v>0</v>
      </c>
      <c r="AH124" s="475">
        <f t="shared" si="309"/>
        <v>0</v>
      </c>
      <c r="AI124" s="475">
        <f t="shared" si="310"/>
        <v>-78412</v>
      </c>
      <c r="AJ124" s="476">
        <v>0</v>
      </c>
      <c r="AK124" s="476">
        <v>0</v>
      </c>
      <c r="AL124" s="476">
        <v>-0.17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-0.17</v>
      </c>
      <c r="AS124" s="476">
        <f>AK124+AN124+AQ124</f>
        <v>0</v>
      </c>
      <c r="AT124" s="478">
        <f t="shared" si="311"/>
        <v>-0.17</v>
      </c>
      <c r="AU124" s="484">
        <f t="shared" si="215"/>
        <v>932238</v>
      </c>
      <c r="AV124" s="475">
        <f t="shared" si="216"/>
        <v>686478</v>
      </c>
      <c r="AW124" s="475">
        <f t="shared" si="312"/>
        <v>0</v>
      </c>
      <c r="AX124" s="475">
        <f t="shared" si="313"/>
        <v>232030</v>
      </c>
      <c r="AY124" s="475">
        <f t="shared" si="313"/>
        <v>13730</v>
      </c>
      <c r="AZ124" s="475">
        <f t="shared" si="217"/>
        <v>0</v>
      </c>
      <c r="BA124" s="476">
        <f t="shared" si="218"/>
        <v>1.9800000000000004</v>
      </c>
      <c r="BB124" s="476">
        <f t="shared" si="314"/>
        <v>1.9800000000000004</v>
      </c>
      <c r="BC124" s="478">
        <f t="shared" si="314"/>
        <v>0</v>
      </c>
    </row>
    <row r="125" spans="1:55" s="234" customFormat="1" ht="12.75" customHeight="1" x14ac:dyDescent="0.2">
      <c r="A125" s="236">
        <v>27</v>
      </c>
      <c r="B125" s="237">
        <v>3417</v>
      </c>
      <c r="C125" s="237">
        <v>600078353</v>
      </c>
      <c r="D125" s="237">
        <v>72743352</v>
      </c>
      <c r="E125" s="238" t="s">
        <v>61</v>
      </c>
      <c r="F125" s="237">
        <v>3141</v>
      </c>
      <c r="G125" s="238" t="s">
        <v>315</v>
      </c>
      <c r="H125" s="273" t="s">
        <v>278</v>
      </c>
      <c r="I125" s="472">
        <v>1418128</v>
      </c>
      <c r="J125" s="472">
        <v>1026566</v>
      </c>
      <c r="K125" s="472">
        <v>10000</v>
      </c>
      <c r="L125" s="472">
        <v>350359</v>
      </c>
      <c r="M125" s="472">
        <v>20531</v>
      </c>
      <c r="N125" s="472">
        <v>10672</v>
      </c>
      <c r="O125" s="473">
        <v>3.26</v>
      </c>
      <c r="P125" s="474">
        <v>0</v>
      </c>
      <c r="Q125" s="483">
        <v>3.26</v>
      </c>
      <c r="R125" s="485">
        <f t="shared" si="304"/>
        <v>0</v>
      </c>
      <c r="S125" s="475">
        <v>0</v>
      </c>
      <c r="T125" s="475">
        <v>30700</v>
      </c>
      <c r="U125" s="475">
        <v>0</v>
      </c>
      <c r="V125" s="475">
        <v>0</v>
      </c>
      <c r="W125" s="475">
        <v>0</v>
      </c>
      <c r="X125" s="475">
        <f>SUM(R125:W125)</f>
        <v>30700</v>
      </c>
      <c r="Y125" s="475">
        <v>0</v>
      </c>
      <c r="Z125" s="475">
        <v>0</v>
      </c>
      <c r="AA125" s="475">
        <v>0</v>
      </c>
      <c r="AB125" s="475">
        <f t="shared" si="305"/>
        <v>0</v>
      </c>
      <c r="AC125" s="475">
        <f t="shared" si="306"/>
        <v>30700</v>
      </c>
      <c r="AD125" s="70">
        <f t="shared" si="307"/>
        <v>10377</v>
      </c>
      <c r="AE125" s="70">
        <f t="shared" si="308"/>
        <v>614</v>
      </c>
      <c r="AF125" s="475">
        <v>0</v>
      </c>
      <c r="AG125" s="475">
        <v>0</v>
      </c>
      <c r="AH125" s="475">
        <f t="shared" si="309"/>
        <v>0</v>
      </c>
      <c r="AI125" s="475">
        <f t="shared" si="310"/>
        <v>41691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0.09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0.09</v>
      </c>
      <c r="AT125" s="478">
        <f t="shared" si="311"/>
        <v>0.09</v>
      </c>
      <c r="AU125" s="484">
        <f t="shared" si="215"/>
        <v>1459819</v>
      </c>
      <c r="AV125" s="475">
        <f t="shared" si="216"/>
        <v>1057266</v>
      </c>
      <c r="AW125" s="475">
        <f t="shared" si="312"/>
        <v>10000</v>
      </c>
      <c r="AX125" s="475">
        <f t="shared" si="313"/>
        <v>360736</v>
      </c>
      <c r="AY125" s="475">
        <f t="shared" si="313"/>
        <v>21145</v>
      </c>
      <c r="AZ125" s="475">
        <f t="shared" si="217"/>
        <v>10672</v>
      </c>
      <c r="BA125" s="476">
        <f t="shared" si="218"/>
        <v>3.3499999999999996</v>
      </c>
      <c r="BB125" s="476">
        <f t="shared" si="314"/>
        <v>0</v>
      </c>
      <c r="BC125" s="478">
        <f t="shared" si="314"/>
        <v>3.3499999999999996</v>
      </c>
    </row>
    <row r="126" spans="1:55" s="234" customFormat="1" ht="12.75" customHeight="1" x14ac:dyDescent="0.2">
      <c r="A126" s="236">
        <v>27</v>
      </c>
      <c r="B126" s="237">
        <v>3417</v>
      </c>
      <c r="C126" s="237">
        <v>600078353</v>
      </c>
      <c r="D126" s="237">
        <v>72743352</v>
      </c>
      <c r="E126" s="238" t="s">
        <v>61</v>
      </c>
      <c r="F126" s="237">
        <v>3143</v>
      </c>
      <c r="G126" s="238" t="s">
        <v>626</v>
      </c>
      <c r="H126" s="273" t="s">
        <v>277</v>
      </c>
      <c r="I126" s="472">
        <v>1416249</v>
      </c>
      <c r="J126" s="472">
        <v>1037967</v>
      </c>
      <c r="K126" s="472">
        <v>5000</v>
      </c>
      <c r="L126" s="472">
        <v>352523</v>
      </c>
      <c r="M126" s="472">
        <v>20759</v>
      </c>
      <c r="N126" s="472">
        <v>0</v>
      </c>
      <c r="O126" s="473">
        <v>2</v>
      </c>
      <c r="P126" s="474">
        <v>2</v>
      </c>
      <c r="Q126" s="483">
        <v>0</v>
      </c>
      <c r="R126" s="485">
        <f t="shared" si="304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>SUM(R126:W126)</f>
        <v>0</v>
      </c>
      <c r="Y126" s="475">
        <v>0</v>
      </c>
      <c r="Z126" s="475">
        <v>0</v>
      </c>
      <c r="AA126" s="475">
        <v>0</v>
      </c>
      <c r="AB126" s="475">
        <f t="shared" si="305"/>
        <v>0</v>
      </c>
      <c r="AC126" s="475">
        <f t="shared" si="306"/>
        <v>0</v>
      </c>
      <c r="AD126" s="70">
        <f t="shared" si="307"/>
        <v>0</v>
      </c>
      <c r="AE126" s="70">
        <f t="shared" si="308"/>
        <v>0</v>
      </c>
      <c r="AF126" s="475">
        <v>0</v>
      </c>
      <c r="AG126" s="475">
        <v>0</v>
      </c>
      <c r="AH126" s="475">
        <f t="shared" si="309"/>
        <v>0</v>
      </c>
      <c r="AI126" s="475">
        <f t="shared" si="310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si="311"/>
        <v>0</v>
      </c>
      <c r="AU126" s="484">
        <f t="shared" si="215"/>
        <v>1416249</v>
      </c>
      <c r="AV126" s="475">
        <f t="shared" si="216"/>
        <v>1037967</v>
      </c>
      <c r="AW126" s="475">
        <f t="shared" si="312"/>
        <v>5000</v>
      </c>
      <c r="AX126" s="475">
        <f t="shared" si="313"/>
        <v>352523</v>
      </c>
      <c r="AY126" s="475">
        <f t="shared" si="313"/>
        <v>20759</v>
      </c>
      <c r="AZ126" s="475">
        <f t="shared" si="217"/>
        <v>0</v>
      </c>
      <c r="BA126" s="476">
        <f t="shared" si="218"/>
        <v>2</v>
      </c>
      <c r="BB126" s="476">
        <f t="shared" si="314"/>
        <v>2</v>
      </c>
      <c r="BC126" s="478">
        <f t="shared" si="314"/>
        <v>0</v>
      </c>
    </row>
    <row r="127" spans="1:55" s="234" customFormat="1" ht="12.75" customHeight="1" x14ac:dyDescent="0.2">
      <c r="A127" s="236">
        <v>27</v>
      </c>
      <c r="B127" s="237">
        <v>3417</v>
      </c>
      <c r="C127" s="237">
        <v>600078353</v>
      </c>
      <c r="D127" s="237">
        <v>72743352</v>
      </c>
      <c r="E127" s="238" t="s">
        <v>61</v>
      </c>
      <c r="F127" s="237">
        <v>3143</v>
      </c>
      <c r="G127" s="238" t="s">
        <v>627</v>
      </c>
      <c r="H127" s="273" t="s">
        <v>278</v>
      </c>
      <c r="I127" s="472">
        <v>45361</v>
      </c>
      <c r="J127" s="472">
        <v>32077</v>
      </c>
      <c r="K127" s="472">
        <v>0</v>
      </c>
      <c r="L127" s="472">
        <v>10842</v>
      </c>
      <c r="M127" s="472">
        <v>642</v>
      </c>
      <c r="N127" s="472">
        <v>1800</v>
      </c>
      <c r="O127" s="473">
        <v>0.13</v>
      </c>
      <c r="P127" s="474">
        <v>0</v>
      </c>
      <c r="Q127" s="483">
        <v>0.13</v>
      </c>
      <c r="R127" s="485">
        <f t="shared" si="304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>SUM(R127:W127)</f>
        <v>0</v>
      </c>
      <c r="Y127" s="475">
        <v>0</v>
      </c>
      <c r="Z127" s="475">
        <v>0</v>
      </c>
      <c r="AA127" s="475">
        <v>0</v>
      </c>
      <c r="AB127" s="475">
        <f t="shared" si="305"/>
        <v>0</v>
      </c>
      <c r="AC127" s="475">
        <f t="shared" si="306"/>
        <v>0</v>
      </c>
      <c r="AD127" s="70">
        <f t="shared" si="307"/>
        <v>0</v>
      </c>
      <c r="AE127" s="70">
        <f t="shared" si="308"/>
        <v>0</v>
      </c>
      <c r="AF127" s="475">
        <v>0</v>
      </c>
      <c r="AG127" s="475">
        <v>0</v>
      </c>
      <c r="AH127" s="475">
        <f t="shared" si="309"/>
        <v>0</v>
      </c>
      <c r="AI127" s="475">
        <f t="shared" si="310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si="311"/>
        <v>0</v>
      </c>
      <c r="AU127" s="484">
        <f t="shared" si="215"/>
        <v>45361</v>
      </c>
      <c r="AV127" s="475">
        <f t="shared" si="216"/>
        <v>32077</v>
      </c>
      <c r="AW127" s="475">
        <f t="shared" si="312"/>
        <v>0</v>
      </c>
      <c r="AX127" s="475">
        <f t="shared" si="313"/>
        <v>10842</v>
      </c>
      <c r="AY127" s="475">
        <f t="shared" si="313"/>
        <v>642</v>
      </c>
      <c r="AZ127" s="475">
        <f t="shared" si="217"/>
        <v>1800</v>
      </c>
      <c r="BA127" s="476">
        <f t="shared" si="218"/>
        <v>0.13</v>
      </c>
      <c r="BB127" s="476">
        <f t="shared" si="314"/>
        <v>0</v>
      </c>
      <c r="BC127" s="478">
        <f t="shared" si="314"/>
        <v>0.13</v>
      </c>
    </row>
    <row r="128" spans="1:55" s="234" customFormat="1" ht="12.75" customHeight="1" x14ac:dyDescent="0.2">
      <c r="A128" s="160">
        <v>27</v>
      </c>
      <c r="B128" s="14">
        <v>3417</v>
      </c>
      <c r="C128" s="159">
        <v>600078353</v>
      </c>
      <c r="D128" s="159">
        <v>72743352</v>
      </c>
      <c r="E128" s="235" t="s">
        <v>62</v>
      </c>
      <c r="F128" s="14"/>
      <c r="G128" s="235"/>
      <c r="H128" s="272"/>
      <c r="I128" s="479">
        <v>18777919</v>
      </c>
      <c r="J128" s="479">
        <v>13558120</v>
      </c>
      <c r="K128" s="479">
        <v>35000</v>
      </c>
      <c r="L128" s="479">
        <v>4594474</v>
      </c>
      <c r="M128" s="479">
        <v>271163</v>
      </c>
      <c r="N128" s="479">
        <v>319162</v>
      </c>
      <c r="O128" s="441">
        <v>26.367099999999997</v>
      </c>
      <c r="P128" s="441">
        <v>18.422600000000003</v>
      </c>
      <c r="Q128" s="441">
        <v>7.9444999999999997</v>
      </c>
      <c r="R128" s="687">
        <f t="shared" ref="R128:BC128" si="315">SUM(R123:R127)</f>
        <v>0</v>
      </c>
      <c r="S128" s="685">
        <f t="shared" si="315"/>
        <v>-57741</v>
      </c>
      <c r="T128" s="685">
        <f t="shared" si="315"/>
        <v>30700</v>
      </c>
      <c r="U128" s="685">
        <f t="shared" si="315"/>
        <v>0</v>
      </c>
      <c r="V128" s="685">
        <f t="shared" si="315"/>
        <v>0</v>
      </c>
      <c r="W128" s="685">
        <f t="shared" si="315"/>
        <v>0</v>
      </c>
      <c r="X128" s="685">
        <f t="shared" si="315"/>
        <v>-27041</v>
      </c>
      <c r="Y128" s="685">
        <f t="shared" si="315"/>
        <v>0</v>
      </c>
      <c r="Z128" s="685">
        <f t="shared" si="315"/>
        <v>0</v>
      </c>
      <c r="AA128" s="685">
        <f t="shared" si="315"/>
        <v>0</v>
      </c>
      <c r="AB128" s="685">
        <f t="shared" si="315"/>
        <v>0</v>
      </c>
      <c r="AC128" s="685">
        <f t="shared" si="315"/>
        <v>-27041</v>
      </c>
      <c r="AD128" s="685">
        <f t="shared" si="315"/>
        <v>-9139</v>
      </c>
      <c r="AE128" s="685">
        <f t="shared" si="315"/>
        <v>-541</v>
      </c>
      <c r="AF128" s="685">
        <f t="shared" si="315"/>
        <v>0</v>
      </c>
      <c r="AG128" s="685">
        <f t="shared" si="315"/>
        <v>0</v>
      </c>
      <c r="AH128" s="685">
        <f t="shared" si="315"/>
        <v>0</v>
      </c>
      <c r="AI128" s="685">
        <f t="shared" si="315"/>
        <v>-36721</v>
      </c>
      <c r="AJ128" s="686">
        <f t="shared" si="315"/>
        <v>0</v>
      </c>
      <c r="AK128" s="686">
        <f t="shared" si="315"/>
        <v>0</v>
      </c>
      <c r="AL128" s="686">
        <f t="shared" si="315"/>
        <v>-0.17</v>
      </c>
      <c r="AM128" s="686">
        <f t="shared" si="315"/>
        <v>0</v>
      </c>
      <c r="AN128" s="686">
        <f t="shared" si="315"/>
        <v>0.09</v>
      </c>
      <c r="AO128" s="686">
        <f t="shared" si="315"/>
        <v>0</v>
      </c>
      <c r="AP128" s="686">
        <f t="shared" si="315"/>
        <v>0</v>
      </c>
      <c r="AQ128" s="686">
        <f t="shared" si="315"/>
        <v>0</v>
      </c>
      <c r="AR128" s="686">
        <f t="shared" si="315"/>
        <v>-0.17</v>
      </c>
      <c r="AS128" s="686">
        <f t="shared" si="315"/>
        <v>0.09</v>
      </c>
      <c r="AT128" s="688">
        <f t="shared" si="315"/>
        <v>-8.0000000000000016E-2</v>
      </c>
      <c r="AU128" s="683">
        <f t="shared" si="315"/>
        <v>18741198</v>
      </c>
      <c r="AV128" s="479">
        <f t="shared" si="315"/>
        <v>13531079</v>
      </c>
      <c r="AW128" s="479">
        <f t="shared" si="315"/>
        <v>35000</v>
      </c>
      <c r="AX128" s="479">
        <f t="shared" si="315"/>
        <v>4585335</v>
      </c>
      <c r="AY128" s="479">
        <f t="shared" si="315"/>
        <v>270622</v>
      </c>
      <c r="AZ128" s="479">
        <f t="shared" si="315"/>
        <v>319162</v>
      </c>
      <c r="BA128" s="441">
        <f t="shared" si="315"/>
        <v>26.287099999999999</v>
      </c>
      <c r="BB128" s="441">
        <f t="shared" si="315"/>
        <v>18.252600000000001</v>
      </c>
      <c r="BC128" s="520">
        <f t="shared" si="315"/>
        <v>8.0344999999999995</v>
      </c>
    </row>
    <row r="129" spans="1:55" s="234" customFormat="1" ht="12.75" customHeight="1" x14ac:dyDescent="0.2">
      <c r="A129" s="236">
        <v>28</v>
      </c>
      <c r="B129" s="237">
        <v>3410</v>
      </c>
      <c r="C129" s="237">
        <v>650038550</v>
      </c>
      <c r="D129" s="237">
        <v>72743191</v>
      </c>
      <c r="E129" s="238" t="s">
        <v>63</v>
      </c>
      <c r="F129" s="237">
        <v>3113</v>
      </c>
      <c r="G129" s="238" t="s">
        <v>314</v>
      </c>
      <c r="H129" s="273" t="s">
        <v>277</v>
      </c>
      <c r="I129" s="472">
        <v>26303650</v>
      </c>
      <c r="J129" s="472">
        <v>18820652</v>
      </c>
      <c r="K129" s="472">
        <v>108000</v>
      </c>
      <c r="L129" s="472">
        <v>6397885</v>
      </c>
      <c r="M129" s="472">
        <v>376413</v>
      </c>
      <c r="N129" s="472">
        <v>600700</v>
      </c>
      <c r="O129" s="473">
        <v>34.758400000000002</v>
      </c>
      <c r="P129" s="474">
        <v>26.155799999999999</v>
      </c>
      <c r="Q129" s="483">
        <v>8.6025999999999989</v>
      </c>
      <c r="R129" s="485">
        <f t="shared" ref="R129:R133" si="316">Y129*-1</f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>SUM(R129:W129)</f>
        <v>0</v>
      </c>
      <c r="Y129" s="475">
        <v>0</v>
      </c>
      <c r="Z129" s="475">
        <v>0</v>
      </c>
      <c r="AA129" s="475">
        <v>0</v>
      </c>
      <c r="AB129" s="475">
        <f t="shared" ref="AB129:AB133" si="317">SUM(Y129:AA129)</f>
        <v>0</v>
      </c>
      <c r="AC129" s="475">
        <f t="shared" ref="AC129:AC133" si="318">X129+AB129</f>
        <v>0</v>
      </c>
      <c r="AD129" s="70">
        <f t="shared" ref="AD129:AD133" si="319">ROUND((X129+Y129+Z129)*33.8%,0)</f>
        <v>0</v>
      </c>
      <c r="AE129" s="70">
        <f t="shared" ref="AE129:AE133" si="320">ROUND(X129*2%,0)</f>
        <v>0</v>
      </c>
      <c r="AF129" s="475">
        <v>0</v>
      </c>
      <c r="AG129" s="475">
        <v>0</v>
      </c>
      <c r="AH129" s="475">
        <f t="shared" ref="AH129:AH133" si="321">SUM(AF129:AG129)</f>
        <v>0</v>
      </c>
      <c r="AI129" s="475">
        <f t="shared" ref="AI129:AI133" si="322">AC129+AD129+AE129+AH129</f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ref="AT129:AT133" si="323">SUM(AR129:AS129)</f>
        <v>0</v>
      </c>
      <c r="AU129" s="484">
        <f t="shared" si="215"/>
        <v>26303650</v>
      </c>
      <c r="AV129" s="475">
        <f t="shared" si="216"/>
        <v>18820652</v>
      </c>
      <c r="AW129" s="475">
        <f t="shared" ref="AW129:AW133" si="324">K129+AB129</f>
        <v>108000</v>
      </c>
      <c r="AX129" s="475">
        <f t="shared" ref="AX129:AY133" si="325">L129+AD129</f>
        <v>6397885</v>
      </c>
      <c r="AY129" s="475">
        <f t="shared" si="325"/>
        <v>376413</v>
      </c>
      <c r="AZ129" s="475">
        <f t="shared" si="217"/>
        <v>600700</v>
      </c>
      <c r="BA129" s="476">
        <f t="shared" si="218"/>
        <v>34.758400000000002</v>
      </c>
      <c r="BB129" s="476">
        <f t="shared" ref="BB129:BC133" si="326">P129+AR129</f>
        <v>26.155799999999999</v>
      </c>
      <c r="BC129" s="478">
        <f t="shared" si="326"/>
        <v>8.6025999999999989</v>
      </c>
    </row>
    <row r="130" spans="1:55" s="234" customFormat="1" x14ac:dyDescent="0.2">
      <c r="A130" s="236">
        <v>28</v>
      </c>
      <c r="B130" s="237">
        <v>3410</v>
      </c>
      <c r="C130" s="237">
        <v>650038550</v>
      </c>
      <c r="D130" s="237">
        <v>72743191</v>
      </c>
      <c r="E130" s="238" t="s">
        <v>63</v>
      </c>
      <c r="F130" s="237">
        <v>3113</v>
      </c>
      <c r="G130" s="238" t="s">
        <v>312</v>
      </c>
      <c r="H130" s="273" t="s">
        <v>278</v>
      </c>
      <c r="I130" s="472">
        <v>1435044</v>
      </c>
      <c r="J130" s="472">
        <v>1056733</v>
      </c>
      <c r="K130" s="472">
        <v>0</v>
      </c>
      <c r="L130" s="472">
        <v>357176</v>
      </c>
      <c r="M130" s="472">
        <v>21135</v>
      </c>
      <c r="N130" s="472">
        <v>0</v>
      </c>
      <c r="O130" s="473">
        <v>3.0100000000000002</v>
      </c>
      <c r="P130" s="474">
        <v>3.0100000000000002</v>
      </c>
      <c r="Q130" s="483">
        <v>0</v>
      </c>
      <c r="R130" s="485">
        <f t="shared" si="316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>SUM(R130:W130)</f>
        <v>0</v>
      </c>
      <c r="Y130" s="475">
        <v>0</v>
      </c>
      <c r="Z130" s="475">
        <v>0</v>
      </c>
      <c r="AA130" s="475">
        <v>0</v>
      </c>
      <c r="AB130" s="475">
        <f t="shared" si="317"/>
        <v>0</v>
      </c>
      <c r="AC130" s="475">
        <f t="shared" si="318"/>
        <v>0</v>
      </c>
      <c r="AD130" s="70">
        <f t="shared" si="319"/>
        <v>0</v>
      </c>
      <c r="AE130" s="70">
        <f t="shared" si="320"/>
        <v>0</v>
      </c>
      <c r="AF130" s="475">
        <v>0</v>
      </c>
      <c r="AG130" s="475">
        <v>0</v>
      </c>
      <c r="AH130" s="475">
        <f t="shared" si="321"/>
        <v>0</v>
      </c>
      <c r="AI130" s="475">
        <f t="shared" si="322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si="323"/>
        <v>0</v>
      </c>
      <c r="AU130" s="484">
        <f t="shared" si="215"/>
        <v>1435044</v>
      </c>
      <c r="AV130" s="475">
        <f t="shared" si="216"/>
        <v>1056733</v>
      </c>
      <c r="AW130" s="475">
        <f t="shared" si="324"/>
        <v>0</v>
      </c>
      <c r="AX130" s="475">
        <f t="shared" si="325"/>
        <v>357176</v>
      </c>
      <c r="AY130" s="475">
        <f t="shared" si="325"/>
        <v>21135</v>
      </c>
      <c r="AZ130" s="475">
        <f t="shared" si="217"/>
        <v>0</v>
      </c>
      <c r="BA130" s="476">
        <f t="shared" si="218"/>
        <v>3.0100000000000002</v>
      </c>
      <c r="BB130" s="476">
        <f t="shared" si="326"/>
        <v>3.0100000000000002</v>
      </c>
      <c r="BC130" s="478">
        <f t="shared" si="326"/>
        <v>0</v>
      </c>
    </row>
    <row r="131" spans="1:55" s="234" customFormat="1" ht="12.75" customHeight="1" x14ac:dyDescent="0.2">
      <c r="A131" s="236">
        <v>28</v>
      </c>
      <c r="B131" s="237">
        <v>3410</v>
      </c>
      <c r="C131" s="237">
        <v>650038550</v>
      </c>
      <c r="D131" s="237">
        <v>72743191</v>
      </c>
      <c r="E131" s="238" t="s">
        <v>63</v>
      </c>
      <c r="F131" s="237">
        <v>3141</v>
      </c>
      <c r="G131" s="238" t="s">
        <v>315</v>
      </c>
      <c r="H131" s="273" t="s">
        <v>278</v>
      </c>
      <c r="I131" s="472">
        <v>2730812</v>
      </c>
      <c r="J131" s="472">
        <v>1995745</v>
      </c>
      <c r="K131" s="472">
        <v>0</v>
      </c>
      <c r="L131" s="472">
        <v>674562</v>
      </c>
      <c r="M131" s="472">
        <v>39915</v>
      </c>
      <c r="N131" s="472">
        <v>20590</v>
      </c>
      <c r="O131" s="473">
        <v>6.29</v>
      </c>
      <c r="P131" s="474">
        <v>0</v>
      </c>
      <c r="Q131" s="483">
        <v>6.29</v>
      </c>
      <c r="R131" s="485">
        <f t="shared" si="316"/>
        <v>0</v>
      </c>
      <c r="S131" s="475">
        <v>0</v>
      </c>
      <c r="T131" s="475">
        <v>-4562</v>
      </c>
      <c r="U131" s="475">
        <v>0</v>
      </c>
      <c r="V131" s="475">
        <v>0</v>
      </c>
      <c r="W131" s="475">
        <v>0</v>
      </c>
      <c r="X131" s="475">
        <f>SUM(R131:W131)</f>
        <v>-4562</v>
      </c>
      <c r="Y131" s="475">
        <v>0</v>
      </c>
      <c r="Z131" s="475">
        <v>0</v>
      </c>
      <c r="AA131" s="475">
        <v>0</v>
      </c>
      <c r="AB131" s="475">
        <f t="shared" si="317"/>
        <v>0</v>
      </c>
      <c r="AC131" s="475">
        <f t="shared" si="318"/>
        <v>-4562</v>
      </c>
      <c r="AD131" s="70">
        <f t="shared" si="319"/>
        <v>-1542</v>
      </c>
      <c r="AE131" s="70">
        <f t="shared" si="320"/>
        <v>-91</v>
      </c>
      <c r="AF131" s="475">
        <v>0</v>
      </c>
      <c r="AG131" s="475">
        <v>0</v>
      </c>
      <c r="AH131" s="475">
        <f t="shared" si="321"/>
        <v>0</v>
      </c>
      <c r="AI131" s="475">
        <f t="shared" si="322"/>
        <v>-6195</v>
      </c>
      <c r="AJ131" s="476">
        <v>0</v>
      </c>
      <c r="AK131" s="476">
        <v>0</v>
      </c>
      <c r="AL131" s="476">
        <v>0</v>
      </c>
      <c r="AM131" s="476">
        <v>0</v>
      </c>
      <c r="AN131" s="476">
        <v>-0.02</v>
      </c>
      <c r="AO131" s="476">
        <v>0</v>
      </c>
      <c r="AP131" s="476">
        <v>0</v>
      </c>
      <c r="AQ131" s="476">
        <v>0</v>
      </c>
      <c r="AR131" s="476">
        <f>AJ131+AL131+AM131+AO131+AP131</f>
        <v>0</v>
      </c>
      <c r="AS131" s="476">
        <f>AK131+AN131+AQ131</f>
        <v>-0.02</v>
      </c>
      <c r="AT131" s="478">
        <f t="shared" si="323"/>
        <v>-0.02</v>
      </c>
      <c r="AU131" s="484">
        <f t="shared" si="215"/>
        <v>2724617</v>
      </c>
      <c r="AV131" s="475">
        <f t="shared" si="216"/>
        <v>1991183</v>
      </c>
      <c r="AW131" s="475">
        <f t="shared" si="324"/>
        <v>0</v>
      </c>
      <c r="AX131" s="475">
        <f t="shared" si="325"/>
        <v>673020</v>
      </c>
      <c r="AY131" s="475">
        <f t="shared" si="325"/>
        <v>39824</v>
      </c>
      <c r="AZ131" s="475">
        <f t="shared" si="217"/>
        <v>20590</v>
      </c>
      <c r="BA131" s="476">
        <f t="shared" si="218"/>
        <v>6.2700000000000005</v>
      </c>
      <c r="BB131" s="476">
        <f t="shared" si="326"/>
        <v>0</v>
      </c>
      <c r="BC131" s="478">
        <f t="shared" si="326"/>
        <v>6.2700000000000005</v>
      </c>
    </row>
    <row r="132" spans="1:55" s="234" customFormat="1" ht="12.75" customHeight="1" x14ac:dyDescent="0.2">
      <c r="A132" s="236">
        <v>28</v>
      </c>
      <c r="B132" s="237">
        <v>3410</v>
      </c>
      <c r="C132" s="237">
        <v>650038550</v>
      </c>
      <c r="D132" s="237">
        <v>72743191</v>
      </c>
      <c r="E132" s="238" t="s">
        <v>63</v>
      </c>
      <c r="F132" s="237">
        <v>3143</v>
      </c>
      <c r="G132" s="238" t="s">
        <v>626</v>
      </c>
      <c r="H132" s="273" t="s">
        <v>277</v>
      </c>
      <c r="I132" s="472">
        <v>2318103</v>
      </c>
      <c r="J132" s="472">
        <v>1706998</v>
      </c>
      <c r="K132" s="472">
        <v>0</v>
      </c>
      <c r="L132" s="472">
        <v>576965</v>
      </c>
      <c r="M132" s="472">
        <v>34140</v>
      </c>
      <c r="N132" s="472">
        <v>0</v>
      </c>
      <c r="O132" s="473">
        <v>3.2616999999999998</v>
      </c>
      <c r="P132" s="474">
        <v>3.2616999999999998</v>
      </c>
      <c r="Q132" s="483">
        <v>0</v>
      </c>
      <c r="R132" s="485">
        <f t="shared" si="316"/>
        <v>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>SUM(R132:W132)</f>
        <v>0</v>
      </c>
      <c r="Y132" s="475">
        <v>0</v>
      </c>
      <c r="Z132" s="475">
        <v>0</v>
      </c>
      <c r="AA132" s="475">
        <v>0</v>
      </c>
      <c r="AB132" s="475">
        <f t="shared" si="317"/>
        <v>0</v>
      </c>
      <c r="AC132" s="475">
        <f t="shared" si="318"/>
        <v>0</v>
      </c>
      <c r="AD132" s="70">
        <f t="shared" si="319"/>
        <v>0</v>
      </c>
      <c r="AE132" s="70">
        <f t="shared" si="320"/>
        <v>0</v>
      </c>
      <c r="AF132" s="475">
        <v>0</v>
      </c>
      <c r="AG132" s="475">
        <v>0</v>
      </c>
      <c r="AH132" s="475">
        <f t="shared" si="321"/>
        <v>0</v>
      </c>
      <c r="AI132" s="475">
        <f t="shared" si="322"/>
        <v>0</v>
      </c>
      <c r="AJ132" s="476">
        <v>0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476">
        <f>AJ132+AL132+AM132+AO132+AP132</f>
        <v>0</v>
      </c>
      <c r="AS132" s="476">
        <f>AK132+AN132+AQ132</f>
        <v>0</v>
      </c>
      <c r="AT132" s="478">
        <f t="shared" si="323"/>
        <v>0</v>
      </c>
      <c r="AU132" s="484">
        <f t="shared" si="215"/>
        <v>2318103</v>
      </c>
      <c r="AV132" s="475">
        <f t="shared" si="216"/>
        <v>1706998</v>
      </c>
      <c r="AW132" s="475">
        <f t="shared" si="324"/>
        <v>0</v>
      </c>
      <c r="AX132" s="475">
        <f t="shared" si="325"/>
        <v>576965</v>
      </c>
      <c r="AY132" s="475">
        <f t="shared" si="325"/>
        <v>34140</v>
      </c>
      <c r="AZ132" s="475">
        <f t="shared" si="217"/>
        <v>0</v>
      </c>
      <c r="BA132" s="476">
        <f t="shared" si="218"/>
        <v>3.2616999999999998</v>
      </c>
      <c r="BB132" s="476">
        <f t="shared" si="326"/>
        <v>3.2616999999999998</v>
      </c>
      <c r="BC132" s="478">
        <f t="shared" si="326"/>
        <v>0</v>
      </c>
    </row>
    <row r="133" spans="1:55" s="234" customFormat="1" ht="12.75" customHeight="1" x14ac:dyDescent="0.2">
      <c r="A133" s="236">
        <v>28</v>
      </c>
      <c r="B133" s="237">
        <v>3410</v>
      </c>
      <c r="C133" s="237">
        <v>650038550</v>
      </c>
      <c r="D133" s="237">
        <v>72743191</v>
      </c>
      <c r="E133" s="238" t="s">
        <v>63</v>
      </c>
      <c r="F133" s="237">
        <v>3143</v>
      </c>
      <c r="G133" s="238" t="s">
        <v>627</v>
      </c>
      <c r="H133" s="273" t="s">
        <v>278</v>
      </c>
      <c r="I133" s="472">
        <v>90721</v>
      </c>
      <c r="J133" s="472">
        <v>64154</v>
      </c>
      <c r="K133" s="472">
        <v>0</v>
      </c>
      <c r="L133" s="472">
        <v>21684</v>
      </c>
      <c r="M133" s="472">
        <v>1283</v>
      </c>
      <c r="N133" s="472">
        <v>3600</v>
      </c>
      <c r="O133" s="473">
        <v>0.26</v>
      </c>
      <c r="P133" s="474">
        <v>0</v>
      </c>
      <c r="Q133" s="483">
        <v>0.26</v>
      </c>
      <c r="R133" s="485">
        <f t="shared" si="316"/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>SUM(R133:W133)</f>
        <v>0</v>
      </c>
      <c r="Y133" s="475">
        <v>0</v>
      </c>
      <c r="Z133" s="475">
        <v>0</v>
      </c>
      <c r="AA133" s="475">
        <v>0</v>
      </c>
      <c r="AB133" s="475">
        <f t="shared" si="317"/>
        <v>0</v>
      </c>
      <c r="AC133" s="475">
        <f t="shared" si="318"/>
        <v>0</v>
      </c>
      <c r="AD133" s="70">
        <f t="shared" si="319"/>
        <v>0</v>
      </c>
      <c r="AE133" s="70">
        <f t="shared" si="320"/>
        <v>0</v>
      </c>
      <c r="AF133" s="475">
        <v>0</v>
      </c>
      <c r="AG133" s="475">
        <v>0</v>
      </c>
      <c r="AH133" s="475">
        <f t="shared" si="321"/>
        <v>0</v>
      </c>
      <c r="AI133" s="475">
        <f t="shared" si="322"/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>AJ133+AL133+AM133+AO133+AP133</f>
        <v>0</v>
      </c>
      <c r="AS133" s="476">
        <f>AK133+AN133+AQ133</f>
        <v>0</v>
      </c>
      <c r="AT133" s="478">
        <f t="shared" si="323"/>
        <v>0</v>
      </c>
      <c r="AU133" s="484">
        <f t="shared" si="215"/>
        <v>90721</v>
      </c>
      <c r="AV133" s="475">
        <f t="shared" si="216"/>
        <v>64154</v>
      </c>
      <c r="AW133" s="475">
        <f t="shared" si="324"/>
        <v>0</v>
      </c>
      <c r="AX133" s="475">
        <f t="shared" si="325"/>
        <v>21684</v>
      </c>
      <c r="AY133" s="475">
        <f t="shared" si="325"/>
        <v>1283</v>
      </c>
      <c r="AZ133" s="475">
        <f t="shared" si="217"/>
        <v>3600</v>
      </c>
      <c r="BA133" s="476">
        <f t="shared" si="218"/>
        <v>0.26</v>
      </c>
      <c r="BB133" s="476">
        <f t="shared" si="326"/>
        <v>0</v>
      </c>
      <c r="BC133" s="478">
        <f t="shared" si="326"/>
        <v>0.26</v>
      </c>
    </row>
    <row r="134" spans="1:55" s="234" customFormat="1" ht="12.75" customHeight="1" x14ac:dyDescent="0.2">
      <c r="A134" s="160">
        <v>28</v>
      </c>
      <c r="B134" s="14">
        <v>3410</v>
      </c>
      <c r="C134" s="159">
        <v>650038550</v>
      </c>
      <c r="D134" s="159">
        <v>72743191</v>
      </c>
      <c r="E134" s="235" t="s">
        <v>64</v>
      </c>
      <c r="F134" s="14"/>
      <c r="G134" s="235"/>
      <c r="H134" s="272"/>
      <c r="I134" s="479">
        <v>32878330</v>
      </c>
      <c r="J134" s="479">
        <v>23644282</v>
      </c>
      <c r="K134" s="479">
        <v>108000</v>
      </c>
      <c r="L134" s="479">
        <v>8028272</v>
      </c>
      <c r="M134" s="479">
        <v>472886</v>
      </c>
      <c r="N134" s="479">
        <v>624890</v>
      </c>
      <c r="O134" s="441">
        <v>47.580099999999995</v>
      </c>
      <c r="P134" s="441">
        <v>32.427500000000002</v>
      </c>
      <c r="Q134" s="441">
        <v>15.152599999999998</v>
      </c>
      <c r="R134" s="687">
        <f t="shared" ref="R134:BC134" si="327">SUM(R129:R133)</f>
        <v>0</v>
      </c>
      <c r="S134" s="685">
        <f t="shared" si="327"/>
        <v>0</v>
      </c>
      <c r="T134" s="685">
        <f t="shared" si="327"/>
        <v>-4562</v>
      </c>
      <c r="U134" s="685">
        <f t="shared" si="327"/>
        <v>0</v>
      </c>
      <c r="V134" s="685">
        <f t="shared" si="327"/>
        <v>0</v>
      </c>
      <c r="W134" s="685">
        <f t="shared" si="327"/>
        <v>0</v>
      </c>
      <c r="X134" s="685">
        <f t="shared" si="327"/>
        <v>-4562</v>
      </c>
      <c r="Y134" s="685">
        <f t="shared" si="327"/>
        <v>0</v>
      </c>
      <c r="Z134" s="685">
        <f t="shared" si="327"/>
        <v>0</v>
      </c>
      <c r="AA134" s="685">
        <f t="shared" si="327"/>
        <v>0</v>
      </c>
      <c r="AB134" s="685">
        <f t="shared" si="327"/>
        <v>0</v>
      </c>
      <c r="AC134" s="685">
        <f t="shared" si="327"/>
        <v>-4562</v>
      </c>
      <c r="AD134" s="685">
        <f t="shared" si="327"/>
        <v>-1542</v>
      </c>
      <c r="AE134" s="685">
        <f t="shared" si="327"/>
        <v>-91</v>
      </c>
      <c r="AF134" s="685">
        <f t="shared" si="327"/>
        <v>0</v>
      </c>
      <c r="AG134" s="685">
        <f t="shared" si="327"/>
        <v>0</v>
      </c>
      <c r="AH134" s="685">
        <f t="shared" si="327"/>
        <v>0</v>
      </c>
      <c r="AI134" s="685">
        <f t="shared" si="327"/>
        <v>-6195</v>
      </c>
      <c r="AJ134" s="686">
        <f t="shared" si="327"/>
        <v>0</v>
      </c>
      <c r="AK134" s="686">
        <f t="shared" si="327"/>
        <v>0</v>
      </c>
      <c r="AL134" s="686">
        <f t="shared" si="327"/>
        <v>0</v>
      </c>
      <c r="AM134" s="686">
        <f t="shared" si="327"/>
        <v>0</v>
      </c>
      <c r="AN134" s="686">
        <f t="shared" si="327"/>
        <v>-0.02</v>
      </c>
      <c r="AO134" s="686">
        <f t="shared" si="327"/>
        <v>0</v>
      </c>
      <c r="AP134" s="686">
        <f t="shared" si="327"/>
        <v>0</v>
      </c>
      <c r="AQ134" s="686">
        <f t="shared" si="327"/>
        <v>0</v>
      </c>
      <c r="AR134" s="686">
        <f t="shared" si="327"/>
        <v>0</v>
      </c>
      <c r="AS134" s="686">
        <f t="shared" si="327"/>
        <v>-0.02</v>
      </c>
      <c r="AT134" s="688">
        <f t="shared" si="327"/>
        <v>-0.02</v>
      </c>
      <c r="AU134" s="683">
        <f t="shared" si="327"/>
        <v>32872135</v>
      </c>
      <c r="AV134" s="479">
        <f t="shared" si="327"/>
        <v>23639720</v>
      </c>
      <c r="AW134" s="479">
        <f t="shared" si="327"/>
        <v>108000</v>
      </c>
      <c r="AX134" s="479">
        <f t="shared" si="327"/>
        <v>8026730</v>
      </c>
      <c r="AY134" s="479">
        <f t="shared" si="327"/>
        <v>472795</v>
      </c>
      <c r="AZ134" s="479">
        <f t="shared" si="327"/>
        <v>624890</v>
      </c>
      <c r="BA134" s="441">
        <f t="shared" si="327"/>
        <v>47.560099999999998</v>
      </c>
      <c r="BB134" s="441">
        <f t="shared" si="327"/>
        <v>32.427500000000002</v>
      </c>
      <c r="BC134" s="520">
        <f t="shared" si="327"/>
        <v>15.132599999999998</v>
      </c>
    </row>
    <row r="135" spans="1:55" s="234" customFormat="1" ht="12.75" customHeight="1" x14ac:dyDescent="0.2">
      <c r="A135" s="236">
        <v>29</v>
      </c>
      <c r="B135" s="237">
        <v>3455</v>
      </c>
      <c r="C135" s="237">
        <v>651040515</v>
      </c>
      <c r="D135" s="237">
        <v>75122308</v>
      </c>
      <c r="E135" s="238" t="s">
        <v>65</v>
      </c>
      <c r="F135" s="237">
        <v>3231</v>
      </c>
      <c r="G135" s="238" t="s">
        <v>316</v>
      </c>
      <c r="H135" s="273" t="s">
        <v>277</v>
      </c>
      <c r="I135" s="472">
        <v>30838085</v>
      </c>
      <c r="J135" s="472">
        <v>22309363</v>
      </c>
      <c r="K135" s="472">
        <v>330000</v>
      </c>
      <c r="L135" s="472">
        <v>7652105</v>
      </c>
      <c r="M135" s="472">
        <v>446187</v>
      </c>
      <c r="N135" s="472">
        <v>100430</v>
      </c>
      <c r="O135" s="473">
        <v>41.726300000000002</v>
      </c>
      <c r="P135" s="474">
        <v>36.988199999999999</v>
      </c>
      <c r="Q135" s="483">
        <v>4.7381000000000002</v>
      </c>
      <c r="R135" s="485">
        <f t="shared" ref="R135" si="328">Y135*-1</f>
        <v>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>SUM(R135:W135)</f>
        <v>0</v>
      </c>
      <c r="Y135" s="475">
        <v>0</v>
      </c>
      <c r="Z135" s="475">
        <v>0</v>
      </c>
      <c r="AA135" s="475">
        <v>0</v>
      </c>
      <c r="AB135" s="475">
        <f t="shared" ref="AB135" si="329">SUM(Y135:AA135)</f>
        <v>0</v>
      </c>
      <c r="AC135" s="475">
        <f t="shared" ref="AC135" si="330">X135+AB135</f>
        <v>0</v>
      </c>
      <c r="AD135" s="70">
        <f t="shared" ref="AD135" si="331">ROUND((X135+Y135+Z135)*33.8%,0)</f>
        <v>0</v>
      </c>
      <c r="AE135" s="70">
        <f t="shared" ref="AE135" si="332">ROUND(X135*2%,0)</f>
        <v>0</v>
      </c>
      <c r="AF135" s="475">
        <v>0</v>
      </c>
      <c r="AG135" s="475">
        <v>0</v>
      </c>
      <c r="AH135" s="475">
        <f t="shared" ref="AH135" si="333">SUM(AF135:AG135)</f>
        <v>0</v>
      </c>
      <c r="AI135" s="475">
        <f t="shared" ref="AI135" si="334">AC135+AD135+AE135+AH135</f>
        <v>0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476">
        <f>AJ135+AL135+AM135+AO135+AP135</f>
        <v>0</v>
      </c>
      <c r="AS135" s="476">
        <f>AK135+AN135+AQ135</f>
        <v>0</v>
      </c>
      <c r="AT135" s="478">
        <f t="shared" ref="AT135" si="335">SUM(AR135:AS135)</f>
        <v>0</v>
      </c>
      <c r="AU135" s="484">
        <f t="shared" si="215"/>
        <v>30838085</v>
      </c>
      <c r="AV135" s="475">
        <f t="shared" si="216"/>
        <v>22309363</v>
      </c>
      <c r="AW135" s="475">
        <f>K135+AB135</f>
        <v>330000</v>
      </c>
      <c r="AX135" s="475">
        <f>L135+AD135</f>
        <v>7652105</v>
      </c>
      <c r="AY135" s="475">
        <f>M135+AE135</f>
        <v>446187</v>
      </c>
      <c r="AZ135" s="475">
        <f t="shared" si="217"/>
        <v>100430</v>
      </c>
      <c r="BA135" s="476">
        <f t="shared" si="218"/>
        <v>41.726300000000002</v>
      </c>
      <c r="BB135" s="476">
        <f>P135+AR135</f>
        <v>36.988199999999999</v>
      </c>
      <c r="BC135" s="478">
        <f>Q135+AS135</f>
        <v>4.7381000000000002</v>
      </c>
    </row>
    <row r="136" spans="1:55" s="234" customFormat="1" ht="12.75" customHeight="1" x14ac:dyDescent="0.2">
      <c r="A136" s="160">
        <v>29</v>
      </c>
      <c r="B136" s="14">
        <v>3455</v>
      </c>
      <c r="C136" s="159">
        <v>651040515</v>
      </c>
      <c r="D136" s="159">
        <v>75122308</v>
      </c>
      <c r="E136" s="235" t="s">
        <v>66</v>
      </c>
      <c r="F136" s="14"/>
      <c r="G136" s="235"/>
      <c r="H136" s="272"/>
      <c r="I136" s="479">
        <v>30838085</v>
      </c>
      <c r="J136" s="479">
        <v>22309363</v>
      </c>
      <c r="K136" s="479">
        <v>330000</v>
      </c>
      <c r="L136" s="479">
        <v>7652105</v>
      </c>
      <c r="M136" s="479">
        <v>446187</v>
      </c>
      <c r="N136" s="479">
        <v>100430</v>
      </c>
      <c r="O136" s="441">
        <v>41.726300000000002</v>
      </c>
      <c r="P136" s="441">
        <v>36.988199999999999</v>
      </c>
      <c r="Q136" s="441">
        <v>4.7381000000000002</v>
      </c>
      <c r="R136" s="687">
        <f t="shared" ref="R136:BC136" si="336">SUM(R135)</f>
        <v>0</v>
      </c>
      <c r="S136" s="685">
        <f t="shared" si="336"/>
        <v>0</v>
      </c>
      <c r="T136" s="685">
        <f t="shared" si="336"/>
        <v>0</v>
      </c>
      <c r="U136" s="685">
        <f t="shared" si="336"/>
        <v>0</v>
      </c>
      <c r="V136" s="685">
        <f t="shared" si="336"/>
        <v>0</v>
      </c>
      <c r="W136" s="685">
        <f t="shared" si="336"/>
        <v>0</v>
      </c>
      <c r="X136" s="685">
        <f t="shared" si="336"/>
        <v>0</v>
      </c>
      <c r="Y136" s="685">
        <f t="shared" si="336"/>
        <v>0</v>
      </c>
      <c r="Z136" s="685">
        <f t="shared" si="336"/>
        <v>0</v>
      </c>
      <c r="AA136" s="685">
        <f t="shared" si="336"/>
        <v>0</v>
      </c>
      <c r="AB136" s="685">
        <f t="shared" si="336"/>
        <v>0</v>
      </c>
      <c r="AC136" s="685">
        <f t="shared" si="336"/>
        <v>0</v>
      </c>
      <c r="AD136" s="685">
        <f t="shared" si="336"/>
        <v>0</v>
      </c>
      <c r="AE136" s="685">
        <f t="shared" si="336"/>
        <v>0</v>
      </c>
      <c r="AF136" s="685">
        <f t="shared" si="336"/>
        <v>0</v>
      </c>
      <c r="AG136" s="685">
        <f t="shared" si="336"/>
        <v>0</v>
      </c>
      <c r="AH136" s="685">
        <f t="shared" si="336"/>
        <v>0</v>
      </c>
      <c r="AI136" s="685">
        <f t="shared" si="336"/>
        <v>0</v>
      </c>
      <c r="AJ136" s="686">
        <f t="shared" si="336"/>
        <v>0</v>
      </c>
      <c r="AK136" s="686">
        <f t="shared" si="336"/>
        <v>0</v>
      </c>
      <c r="AL136" s="686">
        <f t="shared" si="336"/>
        <v>0</v>
      </c>
      <c r="AM136" s="686">
        <f t="shared" si="336"/>
        <v>0</v>
      </c>
      <c r="AN136" s="686">
        <f t="shared" si="336"/>
        <v>0</v>
      </c>
      <c r="AO136" s="686">
        <f t="shared" si="336"/>
        <v>0</v>
      </c>
      <c r="AP136" s="686">
        <f t="shared" si="336"/>
        <v>0</v>
      </c>
      <c r="AQ136" s="686">
        <f t="shared" si="336"/>
        <v>0</v>
      </c>
      <c r="AR136" s="686">
        <f t="shared" si="336"/>
        <v>0</v>
      </c>
      <c r="AS136" s="686">
        <f t="shared" si="336"/>
        <v>0</v>
      </c>
      <c r="AT136" s="688">
        <f t="shared" si="336"/>
        <v>0</v>
      </c>
      <c r="AU136" s="683">
        <f t="shared" si="336"/>
        <v>30838085</v>
      </c>
      <c r="AV136" s="479">
        <f t="shared" si="336"/>
        <v>22309363</v>
      </c>
      <c r="AW136" s="479">
        <f t="shared" si="336"/>
        <v>330000</v>
      </c>
      <c r="AX136" s="479">
        <f t="shared" si="336"/>
        <v>7652105</v>
      </c>
      <c r="AY136" s="479">
        <f t="shared" si="336"/>
        <v>446187</v>
      </c>
      <c r="AZ136" s="479">
        <f t="shared" si="336"/>
        <v>100430</v>
      </c>
      <c r="BA136" s="441">
        <f t="shared" si="336"/>
        <v>41.726300000000002</v>
      </c>
      <c r="BB136" s="441">
        <f t="shared" si="336"/>
        <v>36.988199999999999</v>
      </c>
      <c r="BC136" s="520">
        <f t="shared" si="336"/>
        <v>4.7381000000000002</v>
      </c>
    </row>
    <row r="137" spans="1:55" s="234" customFormat="1" ht="12.75" customHeight="1" x14ac:dyDescent="0.2">
      <c r="A137" s="236">
        <v>30</v>
      </c>
      <c r="B137" s="237">
        <v>3419</v>
      </c>
      <c r="C137" s="237">
        <v>600078434</v>
      </c>
      <c r="D137" s="237">
        <v>72742658</v>
      </c>
      <c r="E137" s="238" t="s">
        <v>67</v>
      </c>
      <c r="F137" s="237">
        <v>3111</v>
      </c>
      <c r="G137" s="238" t="s">
        <v>311</v>
      </c>
      <c r="H137" s="273" t="s">
        <v>277</v>
      </c>
      <c r="I137" s="472">
        <v>3070898</v>
      </c>
      <c r="J137" s="472">
        <v>2235420</v>
      </c>
      <c r="K137" s="472">
        <v>10500</v>
      </c>
      <c r="L137" s="472">
        <v>759121</v>
      </c>
      <c r="M137" s="472">
        <v>44707</v>
      </c>
      <c r="N137" s="472">
        <v>21150</v>
      </c>
      <c r="O137" s="473">
        <v>4.8418000000000001</v>
      </c>
      <c r="P137" s="474">
        <v>3.87</v>
      </c>
      <c r="Q137" s="483">
        <v>0.9718</v>
      </c>
      <c r="R137" s="485">
        <f t="shared" ref="R137:R143" si="337">Y137*-1</f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ref="X137:X143" si="338">SUM(R137:W137)</f>
        <v>0</v>
      </c>
      <c r="Y137" s="475">
        <v>0</v>
      </c>
      <c r="Z137" s="475">
        <v>0</v>
      </c>
      <c r="AA137" s="475">
        <v>0</v>
      </c>
      <c r="AB137" s="475">
        <f t="shared" ref="AB137:AB143" si="339">SUM(Y137:AA137)</f>
        <v>0</v>
      </c>
      <c r="AC137" s="475">
        <f t="shared" ref="AC137:AC143" si="340">X137+AB137</f>
        <v>0</v>
      </c>
      <c r="AD137" s="70">
        <f t="shared" ref="AD137:AD143" si="341">ROUND((X137+Y137+Z137)*33.8%,0)</f>
        <v>0</v>
      </c>
      <c r="AE137" s="70">
        <f t="shared" ref="AE137:AE143" si="342">ROUND(X137*2%,0)</f>
        <v>0</v>
      </c>
      <c r="AF137" s="475">
        <v>0</v>
      </c>
      <c r="AG137" s="475">
        <v>0</v>
      </c>
      <c r="AH137" s="475">
        <f t="shared" ref="AH137:AH143" si="343">SUM(AF137:AG137)</f>
        <v>0</v>
      </c>
      <c r="AI137" s="475">
        <f t="shared" ref="AI137:AI143" si="344">AC137+AD137+AE137+AH137</f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 t="shared" ref="AR137:AR143" si="345">AJ137+AL137+AM137+AO137+AP137</f>
        <v>0</v>
      </c>
      <c r="AS137" s="476">
        <f t="shared" ref="AS137:AS143" si="346">AK137+AN137+AQ137</f>
        <v>0</v>
      </c>
      <c r="AT137" s="478">
        <f t="shared" ref="AT137:AT143" si="347">SUM(AR137:AS137)</f>
        <v>0</v>
      </c>
      <c r="AU137" s="484">
        <f t="shared" si="215"/>
        <v>3070898</v>
      </c>
      <c r="AV137" s="475">
        <f t="shared" si="216"/>
        <v>2235420</v>
      </c>
      <c r="AW137" s="475">
        <f t="shared" ref="AW137:AW143" si="348">K137+AB137</f>
        <v>10500</v>
      </c>
      <c r="AX137" s="475">
        <f t="shared" ref="AX137:AY143" si="349">L137+AD137</f>
        <v>759121</v>
      </c>
      <c r="AY137" s="475">
        <f t="shared" si="349"/>
        <v>44707</v>
      </c>
      <c r="AZ137" s="475">
        <f t="shared" si="217"/>
        <v>21150</v>
      </c>
      <c r="BA137" s="476">
        <f t="shared" si="218"/>
        <v>4.8418000000000001</v>
      </c>
      <c r="BB137" s="476">
        <f t="shared" ref="BB137:BC143" si="350">P137+AR137</f>
        <v>3.87</v>
      </c>
      <c r="BC137" s="478">
        <f t="shared" si="350"/>
        <v>0.9718</v>
      </c>
    </row>
    <row r="138" spans="1:55" s="234" customFormat="1" ht="12.75" customHeight="1" x14ac:dyDescent="0.2">
      <c r="A138" s="236">
        <v>30</v>
      </c>
      <c r="B138" s="237">
        <v>3419</v>
      </c>
      <c r="C138" s="237">
        <v>600078434</v>
      </c>
      <c r="D138" s="237">
        <v>72742658</v>
      </c>
      <c r="E138" s="238" t="s">
        <v>67</v>
      </c>
      <c r="F138" s="237">
        <v>3113</v>
      </c>
      <c r="G138" s="238" t="s">
        <v>314</v>
      </c>
      <c r="H138" s="273" t="s">
        <v>277</v>
      </c>
      <c r="I138" s="472">
        <v>13084193</v>
      </c>
      <c r="J138" s="472">
        <v>9349024</v>
      </c>
      <c r="K138" s="472">
        <v>101620</v>
      </c>
      <c r="L138" s="472">
        <v>3194317</v>
      </c>
      <c r="M138" s="472">
        <v>186982</v>
      </c>
      <c r="N138" s="472">
        <v>252250</v>
      </c>
      <c r="O138" s="473">
        <v>17.467700000000004</v>
      </c>
      <c r="P138" s="474">
        <v>12.6075</v>
      </c>
      <c r="Q138" s="483">
        <v>4.8601999999999999</v>
      </c>
      <c r="R138" s="485">
        <f t="shared" si="337"/>
        <v>-3500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338"/>
        <v>-3500</v>
      </c>
      <c r="Y138" s="475">
        <v>3500</v>
      </c>
      <c r="Z138" s="475">
        <v>0</v>
      </c>
      <c r="AA138" s="475">
        <v>0</v>
      </c>
      <c r="AB138" s="475">
        <f t="shared" si="339"/>
        <v>3500</v>
      </c>
      <c r="AC138" s="475">
        <f t="shared" si="340"/>
        <v>0</v>
      </c>
      <c r="AD138" s="70">
        <f t="shared" si="341"/>
        <v>0</v>
      </c>
      <c r="AE138" s="70">
        <f t="shared" si="342"/>
        <v>-70</v>
      </c>
      <c r="AF138" s="475">
        <v>0</v>
      </c>
      <c r="AG138" s="475">
        <v>0</v>
      </c>
      <c r="AH138" s="475">
        <f t="shared" si="343"/>
        <v>0</v>
      </c>
      <c r="AI138" s="475">
        <f t="shared" si="344"/>
        <v>-70</v>
      </c>
      <c r="AJ138" s="476">
        <v>-0.01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f t="shared" si="345"/>
        <v>-0.01</v>
      </c>
      <c r="AS138" s="476">
        <f t="shared" si="346"/>
        <v>0</v>
      </c>
      <c r="AT138" s="478">
        <f t="shared" si="347"/>
        <v>-0.01</v>
      </c>
      <c r="AU138" s="484">
        <f t="shared" si="215"/>
        <v>13084123</v>
      </c>
      <c r="AV138" s="475">
        <f t="shared" si="216"/>
        <v>9345524</v>
      </c>
      <c r="AW138" s="475">
        <f t="shared" si="348"/>
        <v>105120</v>
      </c>
      <c r="AX138" s="475">
        <f t="shared" si="349"/>
        <v>3194317</v>
      </c>
      <c r="AY138" s="475">
        <f t="shared" si="349"/>
        <v>186912</v>
      </c>
      <c r="AZ138" s="475">
        <f t="shared" si="217"/>
        <v>252250</v>
      </c>
      <c r="BA138" s="476">
        <f t="shared" si="218"/>
        <v>17.457700000000003</v>
      </c>
      <c r="BB138" s="476">
        <f t="shared" si="350"/>
        <v>12.5975</v>
      </c>
      <c r="BC138" s="478">
        <f t="shared" si="350"/>
        <v>4.8601999999999999</v>
      </c>
    </row>
    <row r="139" spans="1:55" s="234" customFormat="1" x14ac:dyDescent="0.2">
      <c r="A139" s="236">
        <v>30</v>
      </c>
      <c r="B139" s="237">
        <v>3419</v>
      </c>
      <c r="C139" s="237">
        <v>600078434</v>
      </c>
      <c r="D139" s="237">
        <v>72742658</v>
      </c>
      <c r="E139" s="238" t="s">
        <v>67</v>
      </c>
      <c r="F139" s="237">
        <v>3113</v>
      </c>
      <c r="G139" s="238" t="s">
        <v>312</v>
      </c>
      <c r="H139" s="273" t="s">
        <v>278</v>
      </c>
      <c r="I139" s="472">
        <v>2015388</v>
      </c>
      <c r="J139" s="472">
        <v>1481876</v>
      </c>
      <c r="K139" s="472">
        <v>0</v>
      </c>
      <c r="L139" s="472">
        <v>500874</v>
      </c>
      <c r="M139" s="472">
        <v>29638</v>
      </c>
      <c r="N139" s="472">
        <v>3000</v>
      </c>
      <c r="O139" s="473">
        <v>4.2600000000000007</v>
      </c>
      <c r="P139" s="474">
        <v>4.2600000000000007</v>
      </c>
      <c r="Q139" s="483">
        <v>0</v>
      </c>
      <c r="R139" s="485">
        <f t="shared" si="337"/>
        <v>0</v>
      </c>
      <c r="S139" s="475">
        <v>43306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si="338"/>
        <v>43306</v>
      </c>
      <c r="Y139" s="475">
        <v>0</v>
      </c>
      <c r="Z139" s="475">
        <v>0</v>
      </c>
      <c r="AA139" s="475">
        <v>0</v>
      </c>
      <c r="AB139" s="475">
        <f t="shared" si="339"/>
        <v>0</v>
      </c>
      <c r="AC139" s="475">
        <f t="shared" si="340"/>
        <v>43306</v>
      </c>
      <c r="AD139" s="70">
        <f t="shared" si="341"/>
        <v>14637</v>
      </c>
      <c r="AE139" s="70">
        <f t="shared" si="342"/>
        <v>866</v>
      </c>
      <c r="AF139" s="475">
        <v>4000</v>
      </c>
      <c r="AG139" s="475">
        <v>0</v>
      </c>
      <c r="AH139" s="475">
        <f t="shared" si="343"/>
        <v>4000</v>
      </c>
      <c r="AI139" s="475">
        <f t="shared" si="344"/>
        <v>62809</v>
      </c>
      <c r="AJ139" s="476">
        <v>0</v>
      </c>
      <c r="AK139" s="476">
        <v>0</v>
      </c>
      <c r="AL139" s="476">
        <v>0.13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476">
        <f t="shared" si="345"/>
        <v>0.13</v>
      </c>
      <c r="AS139" s="476">
        <f t="shared" si="346"/>
        <v>0</v>
      </c>
      <c r="AT139" s="478">
        <f t="shared" si="347"/>
        <v>0.13</v>
      </c>
      <c r="AU139" s="484">
        <f t="shared" si="215"/>
        <v>2078197</v>
      </c>
      <c r="AV139" s="475">
        <f t="shared" si="216"/>
        <v>1525182</v>
      </c>
      <c r="AW139" s="475">
        <f t="shared" si="348"/>
        <v>0</v>
      </c>
      <c r="AX139" s="475">
        <f t="shared" si="349"/>
        <v>515511</v>
      </c>
      <c r="AY139" s="475">
        <f t="shared" si="349"/>
        <v>30504</v>
      </c>
      <c r="AZ139" s="475">
        <f t="shared" si="217"/>
        <v>7000</v>
      </c>
      <c r="BA139" s="476">
        <f t="shared" si="218"/>
        <v>4.3900000000000006</v>
      </c>
      <c r="BB139" s="476">
        <f t="shared" si="350"/>
        <v>4.3900000000000006</v>
      </c>
      <c r="BC139" s="478">
        <f t="shared" si="350"/>
        <v>0</v>
      </c>
    </row>
    <row r="140" spans="1:55" s="234" customFormat="1" ht="12.75" customHeight="1" x14ac:dyDescent="0.2">
      <c r="A140" s="236">
        <v>30</v>
      </c>
      <c r="B140" s="237">
        <v>3419</v>
      </c>
      <c r="C140" s="237">
        <v>600078434</v>
      </c>
      <c r="D140" s="237">
        <v>72742658</v>
      </c>
      <c r="E140" s="238" t="s">
        <v>67</v>
      </c>
      <c r="F140" s="237">
        <v>3141</v>
      </c>
      <c r="G140" s="238" t="s">
        <v>315</v>
      </c>
      <c r="H140" s="273" t="s">
        <v>278</v>
      </c>
      <c r="I140" s="472">
        <v>1879997</v>
      </c>
      <c r="J140" s="472">
        <v>1375887</v>
      </c>
      <c r="K140" s="472">
        <v>0</v>
      </c>
      <c r="L140" s="472">
        <v>465050</v>
      </c>
      <c r="M140" s="472">
        <v>27518</v>
      </c>
      <c r="N140" s="472">
        <v>11542</v>
      </c>
      <c r="O140" s="473">
        <v>4.33</v>
      </c>
      <c r="P140" s="474">
        <v>0</v>
      </c>
      <c r="Q140" s="483">
        <v>4.33</v>
      </c>
      <c r="R140" s="485">
        <f t="shared" si="337"/>
        <v>0</v>
      </c>
      <c r="S140" s="475">
        <v>0</v>
      </c>
      <c r="T140" s="475">
        <v>8917</v>
      </c>
      <c r="U140" s="475">
        <v>0</v>
      </c>
      <c r="V140" s="475">
        <v>0</v>
      </c>
      <c r="W140" s="475">
        <v>0</v>
      </c>
      <c r="X140" s="475">
        <f t="shared" si="338"/>
        <v>8917</v>
      </c>
      <c r="Y140" s="475">
        <v>0</v>
      </c>
      <c r="Z140" s="475">
        <v>0</v>
      </c>
      <c r="AA140" s="475">
        <v>0</v>
      </c>
      <c r="AB140" s="475">
        <f t="shared" si="339"/>
        <v>0</v>
      </c>
      <c r="AC140" s="475">
        <f t="shared" si="340"/>
        <v>8917</v>
      </c>
      <c r="AD140" s="70">
        <f t="shared" si="341"/>
        <v>3014</v>
      </c>
      <c r="AE140" s="70">
        <f t="shared" si="342"/>
        <v>178</v>
      </c>
      <c r="AF140" s="475">
        <v>0</v>
      </c>
      <c r="AG140" s="475">
        <v>0</v>
      </c>
      <c r="AH140" s="475">
        <f t="shared" si="343"/>
        <v>0</v>
      </c>
      <c r="AI140" s="475">
        <f t="shared" si="344"/>
        <v>12109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0.03</v>
      </c>
      <c r="AO140" s="476">
        <v>0</v>
      </c>
      <c r="AP140" s="476">
        <v>0</v>
      </c>
      <c r="AQ140" s="476">
        <v>0</v>
      </c>
      <c r="AR140" s="476">
        <f t="shared" si="345"/>
        <v>0</v>
      </c>
      <c r="AS140" s="476">
        <f t="shared" si="346"/>
        <v>0.03</v>
      </c>
      <c r="AT140" s="478">
        <f t="shared" si="347"/>
        <v>0.03</v>
      </c>
      <c r="AU140" s="484">
        <f t="shared" si="215"/>
        <v>1892106</v>
      </c>
      <c r="AV140" s="475">
        <f t="shared" si="216"/>
        <v>1384804</v>
      </c>
      <c r="AW140" s="475">
        <f t="shared" si="348"/>
        <v>0</v>
      </c>
      <c r="AX140" s="475">
        <f t="shared" si="349"/>
        <v>468064</v>
      </c>
      <c r="AY140" s="475">
        <f t="shared" si="349"/>
        <v>27696</v>
      </c>
      <c r="AZ140" s="475">
        <f t="shared" si="217"/>
        <v>11542</v>
      </c>
      <c r="BA140" s="476">
        <f t="shared" si="218"/>
        <v>4.3600000000000003</v>
      </c>
      <c r="BB140" s="476">
        <f t="shared" si="350"/>
        <v>0</v>
      </c>
      <c r="BC140" s="478">
        <f t="shared" si="350"/>
        <v>4.3600000000000003</v>
      </c>
    </row>
    <row r="141" spans="1:55" s="234" customFormat="1" ht="12.75" customHeight="1" x14ac:dyDescent="0.2">
      <c r="A141" s="236">
        <v>30</v>
      </c>
      <c r="B141" s="237">
        <v>3419</v>
      </c>
      <c r="C141" s="237">
        <v>600078434</v>
      </c>
      <c r="D141" s="237">
        <v>72742658</v>
      </c>
      <c r="E141" s="238" t="s">
        <v>67</v>
      </c>
      <c r="F141" s="237">
        <v>3143</v>
      </c>
      <c r="G141" s="238" t="s">
        <v>626</v>
      </c>
      <c r="H141" s="273" t="s">
        <v>277</v>
      </c>
      <c r="I141" s="472">
        <v>870023</v>
      </c>
      <c r="J141" s="472">
        <v>640665</v>
      </c>
      <c r="K141" s="472">
        <v>0</v>
      </c>
      <c r="L141" s="472">
        <v>216545</v>
      </c>
      <c r="M141" s="472">
        <v>12813</v>
      </c>
      <c r="N141" s="472">
        <v>0</v>
      </c>
      <c r="O141" s="473">
        <v>1.2949999999999999</v>
      </c>
      <c r="P141" s="474">
        <v>1.2949999999999999</v>
      </c>
      <c r="Q141" s="483">
        <v>0</v>
      </c>
      <c r="R141" s="485">
        <f t="shared" si="337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38"/>
        <v>0</v>
      </c>
      <c r="Y141" s="475">
        <v>0</v>
      </c>
      <c r="Z141" s="475">
        <v>0</v>
      </c>
      <c r="AA141" s="475">
        <v>0</v>
      </c>
      <c r="AB141" s="475">
        <f t="shared" si="339"/>
        <v>0</v>
      </c>
      <c r="AC141" s="475">
        <f t="shared" si="340"/>
        <v>0</v>
      </c>
      <c r="AD141" s="70">
        <f t="shared" si="341"/>
        <v>0</v>
      </c>
      <c r="AE141" s="70">
        <f t="shared" si="342"/>
        <v>0</v>
      </c>
      <c r="AF141" s="475">
        <v>0</v>
      </c>
      <c r="AG141" s="475">
        <v>0</v>
      </c>
      <c r="AH141" s="475">
        <f t="shared" si="343"/>
        <v>0</v>
      </c>
      <c r="AI141" s="475">
        <f t="shared" si="344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si="345"/>
        <v>0</v>
      </c>
      <c r="AS141" s="476">
        <f t="shared" si="346"/>
        <v>0</v>
      </c>
      <c r="AT141" s="478">
        <f t="shared" si="347"/>
        <v>0</v>
      </c>
      <c r="AU141" s="484">
        <f t="shared" si="215"/>
        <v>870023</v>
      </c>
      <c r="AV141" s="475">
        <f t="shared" si="216"/>
        <v>640665</v>
      </c>
      <c r="AW141" s="475">
        <f t="shared" si="348"/>
        <v>0</v>
      </c>
      <c r="AX141" s="475">
        <f t="shared" si="349"/>
        <v>216545</v>
      </c>
      <c r="AY141" s="475">
        <f t="shared" si="349"/>
        <v>12813</v>
      </c>
      <c r="AZ141" s="475">
        <f t="shared" si="217"/>
        <v>0</v>
      </c>
      <c r="BA141" s="476">
        <f t="shared" si="218"/>
        <v>1.2949999999999999</v>
      </c>
      <c r="BB141" s="476">
        <f t="shared" si="350"/>
        <v>1.2949999999999999</v>
      </c>
      <c r="BC141" s="478">
        <f t="shared" si="350"/>
        <v>0</v>
      </c>
    </row>
    <row r="142" spans="1:55" s="234" customFormat="1" ht="12.75" customHeight="1" x14ac:dyDescent="0.2">
      <c r="A142" s="236">
        <v>30</v>
      </c>
      <c r="B142" s="237">
        <v>3419</v>
      </c>
      <c r="C142" s="237">
        <v>600078434</v>
      </c>
      <c r="D142" s="237">
        <v>72742658</v>
      </c>
      <c r="E142" s="238" t="s">
        <v>67</v>
      </c>
      <c r="F142" s="237">
        <v>3143</v>
      </c>
      <c r="G142" s="238" t="s">
        <v>627</v>
      </c>
      <c r="H142" s="273" t="s">
        <v>278</v>
      </c>
      <c r="I142" s="472">
        <v>36287</v>
      </c>
      <c r="J142" s="472">
        <v>25661</v>
      </c>
      <c r="K142" s="472">
        <v>0</v>
      </c>
      <c r="L142" s="472">
        <v>8673</v>
      </c>
      <c r="M142" s="472">
        <v>513</v>
      </c>
      <c r="N142" s="472">
        <v>1440</v>
      </c>
      <c r="O142" s="473">
        <v>0.1</v>
      </c>
      <c r="P142" s="474">
        <v>0</v>
      </c>
      <c r="Q142" s="483">
        <v>0.1</v>
      </c>
      <c r="R142" s="485">
        <f t="shared" si="337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38"/>
        <v>0</v>
      </c>
      <c r="Y142" s="475">
        <v>0</v>
      </c>
      <c r="Z142" s="475">
        <v>0</v>
      </c>
      <c r="AA142" s="475">
        <v>0</v>
      </c>
      <c r="AB142" s="475">
        <f t="shared" si="339"/>
        <v>0</v>
      </c>
      <c r="AC142" s="475">
        <f t="shared" si="340"/>
        <v>0</v>
      </c>
      <c r="AD142" s="70">
        <f t="shared" si="341"/>
        <v>0</v>
      </c>
      <c r="AE142" s="70">
        <f t="shared" si="342"/>
        <v>0</v>
      </c>
      <c r="AF142" s="475">
        <v>0</v>
      </c>
      <c r="AG142" s="475">
        <v>0</v>
      </c>
      <c r="AH142" s="475">
        <f t="shared" si="343"/>
        <v>0</v>
      </c>
      <c r="AI142" s="475">
        <f t="shared" si="344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476">
        <f t="shared" si="345"/>
        <v>0</v>
      </c>
      <c r="AS142" s="476">
        <f t="shared" si="346"/>
        <v>0</v>
      </c>
      <c r="AT142" s="478">
        <f t="shared" si="347"/>
        <v>0</v>
      </c>
      <c r="AU142" s="484">
        <f t="shared" ref="AU142:AU186" si="351">I142+AI142</f>
        <v>36287</v>
      </c>
      <c r="AV142" s="475">
        <f t="shared" ref="AV142:AV186" si="352">J142+X142</f>
        <v>25661</v>
      </c>
      <c r="AW142" s="475">
        <f t="shared" si="348"/>
        <v>0</v>
      </c>
      <c r="AX142" s="475">
        <f t="shared" si="349"/>
        <v>8673</v>
      </c>
      <c r="AY142" s="475">
        <f t="shared" si="349"/>
        <v>513</v>
      </c>
      <c r="AZ142" s="475">
        <f t="shared" ref="AZ142:AZ186" si="353">N142+AH142</f>
        <v>1440</v>
      </c>
      <c r="BA142" s="476">
        <f t="shared" ref="BA142:BA186" si="354">O142+AT142</f>
        <v>0.1</v>
      </c>
      <c r="BB142" s="476">
        <f t="shared" si="350"/>
        <v>0</v>
      </c>
      <c r="BC142" s="478">
        <f t="shared" si="350"/>
        <v>0.1</v>
      </c>
    </row>
    <row r="143" spans="1:55" s="234" customFormat="1" ht="12.75" customHeight="1" x14ac:dyDescent="0.2">
      <c r="A143" s="236">
        <v>30</v>
      </c>
      <c r="B143" s="237">
        <v>3419</v>
      </c>
      <c r="C143" s="237">
        <v>600078434</v>
      </c>
      <c r="D143" s="237">
        <v>72742658</v>
      </c>
      <c r="E143" s="238" t="s">
        <v>67</v>
      </c>
      <c r="F143" s="237">
        <v>3143</v>
      </c>
      <c r="G143" s="238" t="s">
        <v>317</v>
      </c>
      <c r="H143" s="273" t="s">
        <v>278</v>
      </c>
      <c r="I143" s="472">
        <v>200448</v>
      </c>
      <c r="J143" s="472">
        <v>147252</v>
      </c>
      <c r="K143" s="472">
        <v>0</v>
      </c>
      <c r="L143" s="472">
        <v>49771</v>
      </c>
      <c r="M143" s="472">
        <v>2945</v>
      </c>
      <c r="N143" s="472">
        <v>480</v>
      </c>
      <c r="O143" s="473">
        <v>0.32</v>
      </c>
      <c r="P143" s="474">
        <v>0.27</v>
      </c>
      <c r="Q143" s="483">
        <v>0.05</v>
      </c>
      <c r="R143" s="485">
        <f t="shared" si="337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38"/>
        <v>0</v>
      </c>
      <c r="Y143" s="475">
        <v>0</v>
      </c>
      <c r="Z143" s="475">
        <v>0</v>
      </c>
      <c r="AA143" s="475">
        <v>0</v>
      </c>
      <c r="AB143" s="475">
        <f t="shared" si="339"/>
        <v>0</v>
      </c>
      <c r="AC143" s="475">
        <f t="shared" si="340"/>
        <v>0</v>
      </c>
      <c r="AD143" s="70">
        <f t="shared" si="341"/>
        <v>0</v>
      </c>
      <c r="AE143" s="70">
        <f t="shared" si="342"/>
        <v>0</v>
      </c>
      <c r="AF143" s="475">
        <v>0</v>
      </c>
      <c r="AG143" s="475">
        <v>0</v>
      </c>
      <c r="AH143" s="475">
        <f t="shared" si="343"/>
        <v>0</v>
      </c>
      <c r="AI143" s="475">
        <f t="shared" si="344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345"/>
        <v>0</v>
      </c>
      <c r="AS143" s="476">
        <f t="shared" si="346"/>
        <v>0</v>
      </c>
      <c r="AT143" s="478">
        <f t="shared" si="347"/>
        <v>0</v>
      </c>
      <c r="AU143" s="484">
        <f t="shared" si="351"/>
        <v>200448</v>
      </c>
      <c r="AV143" s="475">
        <f t="shared" si="352"/>
        <v>147252</v>
      </c>
      <c r="AW143" s="475">
        <f t="shared" si="348"/>
        <v>0</v>
      </c>
      <c r="AX143" s="475">
        <f t="shared" si="349"/>
        <v>49771</v>
      </c>
      <c r="AY143" s="475">
        <f t="shared" si="349"/>
        <v>2945</v>
      </c>
      <c r="AZ143" s="475">
        <f t="shared" si="353"/>
        <v>480</v>
      </c>
      <c r="BA143" s="476">
        <f t="shared" si="354"/>
        <v>0.32</v>
      </c>
      <c r="BB143" s="476">
        <f t="shared" si="350"/>
        <v>0.27</v>
      </c>
      <c r="BC143" s="478">
        <f t="shared" si="350"/>
        <v>0.05</v>
      </c>
    </row>
    <row r="144" spans="1:55" s="234" customFormat="1" ht="12.75" customHeight="1" x14ac:dyDescent="0.2">
      <c r="A144" s="160">
        <v>30</v>
      </c>
      <c r="B144" s="14">
        <v>3419</v>
      </c>
      <c r="C144" s="159">
        <v>600078434</v>
      </c>
      <c r="D144" s="159">
        <v>72742658</v>
      </c>
      <c r="E144" s="235" t="s">
        <v>68</v>
      </c>
      <c r="F144" s="14"/>
      <c r="G144" s="235"/>
      <c r="H144" s="272"/>
      <c r="I144" s="479">
        <v>21157234</v>
      </c>
      <c r="J144" s="479">
        <v>15255785</v>
      </c>
      <c r="K144" s="479">
        <v>112120</v>
      </c>
      <c r="L144" s="479">
        <v>5194351</v>
      </c>
      <c r="M144" s="479">
        <v>305116</v>
      </c>
      <c r="N144" s="479">
        <v>289862</v>
      </c>
      <c r="O144" s="441">
        <v>32.614500000000007</v>
      </c>
      <c r="P144" s="441">
        <v>22.302499999999998</v>
      </c>
      <c r="Q144" s="441">
        <v>10.311999999999999</v>
      </c>
      <c r="R144" s="687">
        <f t="shared" ref="R144:BC144" si="355">SUM(R137:R143)</f>
        <v>-3500</v>
      </c>
      <c r="S144" s="685">
        <f t="shared" si="355"/>
        <v>43306</v>
      </c>
      <c r="T144" s="685">
        <f t="shared" si="355"/>
        <v>8917</v>
      </c>
      <c r="U144" s="685">
        <f t="shared" si="355"/>
        <v>0</v>
      </c>
      <c r="V144" s="685">
        <f t="shared" si="355"/>
        <v>0</v>
      </c>
      <c r="W144" s="685">
        <f t="shared" si="355"/>
        <v>0</v>
      </c>
      <c r="X144" s="685">
        <f t="shared" si="355"/>
        <v>48723</v>
      </c>
      <c r="Y144" s="685">
        <f t="shared" si="355"/>
        <v>3500</v>
      </c>
      <c r="Z144" s="685">
        <f t="shared" si="355"/>
        <v>0</v>
      </c>
      <c r="AA144" s="685">
        <f t="shared" si="355"/>
        <v>0</v>
      </c>
      <c r="AB144" s="685">
        <f t="shared" si="355"/>
        <v>3500</v>
      </c>
      <c r="AC144" s="685">
        <f t="shared" si="355"/>
        <v>52223</v>
      </c>
      <c r="AD144" s="685">
        <f t="shared" si="355"/>
        <v>17651</v>
      </c>
      <c r="AE144" s="685">
        <f t="shared" si="355"/>
        <v>974</v>
      </c>
      <c r="AF144" s="685">
        <f t="shared" si="355"/>
        <v>4000</v>
      </c>
      <c r="AG144" s="685">
        <f t="shared" si="355"/>
        <v>0</v>
      </c>
      <c r="AH144" s="685">
        <f t="shared" si="355"/>
        <v>4000</v>
      </c>
      <c r="AI144" s="685">
        <f t="shared" si="355"/>
        <v>74848</v>
      </c>
      <c r="AJ144" s="686">
        <f t="shared" si="355"/>
        <v>-0.01</v>
      </c>
      <c r="AK144" s="686">
        <f t="shared" si="355"/>
        <v>0</v>
      </c>
      <c r="AL144" s="686">
        <f t="shared" si="355"/>
        <v>0.13</v>
      </c>
      <c r="AM144" s="686">
        <f t="shared" si="355"/>
        <v>0</v>
      </c>
      <c r="AN144" s="686">
        <f t="shared" si="355"/>
        <v>0.03</v>
      </c>
      <c r="AO144" s="686">
        <f t="shared" si="355"/>
        <v>0</v>
      </c>
      <c r="AP144" s="686">
        <f t="shared" si="355"/>
        <v>0</v>
      </c>
      <c r="AQ144" s="686">
        <f t="shared" si="355"/>
        <v>0</v>
      </c>
      <c r="AR144" s="686">
        <f t="shared" si="355"/>
        <v>0.12000000000000001</v>
      </c>
      <c r="AS144" s="686">
        <f t="shared" si="355"/>
        <v>0.03</v>
      </c>
      <c r="AT144" s="688">
        <f t="shared" si="355"/>
        <v>0.15000000000000002</v>
      </c>
      <c r="AU144" s="683">
        <f t="shared" si="355"/>
        <v>21232082</v>
      </c>
      <c r="AV144" s="479">
        <f t="shared" si="355"/>
        <v>15304508</v>
      </c>
      <c r="AW144" s="479">
        <f t="shared" si="355"/>
        <v>115620</v>
      </c>
      <c r="AX144" s="479">
        <f t="shared" si="355"/>
        <v>5212002</v>
      </c>
      <c r="AY144" s="479">
        <f t="shared" si="355"/>
        <v>306090</v>
      </c>
      <c r="AZ144" s="479">
        <f t="shared" si="355"/>
        <v>293862</v>
      </c>
      <c r="BA144" s="441">
        <f t="shared" si="355"/>
        <v>32.764500000000005</v>
      </c>
      <c r="BB144" s="441">
        <f t="shared" si="355"/>
        <v>22.422500000000003</v>
      </c>
      <c r="BC144" s="520">
        <f t="shared" si="355"/>
        <v>10.342000000000001</v>
      </c>
    </row>
    <row r="145" spans="1:55" s="234" customFormat="1" ht="12.75" customHeight="1" x14ac:dyDescent="0.2">
      <c r="A145" s="236">
        <v>31</v>
      </c>
      <c r="B145" s="237">
        <v>3422</v>
      </c>
      <c r="C145" s="237">
        <v>600078591</v>
      </c>
      <c r="D145" s="237">
        <v>72742682</v>
      </c>
      <c r="E145" s="238" t="s">
        <v>69</v>
      </c>
      <c r="F145" s="237">
        <v>3111</v>
      </c>
      <c r="G145" s="238" t="s">
        <v>311</v>
      </c>
      <c r="H145" s="273" t="s">
        <v>277</v>
      </c>
      <c r="I145" s="472">
        <v>2915759</v>
      </c>
      <c r="J145" s="472">
        <v>2130860</v>
      </c>
      <c r="K145" s="472">
        <v>0</v>
      </c>
      <c r="L145" s="472">
        <v>720231</v>
      </c>
      <c r="M145" s="472">
        <v>42618</v>
      </c>
      <c r="N145" s="472">
        <v>22050</v>
      </c>
      <c r="O145" s="473">
        <v>4.8381999999999996</v>
      </c>
      <c r="P145" s="474">
        <v>3.8163999999999998</v>
      </c>
      <c r="Q145" s="483">
        <v>1.0218</v>
      </c>
      <c r="R145" s="485">
        <f t="shared" ref="R145:R150" si="356">Y145*-1</f>
        <v>0</v>
      </c>
      <c r="S145" s="475">
        <v>0</v>
      </c>
      <c r="T145" s="475">
        <v>0</v>
      </c>
      <c r="U145" s="475">
        <v>0</v>
      </c>
      <c r="V145" s="475">
        <v>0</v>
      </c>
      <c r="W145" s="475">
        <v>0</v>
      </c>
      <c r="X145" s="475">
        <f t="shared" ref="X145:X150" si="357">SUM(R145:W145)</f>
        <v>0</v>
      </c>
      <c r="Y145" s="475">
        <v>0</v>
      </c>
      <c r="Z145" s="475">
        <v>0</v>
      </c>
      <c r="AA145" s="475">
        <v>0</v>
      </c>
      <c r="AB145" s="475">
        <f t="shared" ref="AB145:AB150" si="358">SUM(Y145:AA145)</f>
        <v>0</v>
      </c>
      <c r="AC145" s="475">
        <f t="shared" ref="AC145:AC150" si="359">X145+AB145</f>
        <v>0</v>
      </c>
      <c r="AD145" s="70">
        <f t="shared" ref="AD145:AD150" si="360">ROUND((X145+Y145+Z145)*33.8%,0)</f>
        <v>0</v>
      </c>
      <c r="AE145" s="70">
        <f t="shared" ref="AE145:AE150" si="361">ROUND(X145*2%,0)</f>
        <v>0</v>
      </c>
      <c r="AF145" s="475">
        <v>0</v>
      </c>
      <c r="AG145" s="475">
        <v>0</v>
      </c>
      <c r="AH145" s="475">
        <f t="shared" ref="AH145:AH150" si="362">SUM(AF145:AG145)</f>
        <v>0</v>
      </c>
      <c r="AI145" s="475">
        <f t="shared" ref="AI145:AI150" si="363">AC145+AD145+AE145+AH145</f>
        <v>0</v>
      </c>
      <c r="AJ145" s="476">
        <v>0</v>
      </c>
      <c r="AK145" s="476">
        <v>0</v>
      </c>
      <c r="AL145" s="476">
        <v>0</v>
      </c>
      <c r="AM145" s="476">
        <v>0</v>
      </c>
      <c r="AN145" s="476">
        <v>0</v>
      </c>
      <c r="AO145" s="476">
        <v>0</v>
      </c>
      <c r="AP145" s="476">
        <v>0</v>
      </c>
      <c r="AQ145" s="476">
        <v>0</v>
      </c>
      <c r="AR145" s="476">
        <f t="shared" ref="AR145:AR150" si="364">AJ145+AL145+AM145+AO145+AP145</f>
        <v>0</v>
      </c>
      <c r="AS145" s="476">
        <f t="shared" ref="AS145:AS150" si="365">AK145+AN145+AQ145</f>
        <v>0</v>
      </c>
      <c r="AT145" s="478">
        <f t="shared" ref="AT145:AT150" si="366">SUM(AR145:AS145)</f>
        <v>0</v>
      </c>
      <c r="AU145" s="484">
        <f t="shared" si="351"/>
        <v>2915759</v>
      </c>
      <c r="AV145" s="475">
        <f t="shared" si="352"/>
        <v>2130860</v>
      </c>
      <c r="AW145" s="475">
        <f t="shared" ref="AW145:AW150" si="367">K145+AB145</f>
        <v>0</v>
      </c>
      <c r="AX145" s="475">
        <f t="shared" ref="AX145:AY150" si="368">L145+AD145</f>
        <v>720231</v>
      </c>
      <c r="AY145" s="475">
        <f t="shared" si="368"/>
        <v>42618</v>
      </c>
      <c r="AZ145" s="475">
        <f t="shared" si="353"/>
        <v>22050</v>
      </c>
      <c r="BA145" s="476">
        <f t="shared" si="354"/>
        <v>4.8381999999999996</v>
      </c>
      <c r="BB145" s="476">
        <f t="shared" ref="BB145:BC150" si="369">P145+AR145</f>
        <v>3.8163999999999998</v>
      </c>
      <c r="BC145" s="478">
        <f t="shared" si="369"/>
        <v>1.0218</v>
      </c>
    </row>
    <row r="146" spans="1:55" s="234" customFormat="1" ht="12.75" customHeight="1" x14ac:dyDescent="0.2">
      <c r="A146" s="236">
        <v>31</v>
      </c>
      <c r="B146" s="237">
        <v>3422</v>
      </c>
      <c r="C146" s="237">
        <v>600078591</v>
      </c>
      <c r="D146" s="237">
        <v>72742682</v>
      </c>
      <c r="E146" s="238" t="s">
        <v>69</v>
      </c>
      <c r="F146" s="237">
        <v>3113</v>
      </c>
      <c r="G146" s="238" t="s">
        <v>314</v>
      </c>
      <c r="H146" s="273" t="s">
        <v>277</v>
      </c>
      <c r="I146" s="472">
        <v>8845706</v>
      </c>
      <c r="J146" s="472">
        <v>6398164</v>
      </c>
      <c r="K146" s="472">
        <v>0</v>
      </c>
      <c r="L146" s="472">
        <v>2162579</v>
      </c>
      <c r="M146" s="472">
        <v>127963</v>
      </c>
      <c r="N146" s="472">
        <v>157000</v>
      </c>
      <c r="O146" s="473">
        <v>12.8194</v>
      </c>
      <c r="P146" s="474">
        <v>9.0907999999999998</v>
      </c>
      <c r="Q146" s="483">
        <v>3.7285999999999997</v>
      </c>
      <c r="R146" s="485">
        <f t="shared" si="356"/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si="357"/>
        <v>0</v>
      </c>
      <c r="Y146" s="475">
        <v>0</v>
      </c>
      <c r="Z146" s="475">
        <v>0</v>
      </c>
      <c r="AA146" s="475">
        <v>0</v>
      </c>
      <c r="AB146" s="475">
        <f t="shared" si="358"/>
        <v>0</v>
      </c>
      <c r="AC146" s="475">
        <f t="shared" si="359"/>
        <v>0</v>
      </c>
      <c r="AD146" s="70">
        <f t="shared" si="360"/>
        <v>0</v>
      </c>
      <c r="AE146" s="70">
        <f t="shared" si="361"/>
        <v>0</v>
      </c>
      <c r="AF146" s="475">
        <v>0</v>
      </c>
      <c r="AG146" s="475">
        <v>0</v>
      </c>
      <c r="AH146" s="475">
        <f t="shared" si="362"/>
        <v>0</v>
      </c>
      <c r="AI146" s="475">
        <f t="shared" si="363"/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476">
        <f t="shared" si="364"/>
        <v>0</v>
      </c>
      <c r="AS146" s="476">
        <f t="shared" si="365"/>
        <v>0</v>
      </c>
      <c r="AT146" s="478">
        <f t="shared" si="366"/>
        <v>0</v>
      </c>
      <c r="AU146" s="484">
        <f t="shared" si="351"/>
        <v>8845706</v>
      </c>
      <c r="AV146" s="475">
        <f t="shared" si="352"/>
        <v>6398164</v>
      </c>
      <c r="AW146" s="475">
        <f t="shared" si="367"/>
        <v>0</v>
      </c>
      <c r="AX146" s="475">
        <f t="shared" si="368"/>
        <v>2162579</v>
      </c>
      <c r="AY146" s="475">
        <f t="shared" si="368"/>
        <v>127963</v>
      </c>
      <c r="AZ146" s="475">
        <f t="shared" si="353"/>
        <v>157000</v>
      </c>
      <c r="BA146" s="476">
        <f t="shared" si="354"/>
        <v>12.8194</v>
      </c>
      <c r="BB146" s="476">
        <f t="shared" si="369"/>
        <v>9.0907999999999998</v>
      </c>
      <c r="BC146" s="478">
        <f t="shared" si="369"/>
        <v>3.7285999999999997</v>
      </c>
    </row>
    <row r="147" spans="1:55" s="234" customFormat="1" x14ac:dyDescent="0.2">
      <c r="A147" s="236">
        <v>31</v>
      </c>
      <c r="B147" s="237">
        <v>3422</v>
      </c>
      <c r="C147" s="237">
        <v>600078591</v>
      </c>
      <c r="D147" s="237">
        <v>72742682</v>
      </c>
      <c r="E147" s="238" t="s">
        <v>69</v>
      </c>
      <c r="F147" s="237">
        <v>3113</v>
      </c>
      <c r="G147" s="238" t="s">
        <v>312</v>
      </c>
      <c r="H147" s="273" t="s">
        <v>278</v>
      </c>
      <c r="I147" s="472">
        <v>1382998</v>
      </c>
      <c r="J147" s="472">
        <v>1002760</v>
      </c>
      <c r="K147" s="472">
        <v>0</v>
      </c>
      <c r="L147" s="472">
        <v>338933</v>
      </c>
      <c r="M147" s="472">
        <v>20055</v>
      </c>
      <c r="N147" s="472">
        <v>21250</v>
      </c>
      <c r="O147" s="473">
        <v>3.03</v>
      </c>
      <c r="P147" s="474">
        <v>3.03</v>
      </c>
      <c r="Q147" s="483">
        <v>0</v>
      </c>
      <c r="R147" s="485">
        <f t="shared" si="356"/>
        <v>0</v>
      </c>
      <c r="S147" s="475">
        <v>0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57"/>
        <v>0</v>
      </c>
      <c r="Y147" s="475">
        <v>0</v>
      </c>
      <c r="Z147" s="475">
        <v>0</v>
      </c>
      <c r="AA147" s="475">
        <v>0</v>
      </c>
      <c r="AB147" s="475">
        <f t="shared" si="358"/>
        <v>0</v>
      </c>
      <c r="AC147" s="475">
        <f t="shared" si="359"/>
        <v>0</v>
      </c>
      <c r="AD147" s="70">
        <f t="shared" si="360"/>
        <v>0</v>
      </c>
      <c r="AE147" s="70">
        <f t="shared" si="361"/>
        <v>0</v>
      </c>
      <c r="AF147" s="475">
        <v>0</v>
      </c>
      <c r="AG147" s="475">
        <v>0</v>
      </c>
      <c r="AH147" s="475">
        <f t="shared" si="362"/>
        <v>0</v>
      </c>
      <c r="AI147" s="475">
        <f t="shared" si="363"/>
        <v>0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 t="shared" si="364"/>
        <v>0</v>
      </c>
      <c r="AS147" s="476">
        <f t="shared" si="365"/>
        <v>0</v>
      </c>
      <c r="AT147" s="478">
        <f t="shared" si="366"/>
        <v>0</v>
      </c>
      <c r="AU147" s="484">
        <f t="shared" si="351"/>
        <v>1382998</v>
      </c>
      <c r="AV147" s="475">
        <f t="shared" si="352"/>
        <v>1002760</v>
      </c>
      <c r="AW147" s="475">
        <f t="shared" si="367"/>
        <v>0</v>
      </c>
      <c r="AX147" s="475">
        <f t="shared" si="368"/>
        <v>338933</v>
      </c>
      <c r="AY147" s="475">
        <f t="shared" si="368"/>
        <v>20055</v>
      </c>
      <c r="AZ147" s="475">
        <f t="shared" si="353"/>
        <v>21250</v>
      </c>
      <c r="BA147" s="476">
        <f t="shared" si="354"/>
        <v>3.03</v>
      </c>
      <c r="BB147" s="476">
        <f t="shared" si="369"/>
        <v>3.03</v>
      </c>
      <c r="BC147" s="478">
        <f t="shared" si="369"/>
        <v>0</v>
      </c>
    </row>
    <row r="148" spans="1:55" s="234" customFormat="1" ht="12.75" customHeight="1" x14ac:dyDescent="0.2">
      <c r="A148" s="236">
        <v>31</v>
      </c>
      <c r="B148" s="237">
        <v>3422</v>
      </c>
      <c r="C148" s="237">
        <v>600078591</v>
      </c>
      <c r="D148" s="237">
        <v>72742682</v>
      </c>
      <c r="E148" s="238" t="s">
        <v>69</v>
      </c>
      <c r="F148" s="237">
        <v>3141</v>
      </c>
      <c r="G148" s="238" t="s">
        <v>315</v>
      </c>
      <c r="H148" s="273" t="s">
        <v>278</v>
      </c>
      <c r="I148" s="472">
        <v>1508286</v>
      </c>
      <c r="J148" s="472">
        <v>1104901</v>
      </c>
      <c r="K148" s="472">
        <v>0</v>
      </c>
      <c r="L148" s="472">
        <v>373457</v>
      </c>
      <c r="M148" s="472">
        <v>22098</v>
      </c>
      <c r="N148" s="472">
        <v>7830</v>
      </c>
      <c r="O148" s="473">
        <v>3.48</v>
      </c>
      <c r="P148" s="474">
        <v>0</v>
      </c>
      <c r="Q148" s="483">
        <v>3.48</v>
      </c>
      <c r="R148" s="485">
        <f t="shared" si="356"/>
        <v>0</v>
      </c>
      <c r="S148" s="475">
        <v>0</v>
      </c>
      <c r="T148" s="475">
        <v>-39365</v>
      </c>
      <c r="U148" s="475">
        <v>0</v>
      </c>
      <c r="V148" s="475">
        <v>0</v>
      </c>
      <c r="W148" s="475">
        <v>0</v>
      </c>
      <c r="X148" s="475">
        <f t="shared" si="357"/>
        <v>-39365</v>
      </c>
      <c r="Y148" s="475">
        <v>0</v>
      </c>
      <c r="Z148" s="475">
        <v>0</v>
      </c>
      <c r="AA148" s="475">
        <v>0</v>
      </c>
      <c r="AB148" s="475">
        <f t="shared" si="358"/>
        <v>0</v>
      </c>
      <c r="AC148" s="475">
        <f t="shared" si="359"/>
        <v>-39365</v>
      </c>
      <c r="AD148" s="70">
        <f t="shared" si="360"/>
        <v>-13305</v>
      </c>
      <c r="AE148" s="70">
        <f t="shared" si="361"/>
        <v>-787</v>
      </c>
      <c r="AF148" s="475">
        <v>0</v>
      </c>
      <c r="AG148" s="475">
        <v>0</v>
      </c>
      <c r="AH148" s="475">
        <f t="shared" si="362"/>
        <v>0</v>
      </c>
      <c r="AI148" s="475">
        <f t="shared" si="363"/>
        <v>-53457</v>
      </c>
      <c r="AJ148" s="476">
        <v>0</v>
      </c>
      <c r="AK148" s="476">
        <v>0</v>
      </c>
      <c r="AL148" s="476">
        <v>0</v>
      </c>
      <c r="AM148" s="476">
        <v>0</v>
      </c>
      <c r="AN148" s="476">
        <v>-0.12</v>
      </c>
      <c r="AO148" s="476">
        <v>0</v>
      </c>
      <c r="AP148" s="476">
        <v>0</v>
      </c>
      <c r="AQ148" s="476">
        <v>0</v>
      </c>
      <c r="AR148" s="476">
        <f t="shared" si="364"/>
        <v>0</v>
      </c>
      <c r="AS148" s="476">
        <f t="shared" si="365"/>
        <v>-0.12</v>
      </c>
      <c r="AT148" s="478">
        <f t="shared" si="366"/>
        <v>-0.12</v>
      </c>
      <c r="AU148" s="484">
        <f t="shared" si="351"/>
        <v>1454829</v>
      </c>
      <c r="AV148" s="475">
        <f t="shared" si="352"/>
        <v>1065536</v>
      </c>
      <c r="AW148" s="475">
        <f t="shared" si="367"/>
        <v>0</v>
      </c>
      <c r="AX148" s="475">
        <f t="shared" si="368"/>
        <v>360152</v>
      </c>
      <c r="AY148" s="475">
        <f t="shared" si="368"/>
        <v>21311</v>
      </c>
      <c r="AZ148" s="475">
        <f t="shared" si="353"/>
        <v>7830</v>
      </c>
      <c r="BA148" s="476">
        <f t="shared" si="354"/>
        <v>3.36</v>
      </c>
      <c r="BB148" s="476">
        <f t="shared" si="369"/>
        <v>0</v>
      </c>
      <c r="BC148" s="478">
        <f t="shared" si="369"/>
        <v>3.36</v>
      </c>
    </row>
    <row r="149" spans="1:55" s="234" customFormat="1" ht="12.75" customHeight="1" x14ac:dyDescent="0.2">
      <c r="A149" s="236">
        <v>31</v>
      </c>
      <c r="B149" s="237">
        <v>3422</v>
      </c>
      <c r="C149" s="237">
        <v>600078591</v>
      </c>
      <c r="D149" s="237">
        <v>72742682</v>
      </c>
      <c r="E149" s="238" t="s">
        <v>69</v>
      </c>
      <c r="F149" s="237">
        <v>3143</v>
      </c>
      <c r="G149" s="238" t="s">
        <v>626</v>
      </c>
      <c r="H149" s="273" t="s">
        <v>277</v>
      </c>
      <c r="I149" s="472">
        <v>389344</v>
      </c>
      <c r="J149" s="472">
        <v>286704</v>
      </c>
      <c r="K149" s="472">
        <v>0</v>
      </c>
      <c r="L149" s="472">
        <v>96906</v>
      </c>
      <c r="M149" s="472">
        <v>5734</v>
      </c>
      <c r="N149" s="472">
        <v>0</v>
      </c>
      <c r="O149" s="473">
        <v>0.53569999999999995</v>
      </c>
      <c r="P149" s="474">
        <v>0.53569999999999995</v>
      </c>
      <c r="Q149" s="483">
        <v>0</v>
      </c>
      <c r="R149" s="485">
        <f t="shared" si="356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357"/>
        <v>0</v>
      </c>
      <c r="Y149" s="475">
        <v>0</v>
      </c>
      <c r="Z149" s="475">
        <v>0</v>
      </c>
      <c r="AA149" s="475">
        <v>0</v>
      </c>
      <c r="AB149" s="475">
        <f t="shared" si="358"/>
        <v>0</v>
      </c>
      <c r="AC149" s="475">
        <f t="shared" si="359"/>
        <v>0</v>
      </c>
      <c r="AD149" s="70">
        <f t="shared" si="360"/>
        <v>0</v>
      </c>
      <c r="AE149" s="70">
        <f t="shared" si="361"/>
        <v>0</v>
      </c>
      <c r="AF149" s="475">
        <v>0</v>
      </c>
      <c r="AG149" s="475">
        <v>0</v>
      </c>
      <c r="AH149" s="475">
        <f t="shared" si="362"/>
        <v>0</v>
      </c>
      <c r="AI149" s="475">
        <f t="shared" si="363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 t="shared" si="364"/>
        <v>0</v>
      </c>
      <c r="AS149" s="476">
        <f t="shared" si="365"/>
        <v>0</v>
      </c>
      <c r="AT149" s="478">
        <f t="shared" si="366"/>
        <v>0</v>
      </c>
      <c r="AU149" s="484">
        <f t="shared" si="351"/>
        <v>389344</v>
      </c>
      <c r="AV149" s="475">
        <f t="shared" si="352"/>
        <v>286704</v>
      </c>
      <c r="AW149" s="475">
        <f t="shared" si="367"/>
        <v>0</v>
      </c>
      <c r="AX149" s="475">
        <f t="shared" si="368"/>
        <v>96906</v>
      </c>
      <c r="AY149" s="475">
        <f t="shared" si="368"/>
        <v>5734</v>
      </c>
      <c r="AZ149" s="475">
        <f t="shared" si="353"/>
        <v>0</v>
      </c>
      <c r="BA149" s="476">
        <f t="shared" si="354"/>
        <v>0.53569999999999995</v>
      </c>
      <c r="BB149" s="476">
        <f t="shared" si="369"/>
        <v>0.53569999999999995</v>
      </c>
      <c r="BC149" s="478">
        <f t="shared" si="369"/>
        <v>0</v>
      </c>
    </row>
    <row r="150" spans="1:55" s="234" customFormat="1" ht="12.75" customHeight="1" x14ac:dyDescent="0.2">
      <c r="A150" s="236">
        <v>31</v>
      </c>
      <c r="B150" s="237">
        <v>3422</v>
      </c>
      <c r="C150" s="237">
        <v>600078591</v>
      </c>
      <c r="D150" s="237">
        <v>72742682</v>
      </c>
      <c r="E150" s="238" t="s">
        <v>69</v>
      </c>
      <c r="F150" s="237">
        <v>3143</v>
      </c>
      <c r="G150" s="238" t="s">
        <v>627</v>
      </c>
      <c r="H150" s="273" t="s">
        <v>278</v>
      </c>
      <c r="I150" s="472">
        <v>22680</v>
      </c>
      <c r="J150" s="472">
        <v>16038</v>
      </c>
      <c r="K150" s="472">
        <v>0</v>
      </c>
      <c r="L150" s="472">
        <v>5421</v>
      </c>
      <c r="M150" s="472">
        <v>321</v>
      </c>
      <c r="N150" s="472">
        <v>900</v>
      </c>
      <c r="O150" s="473">
        <v>0.06</v>
      </c>
      <c r="P150" s="474">
        <v>0</v>
      </c>
      <c r="Q150" s="483">
        <v>0.06</v>
      </c>
      <c r="R150" s="485">
        <f t="shared" si="356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57"/>
        <v>0</v>
      </c>
      <c r="Y150" s="475">
        <v>0</v>
      </c>
      <c r="Z150" s="475">
        <v>0</v>
      </c>
      <c r="AA150" s="475">
        <v>0</v>
      </c>
      <c r="AB150" s="475">
        <f t="shared" si="358"/>
        <v>0</v>
      </c>
      <c r="AC150" s="475">
        <f t="shared" si="359"/>
        <v>0</v>
      </c>
      <c r="AD150" s="70">
        <f t="shared" si="360"/>
        <v>0</v>
      </c>
      <c r="AE150" s="70">
        <f t="shared" si="361"/>
        <v>0</v>
      </c>
      <c r="AF150" s="475">
        <v>0</v>
      </c>
      <c r="AG150" s="475">
        <v>0</v>
      </c>
      <c r="AH150" s="475">
        <f t="shared" si="362"/>
        <v>0</v>
      </c>
      <c r="AI150" s="475">
        <f t="shared" si="363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 t="shared" si="364"/>
        <v>0</v>
      </c>
      <c r="AS150" s="476">
        <f t="shared" si="365"/>
        <v>0</v>
      </c>
      <c r="AT150" s="478">
        <f t="shared" si="366"/>
        <v>0</v>
      </c>
      <c r="AU150" s="484">
        <f t="shared" si="351"/>
        <v>22680</v>
      </c>
      <c r="AV150" s="475">
        <f t="shared" si="352"/>
        <v>16038</v>
      </c>
      <c r="AW150" s="475">
        <f t="shared" si="367"/>
        <v>0</v>
      </c>
      <c r="AX150" s="475">
        <f t="shared" si="368"/>
        <v>5421</v>
      </c>
      <c r="AY150" s="475">
        <f t="shared" si="368"/>
        <v>321</v>
      </c>
      <c r="AZ150" s="475">
        <f t="shared" si="353"/>
        <v>900</v>
      </c>
      <c r="BA150" s="476">
        <f t="shared" si="354"/>
        <v>0.06</v>
      </c>
      <c r="BB150" s="476">
        <f t="shared" si="369"/>
        <v>0</v>
      </c>
      <c r="BC150" s="478">
        <f t="shared" si="369"/>
        <v>0.06</v>
      </c>
    </row>
    <row r="151" spans="1:55" s="234" customFormat="1" ht="12.75" customHeight="1" x14ac:dyDescent="0.2">
      <c r="A151" s="160">
        <v>31</v>
      </c>
      <c r="B151" s="14">
        <v>3422</v>
      </c>
      <c r="C151" s="159">
        <v>600078591</v>
      </c>
      <c r="D151" s="159">
        <v>72742682</v>
      </c>
      <c r="E151" s="235" t="s">
        <v>70</v>
      </c>
      <c r="F151" s="14"/>
      <c r="G151" s="235"/>
      <c r="H151" s="272"/>
      <c r="I151" s="479">
        <v>15064773</v>
      </c>
      <c r="J151" s="479">
        <v>10939427</v>
      </c>
      <c r="K151" s="479">
        <v>0</v>
      </c>
      <c r="L151" s="479">
        <v>3697527</v>
      </c>
      <c r="M151" s="479">
        <v>218789</v>
      </c>
      <c r="N151" s="479">
        <v>209030</v>
      </c>
      <c r="O151" s="441">
        <v>24.763299999999997</v>
      </c>
      <c r="P151" s="441">
        <v>16.472899999999999</v>
      </c>
      <c r="Q151" s="441">
        <v>8.2904</v>
      </c>
      <c r="R151" s="687">
        <f t="shared" ref="R151:BC151" si="370">SUM(R145:R150)</f>
        <v>0</v>
      </c>
      <c r="S151" s="685">
        <f t="shared" si="370"/>
        <v>0</v>
      </c>
      <c r="T151" s="685">
        <f t="shared" si="370"/>
        <v>-39365</v>
      </c>
      <c r="U151" s="685">
        <f t="shared" si="370"/>
        <v>0</v>
      </c>
      <c r="V151" s="685">
        <f t="shared" si="370"/>
        <v>0</v>
      </c>
      <c r="W151" s="685">
        <f t="shared" si="370"/>
        <v>0</v>
      </c>
      <c r="X151" s="685">
        <f t="shared" si="370"/>
        <v>-39365</v>
      </c>
      <c r="Y151" s="685">
        <f t="shared" si="370"/>
        <v>0</v>
      </c>
      <c r="Z151" s="685">
        <f t="shared" si="370"/>
        <v>0</v>
      </c>
      <c r="AA151" s="685">
        <f t="shared" si="370"/>
        <v>0</v>
      </c>
      <c r="AB151" s="685">
        <f t="shared" si="370"/>
        <v>0</v>
      </c>
      <c r="AC151" s="685">
        <f t="shared" si="370"/>
        <v>-39365</v>
      </c>
      <c r="AD151" s="685">
        <f t="shared" si="370"/>
        <v>-13305</v>
      </c>
      <c r="AE151" s="685">
        <f t="shared" si="370"/>
        <v>-787</v>
      </c>
      <c r="AF151" s="685">
        <f t="shared" si="370"/>
        <v>0</v>
      </c>
      <c r="AG151" s="685">
        <f t="shared" si="370"/>
        <v>0</v>
      </c>
      <c r="AH151" s="685">
        <f t="shared" si="370"/>
        <v>0</v>
      </c>
      <c r="AI151" s="685">
        <f t="shared" si="370"/>
        <v>-53457</v>
      </c>
      <c r="AJ151" s="686">
        <f t="shared" si="370"/>
        <v>0</v>
      </c>
      <c r="AK151" s="686">
        <f t="shared" si="370"/>
        <v>0</v>
      </c>
      <c r="AL151" s="686">
        <f t="shared" si="370"/>
        <v>0</v>
      </c>
      <c r="AM151" s="686">
        <f t="shared" si="370"/>
        <v>0</v>
      </c>
      <c r="AN151" s="686">
        <f t="shared" si="370"/>
        <v>-0.12</v>
      </c>
      <c r="AO151" s="686">
        <f t="shared" si="370"/>
        <v>0</v>
      </c>
      <c r="AP151" s="686">
        <f t="shared" si="370"/>
        <v>0</v>
      </c>
      <c r="AQ151" s="686">
        <f t="shared" si="370"/>
        <v>0</v>
      </c>
      <c r="AR151" s="686">
        <f t="shared" si="370"/>
        <v>0</v>
      </c>
      <c r="AS151" s="686">
        <f t="shared" si="370"/>
        <v>-0.12</v>
      </c>
      <c r="AT151" s="688">
        <f t="shared" si="370"/>
        <v>-0.12</v>
      </c>
      <c r="AU151" s="683">
        <f t="shared" si="370"/>
        <v>15011316</v>
      </c>
      <c r="AV151" s="479">
        <f t="shared" si="370"/>
        <v>10900062</v>
      </c>
      <c r="AW151" s="479">
        <f t="shared" si="370"/>
        <v>0</v>
      </c>
      <c r="AX151" s="479">
        <f t="shared" si="370"/>
        <v>3684222</v>
      </c>
      <c r="AY151" s="479">
        <f t="shared" si="370"/>
        <v>218002</v>
      </c>
      <c r="AZ151" s="479">
        <f t="shared" si="370"/>
        <v>209030</v>
      </c>
      <c r="BA151" s="441">
        <f t="shared" si="370"/>
        <v>24.643299999999996</v>
      </c>
      <c r="BB151" s="441">
        <f t="shared" si="370"/>
        <v>16.472899999999999</v>
      </c>
      <c r="BC151" s="520">
        <f t="shared" si="370"/>
        <v>8.1704000000000008</v>
      </c>
    </row>
    <row r="152" spans="1:55" s="234" customFormat="1" ht="12.75" customHeight="1" x14ac:dyDescent="0.2">
      <c r="A152" s="236">
        <v>32</v>
      </c>
      <c r="B152" s="237">
        <v>3426</v>
      </c>
      <c r="C152" s="237">
        <v>600078019</v>
      </c>
      <c r="D152" s="237">
        <v>72742470</v>
      </c>
      <c r="E152" s="238" t="s">
        <v>71</v>
      </c>
      <c r="F152" s="237">
        <v>3111</v>
      </c>
      <c r="G152" s="238" t="s">
        <v>311</v>
      </c>
      <c r="H152" s="273" t="s">
        <v>277</v>
      </c>
      <c r="I152" s="472">
        <v>4932899</v>
      </c>
      <c r="J152" s="472">
        <v>3583687</v>
      </c>
      <c r="K152" s="472">
        <v>29000</v>
      </c>
      <c r="L152" s="472">
        <v>1221088</v>
      </c>
      <c r="M152" s="472">
        <v>71674</v>
      </c>
      <c r="N152" s="472">
        <v>27450</v>
      </c>
      <c r="O152" s="473">
        <v>7.8442000000000007</v>
      </c>
      <c r="P152" s="474">
        <v>6</v>
      </c>
      <c r="Q152" s="483">
        <v>1.8442000000000003</v>
      </c>
      <c r="R152" s="485">
        <f t="shared" ref="R152:R154" si="371">Y152*-1</f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>SUM(R152:W152)</f>
        <v>0</v>
      </c>
      <c r="Y152" s="475">
        <v>0</v>
      </c>
      <c r="Z152" s="475">
        <v>0</v>
      </c>
      <c r="AA152" s="475">
        <v>0</v>
      </c>
      <c r="AB152" s="475">
        <f t="shared" ref="AB152:AB154" si="372">SUM(Y152:AA152)</f>
        <v>0</v>
      </c>
      <c r="AC152" s="475">
        <f t="shared" ref="AC152:AC154" si="373">X152+AB152</f>
        <v>0</v>
      </c>
      <c r="AD152" s="70">
        <f t="shared" ref="AD152:AD154" si="374">ROUND((X152+Y152+Z152)*33.8%,0)</f>
        <v>0</v>
      </c>
      <c r="AE152" s="70">
        <f t="shared" ref="AE152:AE154" si="375">ROUND(X152*2%,0)</f>
        <v>0</v>
      </c>
      <c r="AF152" s="475">
        <v>0</v>
      </c>
      <c r="AG152" s="475">
        <v>0</v>
      </c>
      <c r="AH152" s="475">
        <f t="shared" ref="AH152:AH154" si="376">SUM(AF152:AG152)</f>
        <v>0</v>
      </c>
      <c r="AI152" s="475">
        <f t="shared" ref="AI152:AI154" si="377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ref="AT152:AT154" si="378">SUM(AR152:AS152)</f>
        <v>0</v>
      </c>
      <c r="AU152" s="484">
        <f t="shared" si="351"/>
        <v>4932899</v>
      </c>
      <c r="AV152" s="475">
        <f t="shared" si="352"/>
        <v>3583687</v>
      </c>
      <c r="AW152" s="475">
        <f t="shared" ref="AW152:AW154" si="379">K152+AB152</f>
        <v>29000</v>
      </c>
      <c r="AX152" s="475">
        <f t="shared" ref="AX152:AY154" si="380">L152+AD152</f>
        <v>1221088</v>
      </c>
      <c r="AY152" s="475">
        <f t="shared" si="380"/>
        <v>71674</v>
      </c>
      <c r="AZ152" s="475">
        <f t="shared" si="353"/>
        <v>27450</v>
      </c>
      <c r="BA152" s="476">
        <f t="shared" si="354"/>
        <v>7.8442000000000007</v>
      </c>
      <c r="BB152" s="476">
        <f t="shared" ref="BB152:BC154" si="381">P152+AR152</f>
        <v>6</v>
      </c>
      <c r="BC152" s="478">
        <f t="shared" si="381"/>
        <v>1.8442000000000003</v>
      </c>
    </row>
    <row r="153" spans="1:55" s="234" customFormat="1" x14ac:dyDescent="0.2">
      <c r="A153" s="236">
        <v>32</v>
      </c>
      <c r="B153" s="237">
        <v>3426</v>
      </c>
      <c r="C153" s="237">
        <v>600078019</v>
      </c>
      <c r="D153" s="237">
        <v>72742470</v>
      </c>
      <c r="E153" s="238" t="s">
        <v>71</v>
      </c>
      <c r="F153" s="237">
        <v>3111</v>
      </c>
      <c r="G153" s="238" t="s">
        <v>312</v>
      </c>
      <c r="H153" s="273" t="s">
        <v>278</v>
      </c>
      <c r="I153" s="472">
        <v>705706</v>
      </c>
      <c r="J153" s="472">
        <v>519666</v>
      </c>
      <c r="K153" s="472">
        <v>0</v>
      </c>
      <c r="L153" s="472">
        <v>175647</v>
      </c>
      <c r="M153" s="472">
        <v>10393</v>
      </c>
      <c r="N153" s="472">
        <v>0</v>
      </c>
      <c r="O153" s="473">
        <v>1.5</v>
      </c>
      <c r="P153" s="474">
        <v>1.5</v>
      </c>
      <c r="Q153" s="483">
        <v>0</v>
      </c>
      <c r="R153" s="485">
        <f t="shared" si="371"/>
        <v>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>SUM(R153:W153)</f>
        <v>0</v>
      </c>
      <c r="Y153" s="475">
        <v>0</v>
      </c>
      <c r="Z153" s="475">
        <v>0</v>
      </c>
      <c r="AA153" s="475">
        <v>0</v>
      </c>
      <c r="AB153" s="475">
        <f t="shared" si="372"/>
        <v>0</v>
      </c>
      <c r="AC153" s="475">
        <f t="shared" si="373"/>
        <v>0</v>
      </c>
      <c r="AD153" s="70">
        <f t="shared" si="374"/>
        <v>0</v>
      </c>
      <c r="AE153" s="70">
        <f t="shared" si="375"/>
        <v>0</v>
      </c>
      <c r="AF153" s="475">
        <v>0</v>
      </c>
      <c r="AG153" s="475">
        <v>0</v>
      </c>
      <c r="AH153" s="475">
        <f t="shared" si="376"/>
        <v>0</v>
      </c>
      <c r="AI153" s="475">
        <f t="shared" si="377"/>
        <v>0</v>
      </c>
      <c r="AJ153" s="476">
        <v>0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476">
        <f>AJ153+AL153+AM153+AO153+AP153</f>
        <v>0</v>
      </c>
      <c r="AS153" s="476">
        <f>AK153+AN153+AQ153</f>
        <v>0</v>
      </c>
      <c r="AT153" s="478">
        <f t="shared" si="378"/>
        <v>0</v>
      </c>
      <c r="AU153" s="484">
        <f t="shared" si="351"/>
        <v>705706</v>
      </c>
      <c r="AV153" s="475">
        <f t="shared" si="352"/>
        <v>519666</v>
      </c>
      <c r="AW153" s="475">
        <f t="shared" si="379"/>
        <v>0</v>
      </c>
      <c r="AX153" s="475">
        <f t="shared" si="380"/>
        <v>175647</v>
      </c>
      <c r="AY153" s="475">
        <f t="shared" si="380"/>
        <v>10393</v>
      </c>
      <c r="AZ153" s="475">
        <f t="shared" si="353"/>
        <v>0</v>
      </c>
      <c r="BA153" s="476">
        <f t="shared" si="354"/>
        <v>1.5</v>
      </c>
      <c r="BB153" s="476">
        <f t="shared" si="381"/>
        <v>1.5</v>
      </c>
      <c r="BC153" s="478">
        <f t="shared" si="381"/>
        <v>0</v>
      </c>
    </row>
    <row r="154" spans="1:55" s="234" customFormat="1" ht="12.75" customHeight="1" x14ac:dyDescent="0.2">
      <c r="A154" s="236">
        <v>32</v>
      </c>
      <c r="B154" s="237">
        <v>3426</v>
      </c>
      <c r="C154" s="237">
        <v>600078019</v>
      </c>
      <c r="D154" s="237">
        <v>72742470</v>
      </c>
      <c r="E154" s="238" t="s">
        <v>71</v>
      </c>
      <c r="F154" s="237">
        <v>3141</v>
      </c>
      <c r="G154" s="238" t="s">
        <v>315</v>
      </c>
      <c r="H154" s="273" t="s">
        <v>278</v>
      </c>
      <c r="I154" s="472">
        <v>1976334</v>
      </c>
      <c r="J154" s="472">
        <v>1446443</v>
      </c>
      <c r="K154" s="472">
        <v>0</v>
      </c>
      <c r="L154" s="472">
        <v>488898</v>
      </c>
      <c r="M154" s="472">
        <v>28929</v>
      </c>
      <c r="N154" s="472">
        <v>12064</v>
      </c>
      <c r="O154" s="473">
        <v>4.5599999999999996</v>
      </c>
      <c r="P154" s="474">
        <v>0</v>
      </c>
      <c r="Q154" s="483">
        <v>4.5599999999999996</v>
      </c>
      <c r="R154" s="485">
        <f t="shared" si="371"/>
        <v>0</v>
      </c>
      <c r="S154" s="475">
        <v>0</v>
      </c>
      <c r="T154" s="475">
        <v>-6159</v>
      </c>
      <c r="U154" s="475">
        <v>0</v>
      </c>
      <c r="V154" s="475">
        <v>0</v>
      </c>
      <c r="W154" s="475">
        <v>0</v>
      </c>
      <c r="X154" s="475">
        <f>SUM(R154:W154)</f>
        <v>-6159</v>
      </c>
      <c r="Y154" s="475">
        <v>0</v>
      </c>
      <c r="Z154" s="475">
        <v>0</v>
      </c>
      <c r="AA154" s="475">
        <v>0</v>
      </c>
      <c r="AB154" s="475">
        <f t="shared" si="372"/>
        <v>0</v>
      </c>
      <c r="AC154" s="475">
        <f t="shared" si="373"/>
        <v>-6159</v>
      </c>
      <c r="AD154" s="70">
        <f t="shared" si="374"/>
        <v>-2082</v>
      </c>
      <c r="AE154" s="70">
        <f t="shared" si="375"/>
        <v>-123</v>
      </c>
      <c r="AF154" s="475">
        <v>0</v>
      </c>
      <c r="AG154" s="475">
        <v>0</v>
      </c>
      <c r="AH154" s="475">
        <f t="shared" si="376"/>
        <v>0</v>
      </c>
      <c r="AI154" s="475">
        <f t="shared" si="377"/>
        <v>-8364</v>
      </c>
      <c r="AJ154" s="476">
        <v>0</v>
      </c>
      <c r="AK154" s="476">
        <v>0</v>
      </c>
      <c r="AL154" s="476">
        <v>0</v>
      </c>
      <c r="AM154" s="476">
        <v>0</v>
      </c>
      <c r="AN154" s="476">
        <v>-0.02</v>
      </c>
      <c r="AO154" s="476">
        <v>0</v>
      </c>
      <c r="AP154" s="476">
        <v>0</v>
      </c>
      <c r="AQ154" s="476">
        <v>0</v>
      </c>
      <c r="AR154" s="476">
        <f>AJ154+AL154+AM154+AO154+AP154</f>
        <v>0</v>
      </c>
      <c r="AS154" s="476">
        <f>AK154+AN154+AQ154</f>
        <v>-0.02</v>
      </c>
      <c r="AT154" s="478">
        <f t="shared" si="378"/>
        <v>-0.02</v>
      </c>
      <c r="AU154" s="484">
        <f t="shared" si="351"/>
        <v>1967970</v>
      </c>
      <c r="AV154" s="475">
        <f t="shared" si="352"/>
        <v>1440284</v>
      </c>
      <c r="AW154" s="475">
        <f t="shared" si="379"/>
        <v>0</v>
      </c>
      <c r="AX154" s="475">
        <f t="shared" si="380"/>
        <v>486816</v>
      </c>
      <c r="AY154" s="475">
        <f t="shared" si="380"/>
        <v>28806</v>
      </c>
      <c r="AZ154" s="475">
        <f t="shared" si="353"/>
        <v>12064</v>
      </c>
      <c r="BA154" s="476">
        <f t="shared" si="354"/>
        <v>4.54</v>
      </c>
      <c r="BB154" s="476">
        <f t="shared" si="381"/>
        <v>0</v>
      </c>
      <c r="BC154" s="478">
        <f t="shared" si="381"/>
        <v>4.54</v>
      </c>
    </row>
    <row r="155" spans="1:55" s="234" customFormat="1" ht="12.75" customHeight="1" x14ac:dyDescent="0.2">
      <c r="A155" s="160">
        <v>32</v>
      </c>
      <c r="B155" s="14">
        <v>3426</v>
      </c>
      <c r="C155" s="159">
        <v>600078019</v>
      </c>
      <c r="D155" s="159">
        <v>72742470</v>
      </c>
      <c r="E155" s="235" t="s">
        <v>72</v>
      </c>
      <c r="F155" s="14"/>
      <c r="G155" s="235"/>
      <c r="H155" s="272"/>
      <c r="I155" s="479">
        <v>7614939</v>
      </c>
      <c r="J155" s="479">
        <v>5549796</v>
      </c>
      <c r="K155" s="479">
        <v>29000</v>
      </c>
      <c r="L155" s="479">
        <v>1885633</v>
      </c>
      <c r="M155" s="479">
        <v>110996</v>
      </c>
      <c r="N155" s="479">
        <v>39514</v>
      </c>
      <c r="O155" s="441">
        <v>13.904199999999999</v>
      </c>
      <c r="P155" s="441">
        <v>7.5</v>
      </c>
      <c r="Q155" s="441">
        <v>6.4041999999999994</v>
      </c>
      <c r="R155" s="687">
        <f t="shared" ref="R155:BC155" si="382">SUM(R152:R154)</f>
        <v>0</v>
      </c>
      <c r="S155" s="685">
        <f t="shared" si="382"/>
        <v>0</v>
      </c>
      <c r="T155" s="685">
        <f t="shared" si="382"/>
        <v>-6159</v>
      </c>
      <c r="U155" s="685">
        <f t="shared" si="382"/>
        <v>0</v>
      </c>
      <c r="V155" s="685">
        <f t="shared" si="382"/>
        <v>0</v>
      </c>
      <c r="W155" s="685">
        <f t="shared" si="382"/>
        <v>0</v>
      </c>
      <c r="X155" s="685">
        <f t="shared" si="382"/>
        <v>-6159</v>
      </c>
      <c r="Y155" s="685">
        <f t="shared" si="382"/>
        <v>0</v>
      </c>
      <c r="Z155" s="685">
        <f t="shared" si="382"/>
        <v>0</v>
      </c>
      <c r="AA155" s="685">
        <f t="shared" si="382"/>
        <v>0</v>
      </c>
      <c r="AB155" s="685">
        <f t="shared" si="382"/>
        <v>0</v>
      </c>
      <c r="AC155" s="685">
        <f t="shared" si="382"/>
        <v>-6159</v>
      </c>
      <c r="AD155" s="685">
        <f t="shared" si="382"/>
        <v>-2082</v>
      </c>
      <c r="AE155" s="685">
        <f t="shared" si="382"/>
        <v>-123</v>
      </c>
      <c r="AF155" s="685">
        <f t="shared" si="382"/>
        <v>0</v>
      </c>
      <c r="AG155" s="685">
        <f t="shared" si="382"/>
        <v>0</v>
      </c>
      <c r="AH155" s="685">
        <f t="shared" si="382"/>
        <v>0</v>
      </c>
      <c r="AI155" s="685">
        <f t="shared" si="382"/>
        <v>-8364</v>
      </c>
      <c r="AJ155" s="686">
        <f t="shared" si="382"/>
        <v>0</v>
      </c>
      <c r="AK155" s="686">
        <f t="shared" si="382"/>
        <v>0</v>
      </c>
      <c r="AL155" s="686">
        <f t="shared" si="382"/>
        <v>0</v>
      </c>
      <c r="AM155" s="686">
        <f t="shared" si="382"/>
        <v>0</v>
      </c>
      <c r="AN155" s="686">
        <f t="shared" si="382"/>
        <v>-0.02</v>
      </c>
      <c r="AO155" s="686">
        <f t="shared" si="382"/>
        <v>0</v>
      </c>
      <c r="AP155" s="686">
        <f t="shared" si="382"/>
        <v>0</v>
      </c>
      <c r="AQ155" s="686">
        <f t="shared" si="382"/>
        <v>0</v>
      </c>
      <c r="AR155" s="686">
        <f t="shared" si="382"/>
        <v>0</v>
      </c>
      <c r="AS155" s="686">
        <f t="shared" si="382"/>
        <v>-0.02</v>
      </c>
      <c r="AT155" s="688">
        <f t="shared" si="382"/>
        <v>-0.02</v>
      </c>
      <c r="AU155" s="683">
        <f t="shared" si="382"/>
        <v>7606575</v>
      </c>
      <c r="AV155" s="479">
        <f t="shared" si="382"/>
        <v>5543637</v>
      </c>
      <c r="AW155" s="479">
        <f t="shared" si="382"/>
        <v>29000</v>
      </c>
      <c r="AX155" s="479">
        <f t="shared" si="382"/>
        <v>1883551</v>
      </c>
      <c r="AY155" s="479">
        <f t="shared" si="382"/>
        <v>110873</v>
      </c>
      <c r="AZ155" s="479">
        <f t="shared" si="382"/>
        <v>39514</v>
      </c>
      <c r="BA155" s="441">
        <f t="shared" si="382"/>
        <v>13.8842</v>
      </c>
      <c r="BB155" s="441">
        <f t="shared" si="382"/>
        <v>7.5</v>
      </c>
      <c r="BC155" s="520">
        <f t="shared" si="382"/>
        <v>6.3841999999999999</v>
      </c>
    </row>
    <row r="156" spans="1:55" s="234" customFormat="1" ht="12.75" customHeight="1" x14ac:dyDescent="0.2">
      <c r="A156" s="236">
        <v>33</v>
      </c>
      <c r="B156" s="237">
        <v>3425</v>
      </c>
      <c r="C156" s="237">
        <v>600078451</v>
      </c>
      <c r="D156" s="237">
        <v>72742551</v>
      </c>
      <c r="E156" s="238" t="s">
        <v>73</v>
      </c>
      <c r="F156" s="237">
        <v>3113</v>
      </c>
      <c r="G156" s="238" t="s">
        <v>314</v>
      </c>
      <c r="H156" s="273" t="s">
        <v>277</v>
      </c>
      <c r="I156" s="472">
        <v>13182142</v>
      </c>
      <c r="J156" s="472">
        <v>9489059</v>
      </c>
      <c r="K156" s="472">
        <v>19200</v>
      </c>
      <c r="L156" s="472">
        <v>3213792</v>
      </c>
      <c r="M156" s="472">
        <v>189781</v>
      </c>
      <c r="N156" s="472">
        <v>270310</v>
      </c>
      <c r="O156" s="473">
        <v>17.378099999999996</v>
      </c>
      <c r="P156" s="474">
        <v>12.823600000000001</v>
      </c>
      <c r="Q156" s="483">
        <v>4.5545</v>
      </c>
      <c r="R156" s="485">
        <f t="shared" ref="R156:R159" si="383">Y156*-1</f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>SUM(R156:W156)</f>
        <v>0</v>
      </c>
      <c r="Y156" s="475">
        <v>0</v>
      </c>
      <c r="Z156" s="475">
        <v>0</v>
      </c>
      <c r="AA156" s="475">
        <v>0</v>
      </c>
      <c r="AB156" s="475">
        <f t="shared" ref="AB156:AB159" si="384">SUM(Y156:AA156)</f>
        <v>0</v>
      </c>
      <c r="AC156" s="475">
        <f t="shared" ref="AC156:AC159" si="385">X156+AB156</f>
        <v>0</v>
      </c>
      <c r="AD156" s="70">
        <f t="shared" ref="AD156:AD159" si="386">ROUND((X156+Y156+Z156)*33.8%,0)</f>
        <v>0</v>
      </c>
      <c r="AE156" s="70">
        <f t="shared" ref="AE156:AE159" si="387">ROUND(X156*2%,0)</f>
        <v>0</v>
      </c>
      <c r="AF156" s="475">
        <v>0</v>
      </c>
      <c r="AG156" s="475">
        <v>0</v>
      </c>
      <c r="AH156" s="475">
        <f t="shared" ref="AH156:AH159" si="388">SUM(AF156:AG156)</f>
        <v>0</v>
      </c>
      <c r="AI156" s="475">
        <f t="shared" ref="AI156:AI159" si="389">AC156+AD156+AE156+AH156</f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>AJ156+AL156+AM156+AO156+AP156</f>
        <v>0</v>
      </c>
      <c r="AS156" s="476">
        <f>AK156+AN156+AQ156</f>
        <v>0</v>
      </c>
      <c r="AT156" s="478">
        <f t="shared" ref="AT156:AT159" si="390">SUM(AR156:AS156)</f>
        <v>0</v>
      </c>
      <c r="AU156" s="484">
        <f t="shared" si="351"/>
        <v>13182142</v>
      </c>
      <c r="AV156" s="475">
        <f t="shared" si="352"/>
        <v>9489059</v>
      </c>
      <c r="AW156" s="475">
        <f t="shared" ref="AW156:AW159" si="391">K156+AB156</f>
        <v>19200</v>
      </c>
      <c r="AX156" s="475">
        <f t="shared" ref="AX156:AY159" si="392">L156+AD156</f>
        <v>3213792</v>
      </c>
      <c r="AY156" s="475">
        <f t="shared" si="392"/>
        <v>189781</v>
      </c>
      <c r="AZ156" s="475">
        <f t="shared" si="353"/>
        <v>270310</v>
      </c>
      <c r="BA156" s="476">
        <f t="shared" si="354"/>
        <v>17.378099999999996</v>
      </c>
      <c r="BB156" s="476">
        <f t="shared" ref="BB156:BC159" si="393">P156+AR156</f>
        <v>12.823600000000001</v>
      </c>
      <c r="BC156" s="478">
        <f t="shared" si="393"/>
        <v>4.5545</v>
      </c>
    </row>
    <row r="157" spans="1:55" s="234" customFormat="1" x14ac:dyDescent="0.2">
      <c r="A157" s="236">
        <v>33</v>
      </c>
      <c r="B157" s="237">
        <v>3425</v>
      </c>
      <c r="C157" s="237">
        <v>600078451</v>
      </c>
      <c r="D157" s="237">
        <v>72742551</v>
      </c>
      <c r="E157" s="238" t="s">
        <v>73</v>
      </c>
      <c r="F157" s="237">
        <v>3113</v>
      </c>
      <c r="G157" s="238" t="s">
        <v>312</v>
      </c>
      <c r="H157" s="273" t="s">
        <v>278</v>
      </c>
      <c r="I157" s="472">
        <v>1793686</v>
      </c>
      <c r="J157" s="472">
        <v>1320461</v>
      </c>
      <c r="K157" s="472">
        <v>0</v>
      </c>
      <c r="L157" s="472">
        <v>446316</v>
      </c>
      <c r="M157" s="472">
        <v>26409</v>
      </c>
      <c r="N157" s="472">
        <v>500</v>
      </c>
      <c r="O157" s="473">
        <v>3.77</v>
      </c>
      <c r="P157" s="474">
        <v>3.77</v>
      </c>
      <c r="Q157" s="483">
        <v>0</v>
      </c>
      <c r="R157" s="485">
        <f t="shared" si="383"/>
        <v>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>SUM(R157:W157)</f>
        <v>0</v>
      </c>
      <c r="Y157" s="475">
        <v>0</v>
      </c>
      <c r="Z157" s="475">
        <v>0</v>
      </c>
      <c r="AA157" s="475">
        <v>0</v>
      </c>
      <c r="AB157" s="475">
        <f t="shared" si="384"/>
        <v>0</v>
      </c>
      <c r="AC157" s="475">
        <f t="shared" si="385"/>
        <v>0</v>
      </c>
      <c r="AD157" s="70">
        <f t="shared" si="386"/>
        <v>0</v>
      </c>
      <c r="AE157" s="70">
        <f t="shared" si="387"/>
        <v>0</v>
      </c>
      <c r="AF157" s="475">
        <v>0</v>
      </c>
      <c r="AG157" s="475">
        <v>0</v>
      </c>
      <c r="AH157" s="475">
        <f t="shared" si="388"/>
        <v>0</v>
      </c>
      <c r="AI157" s="475">
        <f t="shared" si="389"/>
        <v>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0</v>
      </c>
      <c r="AT157" s="478">
        <f t="shared" si="390"/>
        <v>0</v>
      </c>
      <c r="AU157" s="484">
        <f t="shared" si="351"/>
        <v>1793686</v>
      </c>
      <c r="AV157" s="475">
        <f t="shared" si="352"/>
        <v>1320461</v>
      </c>
      <c r="AW157" s="475">
        <f t="shared" si="391"/>
        <v>0</v>
      </c>
      <c r="AX157" s="475">
        <f t="shared" si="392"/>
        <v>446316</v>
      </c>
      <c r="AY157" s="475">
        <f t="shared" si="392"/>
        <v>26409</v>
      </c>
      <c r="AZ157" s="475">
        <f t="shared" si="353"/>
        <v>500</v>
      </c>
      <c r="BA157" s="476">
        <f t="shared" si="354"/>
        <v>3.77</v>
      </c>
      <c r="BB157" s="476">
        <f t="shared" si="393"/>
        <v>3.77</v>
      </c>
      <c r="BC157" s="478">
        <f t="shared" si="393"/>
        <v>0</v>
      </c>
    </row>
    <row r="158" spans="1:55" s="234" customFormat="1" ht="12.75" customHeight="1" x14ac:dyDescent="0.2">
      <c r="A158" s="236">
        <v>33</v>
      </c>
      <c r="B158" s="237">
        <v>3425</v>
      </c>
      <c r="C158" s="237">
        <v>600078451</v>
      </c>
      <c r="D158" s="237">
        <v>72742551</v>
      </c>
      <c r="E158" s="238" t="s">
        <v>73</v>
      </c>
      <c r="F158" s="237">
        <v>3143</v>
      </c>
      <c r="G158" s="238" t="s">
        <v>626</v>
      </c>
      <c r="H158" s="273" t="s">
        <v>277</v>
      </c>
      <c r="I158" s="472">
        <v>1124271</v>
      </c>
      <c r="J158" s="472">
        <v>827887</v>
      </c>
      <c r="K158" s="472">
        <v>0</v>
      </c>
      <c r="L158" s="472">
        <v>279826</v>
      </c>
      <c r="M158" s="472">
        <v>16558</v>
      </c>
      <c r="N158" s="472">
        <v>0</v>
      </c>
      <c r="O158" s="473">
        <v>1.77</v>
      </c>
      <c r="P158" s="474">
        <v>1.77</v>
      </c>
      <c r="Q158" s="483">
        <v>0</v>
      </c>
      <c r="R158" s="485">
        <f t="shared" si="383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>SUM(R158:W158)</f>
        <v>0</v>
      </c>
      <c r="Y158" s="475">
        <v>0</v>
      </c>
      <c r="Z158" s="475">
        <v>0</v>
      </c>
      <c r="AA158" s="475">
        <v>0</v>
      </c>
      <c r="AB158" s="475">
        <f t="shared" si="384"/>
        <v>0</v>
      </c>
      <c r="AC158" s="475">
        <f t="shared" si="385"/>
        <v>0</v>
      </c>
      <c r="AD158" s="70">
        <f t="shared" si="386"/>
        <v>0</v>
      </c>
      <c r="AE158" s="70">
        <f t="shared" si="387"/>
        <v>0</v>
      </c>
      <c r="AF158" s="475">
        <v>0</v>
      </c>
      <c r="AG158" s="475">
        <v>0</v>
      </c>
      <c r="AH158" s="475">
        <f t="shared" si="388"/>
        <v>0</v>
      </c>
      <c r="AI158" s="475">
        <f t="shared" si="389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0"/>
        <v>0</v>
      </c>
      <c r="AU158" s="484">
        <f t="shared" si="351"/>
        <v>1124271</v>
      </c>
      <c r="AV158" s="475">
        <f t="shared" si="352"/>
        <v>827887</v>
      </c>
      <c r="AW158" s="475">
        <f t="shared" si="391"/>
        <v>0</v>
      </c>
      <c r="AX158" s="475">
        <f t="shared" si="392"/>
        <v>279826</v>
      </c>
      <c r="AY158" s="475">
        <f t="shared" si="392"/>
        <v>16558</v>
      </c>
      <c r="AZ158" s="475">
        <f t="shared" si="353"/>
        <v>0</v>
      </c>
      <c r="BA158" s="476">
        <f t="shared" si="354"/>
        <v>1.77</v>
      </c>
      <c r="BB158" s="476">
        <f t="shared" si="393"/>
        <v>1.77</v>
      </c>
      <c r="BC158" s="478">
        <f t="shared" si="393"/>
        <v>0</v>
      </c>
    </row>
    <row r="159" spans="1:55" s="234" customFormat="1" ht="12.75" customHeight="1" x14ac:dyDescent="0.2">
      <c r="A159" s="236">
        <v>33</v>
      </c>
      <c r="B159" s="237">
        <v>3425</v>
      </c>
      <c r="C159" s="237">
        <v>600078451</v>
      </c>
      <c r="D159" s="237">
        <v>72742551</v>
      </c>
      <c r="E159" s="238" t="s">
        <v>73</v>
      </c>
      <c r="F159" s="237">
        <v>3143</v>
      </c>
      <c r="G159" s="238" t="s">
        <v>627</v>
      </c>
      <c r="H159" s="273" t="s">
        <v>278</v>
      </c>
      <c r="I159" s="472">
        <v>40068</v>
      </c>
      <c r="J159" s="472">
        <v>28334</v>
      </c>
      <c r="K159" s="472">
        <v>0</v>
      </c>
      <c r="L159" s="472">
        <v>9577</v>
      </c>
      <c r="M159" s="472">
        <v>567</v>
      </c>
      <c r="N159" s="472">
        <v>1590</v>
      </c>
      <c r="O159" s="473">
        <v>0.11</v>
      </c>
      <c r="P159" s="474">
        <v>0</v>
      </c>
      <c r="Q159" s="483">
        <v>0.11</v>
      </c>
      <c r="R159" s="485">
        <f t="shared" si="383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>SUM(R159:W159)</f>
        <v>0</v>
      </c>
      <c r="Y159" s="475">
        <v>0</v>
      </c>
      <c r="Z159" s="475">
        <v>0</v>
      </c>
      <c r="AA159" s="475">
        <v>0</v>
      </c>
      <c r="AB159" s="475">
        <f t="shared" si="384"/>
        <v>0</v>
      </c>
      <c r="AC159" s="475">
        <f t="shared" si="385"/>
        <v>0</v>
      </c>
      <c r="AD159" s="70">
        <f t="shared" si="386"/>
        <v>0</v>
      </c>
      <c r="AE159" s="70">
        <f t="shared" si="387"/>
        <v>0</v>
      </c>
      <c r="AF159" s="475">
        <v>0</v>
      </c>
      <c r="AG159" s="475">
        <v>0</v>
      </c>
      <c r="AH159" s="475">
        <f t="shared" si="388"/>
        <v>0</v>
      </c>
      <c r="AI159" s="475">
        <f t="shared" si="389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390"/>
        <v>0</v>
      </c>
      <c r="AU159" s="484">
        <f t="shared" si="351"/>
        <v>40068</v>
      </c>
      <c r="AV159" s="475">
        <f t="shared" si="352"/>
        <v>28334</v>
      </c>
      <c r="AW159" s="475">
        <f t="shared" si="391"/>
        <v>0</v>
      </c>
      <c r="AX159" s="475">
        <f t="shared" si="392"/>
        <v>9577</v>
      </c>
      <c r="AY159" s="475">
        <f t="shared" si="392"/>
        <v>567</v>
      </c>
      <c r="AZ159" s="475">
        <f t="shared" si="353"/>
        <v>1590</v>
      </c>
      <c r="BA159" s="476">
        <f t="shared" si="354"/>
        <v>0.11</v>
      </c>
      <c r="BB159" s="476">
        <f t="shared" si="393"/>
        <v>0</v>
      </c>
      <c r="BC159" s="478">
        <f t="shared" si="393"/>
        <v>0.11</v>
      </c>
    </row>
    <row r="160" spans="1:55" s="234" customFormat="1" ht="12.75" customHeight="1" x14ac:dyDescent="0.2">
      <c r="A160" s="160">
        <v>33</v>
      </c>
      <c r="B160" s="14">
        <v>3425</v>
      </c>
      <c r="C160" s="159">
        <v>600078451</v>
      </c>
      <c r="D160" s="159">
        <v>72742551</v>
      </c>
      <c r="E160" s="235" t="s">
        <v>74</v>
      </c>
      <c r="F160" s="14"/>
      <c r="G160" s="235"/>
      <c r="H160" s="272"/>
      <c r="I160" s="479">
        <v>16140167</v>
      </c>
      <c r="J160" s="479">
        <v>11665741</v>
      </c>
      <c r="K160" s="479">
        <v>19200</v>
      </c>
      <c r="L160" s="479">
        <v>3949511</v>
      </c>
      <c r="M160" s="479">
        <v>233315</v>
      </c>
      <c r="N160" s="479">
        <v>272400</v>
      </c>
      <c r="O160" s="441">
        <v>23.028099999999995</v>
      </c>
      <c r="P160" s="441">
        <v>18.363600000000002</v>
      </c>
      <c r="Q160" s="441">
        <v>4.6645000000000003</v>
      </c>
      <c r="R160" s="687">
        <f t="shared" ref="R160:BC160" si="394">SUM(R156:R159)</f>
        <v>0</v>
      </c>
      <c r="S160" s="685">
        <f t="shared" si="394"/>
        <v>0</v>
      </c>
      <c r="T160" s="685">
        <f t="shared" si="394"/>
        <v>0</v>
      </c>
      <c r="U160" s="685">
        <f t="shared" si="394"/>
        <v>0</v>
      </c>
      <c r="V160" s="685">
        <f t="shared" si="394"/>
        <v>0</v>
      </c>
      <c r="W160" s="685">
        <f t="shared" si="394"/>
        <v>0</v>
      </c>
      <c r="X160" s="685">
        <f t="shared" si="394"/>
        <v>0</v>
      </c>
      <c r="Y160" s="685">
        <f t="shared" si="394"/>
        <v>0</v>
      </c>
      <c r="Z160" s="685">
        <f t="shared" si="394"/>
        <v>0</v>
      </c>
      <c r="AA160" s="685">
        <f t="shared" si="394"/>
        <v>0</v>
      </c>
      <c r="AB160" s="685">
        <f t="shared" si="394"/>
        <v>0</v>
      </c>
      <c r="AC160" s="685">
        <f t="shared" si="394"/>
        <v>0</v>
      </c>
      <c r="AD160" s="685">
        <f t="shared" si="394"/>
        <v>0</v>
      </c>
      <c r="AE160" s="685">
        <f t="shared" si="394"/>
        <v>0</v>
      </c>
      <c r="AF160" s="685">
        <f t="shared" si="394"/>
        <v>0</v>
      </c>
      <c r="AG160" s="685">
        <f t="shared" si="394"/>
        <v>0</v>
      </c>
      <c r="AH160" s="685">
        <f t="shared" si="394"/>
        <v>0</v>
      </c>
      <c r="AI160" s="685">
        <f t="shared" si="394"/>
        <v>0</v>
      </c>
      <c r="AJ160" s="686">
        <f t="shared" si="394"/>
        <v>0</v>
      </c>
      <c r="AK160" s="686">
        <f t="shared" si="394"/>
        <v>0</v>
      </c>
      <c r="AL160" s="686">
        <f t="shared" si="394"/>
        <v>0</v>
      </c>
      <c r="AM160" s="686">
        <f t="shared" si="394"/>
        <v>0</v>
      </c>
      <c r="AN160" s="686">
        <f t="shared" si="394"/>
        <v>0</v>
      </c>
      <c r="AO160" s="686">
        <f t="shared" si="394"/>
        <v>0</v>
      </c>
      <c r="AP160" s="686">
        <f t="shared" si="394"/>
        <v>0</v>
      </c>
      <c r="AQ160" s="686">
        <f t="shared" si="394"/>
        <v>0</v>
      </c>
      <c r="AR160" s="686">
        <f t="shared" si="394"/>
        <v>0</v>
      </c>
      <c r="AS160" s="686">
        <f t="shared" si="394"/>
        <v>0</v>
      </c>
      <c r="AT160" s="688">
        <f t="shared" si="394"/>
        <v>0</v>
      </c>
      <c r="AU160" s="683">
        <f t="shared" si="394"/>
        <v>16140167</v>
      </c>
      <c r="AV160" s="479">
        <f t="shared" si="394"/>
        <v>11665741</v>
      </c>
      <c r="AW160" s="479">
        <f t="shared" si="394"/>
        <v>19200</v>
      </c>
      <c r="AX160" s="479">
        <f t="shared" si="394"/>
        <v>3949511</v>
      </c>
      <c r="AY160" s="479">
        <f t="shared" si="394"/>
        <v>233315</v>
      </c>
      <c r="AZ160" s="479">
        <f t="shared" si="394"/>
        <v>272400</v>
      </c>
      <c r="BA160" s="441">
        <f t="shared" si="394"/>
        <v>23.028099999999995</v>
      </c>
      <c r="BB160" s="441">
        <f t="shared" si="394"/>
        <v>18.363600000000002</v>
      </c>
      <c r="BC160" s="520">
        <f t="shared" si="394"/>
        <v>4.6645000000000003</v>
      </c>
    </row>
    <row r="161" spans="1:55" s="234" customFormat="1" ht="12.75" customHeight="1" x14ac:dyDescent="0.2">
      <c r="A161" s="236">
        <v>34</v>
      </c>
      <c r="B161" s="237">
        <v>3418</v>
      </c>
      <c r="C161" s="237">
        <v>600078001</v>
      </c>
      <c r="D161" s="237">
        <v>70695954</v>
      </c>
      <c r="E161" s="238" t="s">
        <v>75</v>
      </c>
      <c r="F161" s="237">
        <v>3111</v>
      </c>
      <c r="G161" s="238" t="s">
        <v>311</v>
      </c>
      <c r="H161" s="273" t="s">
        <v>277</v>
      </c>
      <c r="I161" s="472">
        <v>1948652</v>
      </c>
      <c r="J161" s="472">
        <v>1419125</v>
      </c>
      <c r="K161" s="472">
        <v>10000</v>
      </c>
      <c r="L161" s="472">
        <v>483044</v>
      </c>
      <c r="M161" s="472">
        <v>28383</v>
      </c>
      <c r="N161" s="472">
        <v>8100</v>
      </c>
      <c r="O161" s="473">
        <v>3.0752000000000002</v>
      </c>
      <c r="P161" s="474">
        <v>2.2902999999999998</v>
      </c>
      <c r="Q161" s="483">
        <v>0.78490000000000038</v>
      </c>
      <c r="R161" s="485">
        <f t="shared" ref="R161:R163" si="395">Y161*-1</f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>SUM(R161:W161)</f>
        <v>0</v>
      </c>
      <c r="Y161" s="475">
        <v>0</v>
      </c>
      <c r="Z161" s="475">
        <v>0</v>
      </c>
      <c r="AA161" s="475">
        <v>0</v>
      </c>
      <c r="AB161" s="475">
        <f t="shared" ref="AB161:AB163" si="396">SUM(Y161:AA161)</f>
        <v>0</v>
      </c>
      <c r="AC161" s="475">
        <f t="shared" ref="AC161:AC163" si="397">X161+AB161</f>
        <v>0</v>
      </c>
      <c r="AD161" s="70">
        <f t="shared" ref="AD161:AD163" si="398">ROUND((X161+Y161+Z161)*33.8%,0)</f>
        <v>0</v>
      </c>
      <c r="AE161" s="70">
        <f t="shared" ref="AE161:AE163" si="399">ROUND(X161*2%,0)</f>
        <v>0</v>
      </c>
      <c r="AF161" s="475">
        <v>0</v>
      </c>
      <c r="AG161" s="475">
        <v>0</v>
      </c>
      <c r="AH161" s="475">
        <f t="shared" ref="AH161:AH163" si="400">SUM(AF161:AG161)</f>
        <v>0</v>
      </c>
      <c r="AI161" s="475">
        <f t="shared" ref="AI161:AI163" si="401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ref="AT161:AT163" si="402">SUM(AR161:AS161)</f>
        <v>0</v>
      </c>
      <c r="AU161" s="484">
        <f t="shared" si="351"/>
        <v>1948652</v>
      </c>
      <c r="AV161" s="475">
        <f t="shared" si="352"/>
        <v>1419125</v>
      </c>
      <c r="AW161" s="475">
        <f t="shared" ref="AW161:AW163" si="403">K161+AB161</f>
        <v>10000</v>
      </c>
      <c r="AX161" s="475">
        <f t="shared" ref="AX161:AY163" si="404">L161+AD161</f>
        <v>483044</v>
      </c>
      <c r="AY161" s="475">
        <f t="shared" si="404"/>
        <v>28383</v>
      </c>
      <c r="AZ161" s="475">
        <f t="shared" si="353"/>
        <v>8100</v>
      </c>
      <c r="BA161" s="476">
        <f t="shared" si="354"/>
        <v>3.0752000000000002</v>
      </c>
      <c r="BB161" s="476">
        <f t="shared" ref="BB161:BC163" si="405">P161+AR161</f>
        <v>2.2902999999999998</v>
      </c>
      <c r="BC161" s="478">
        <f t="shared" si="405"/>
        <v>0.78490000000000038</v>
      </c>
    </row>
    <row r="162" spans="1:55" s="234" customFormat="1" ht="12.75" customHeight="1" x14ac:dyDescent="0.2">
      <c r="A162" s="236">
        <v>34</v>
      </c>
      <c r="B162" s="237">
        <v>3418</v>
      </c>
      <c r="C162" s="237">
        <v>600078001</v>
      </c>
      <c r="D162" s="237">
        <v>70695954</v>
      </c>
      <c r="E162" s="238" t="s">
        <v>75</v>
      </c>
      <c r="F162" s="237">
        <v>3111</v>
      </c>
      <c r="G162" s="238" t="s">
        <v>312</v>
      </c>
      <c r="H162" s="273" t="s">
        <v>278</v>
      </c>
      <c r="I162" s="472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395"/>
        <v>0</v>
      </c>
      <c r="S162" s="475">
        <v>0</v>
      </c>
      <c r="T162" s="475">
        <v>0</v>
      </c>
      <c r="U162" s="475">
        <v>0</v>
      </c>
      <c r="V162" s="475">
        <v>0</v>
      </c>
      <c r="W162" s="475">
        <v>0</v>
      </c>
      <c r="X162" s="475">
        <f>SUM(R162:W162)</f>
        <v>0</v>
      </c>
      <c r="Y162" s="475">
        <v>0</v>
      </c>
      <c r="Z162" s="475">
        <v>0</v>
      </c>
      <c r="AA162" s="475">
        <v>0</v>
      </c>
      <c r="AB162" s="475">
        <f t="shared" si="396"/>
        <v>0</v>
      </c>
      <c r="AC162" s="475">
        <f t="shared" si="397"/>
        <v>0</v>
      </c>
      <c r="AD162" s="70">
        <f t="shared" si="398"/>
        <v>0</v>
      </c>
      <c r="AE162" s="70">
        <f t="shared" si="399"/>
        <v>0</v>
      </c>
      <c r="AF162" s="475">
        <v>0</v>
      </c>
      <c r="AG162" s="475">
        <v>0</v>
      </c>
      <c r="AH162" s="475">
        <f t="shared" si="400"/>
        <v>0</v>
      </c>
      <c r="AI162" s="475">
        <f t="shared" si="401"/>
        <v>0</v>
      </c>
      <c r="AJ162" s="476">
        <v>0</v>
      </c>
      <c r="AK162" s="476">
        <v>0</v>
      </c>
      <c r="AL162" s="476">
        <v>0</v>
      </c>
      <c r="AM162" s="476">
        <v>0</v>
      </c>
      <c r="AN162" s="476">
        <v>0</v>
      </c>
      <c r="AO162" s="476">
        <v>0</v>
      </c>
      <c r="AP162" s="476">
        <v>0</v>
      </c>
      <c r="AQ162" s="476">
        <v>0</v>
      </c>
      <c r="AR162" s="476">
        <f>AJ162+AL162+AM162+AO162+AP162</f>
        <v>0</v>
      </c>
      <c r="AS162" s="476">
        <f>AK162+AN162+AQ162</f>
        <v>0</v>
      </c>
      <c r="AT162" s="478">
        <f t="shared" si="402"/>
        <v>0</v>
      </c>
      <c r="AU162" s="484">
        <f t="shared" si="351"/>
        <v>0</v>
      </c>
      <c r="AV162" s="475">
        <f t="shared" si="352"/>
        <v>0</v>
      </c>
      <c r="AW162" s="475">
        <f t="shared" si="403"/>
        <v>0</v>
      </c>
      <c r="AX162" s="475">
        <f t="shared" si="404"/>
        <v>0</v>
      </c>
      <c r="AY162" s="475">
        <f t="shared" si="404"/>
        <v>0</v>
      </c>
      <c r="AZ162" s="475">
        <f t="shared" si="353"/>
        <v>0</v>
      </c>
      <c r="BA162" s="476">
        <f t="shared" si="354"/>
        <v>0</v>
      </c>
      <c r="BB162" s="476">
        <f t="shared" si="405"/>
        <v>0</v>
      </c>
      <c r="BC162" s="478">
        <f t="shared" si="405"/>
        <v>0</v>
      </c>
    </row>
    <row r="163" spans="1:55" s="234" customFormat="1" ht="12.75" customHeight="1" x14ac:dyDescent="0.2">
      <c r="A163" s="236">
        <v>34</v>
      </c>
      <c r="B163" s="237">
        <v>3418</v>
      </c>
      <c r="C163" s="237">
        <v>600078001</v>
      </c>
      <c r="D163" s="237">
        <v>70695954</v>
      </c>
      <c r="E163" s="238" t="s">
        <v>75</v>
      </c>
      <c r="F163" s="237">
        <v>3141</v>
      </c>
      <c r="G163" s="238" t="s">
        <v>315</v>
      </c>
      <c r="H163" s="273" t="s">
        <v>278</v>
      </c>
      <c r="I163" s="472">
        <v>321429</v>
      </c>
      <c r="J163" s="472">
        <v>176808</v>
      </c>
      <c r="K163" s="472">
        <v>60000</v>
      </c>
      <c r="L163" s="472">
        <v>80041</v>
      </c>
      <c r="M163" s="472">
        <v>3536</v>
      </c>
      <c r="N163" s="472">
        <v>1044</v>
      </c>
      <c r="O163" s="473">
        <v>0.75</v>
      </c>
      <c r="P163" s="474">
        <v>0</v>
      </c>
      <c r="Q163" s="483">
        <v>0.75</v>
      </c>
      <c r="R163" s="485">
        <f t="shared" si="395"/>
        <v>0</v>
      </c>
      <c r="S163" s="475">
        <v>0</v>
      </c>
      <c r="T163" s="475">
        <v>6941</v>
      </c>
      <c r="U163" s="475">
        <v>0</v>
      </c>
      <c r="V163" s="475">
        <v>0</v>
      </c>
      <c r="W163" s="475">
        <v>0</v>
      </c>
      <c r="X163" s="475">
        <f>SUM(R163:W163)</f>
        <v>6941</v>
      </c>
      <c r="Y163" s="475">
        <v>0</v>
      </c>
      <c r="Z163" s="475">
        <v>0</v>
      </c>
      <c r="AA163" s="475">
        <v>0</v>
      </c>
      <c r="AB163" s="475">
        <f t="shared" si="396"/>
        <v>0</v>
      </c>
      <c r="AC163" s="475">
        <f t="shared" si="397"/>
        <v>6941</v>
      </c>
      <c r="AD163" s="70">
        <f t="shared" si="398"/>
        <v>2346</v>
      </c>
      <c r="AE163" s="70">
        <f t="shared" si="399"/>
        <v>139</v>
      </c>
      <c r="AF163" s="475">
        <v>0</v>
      </c>
      <c r="AG163" s="475">
        <v>0</v>
      </c>
      <c r="AH163" s="475">
        <f t="shared" si="400"/>
        <v>0</v>
      </c>
      <c r="AI163" s="475">
        <f t="shared" si="401"/>
        <v>9426</v>
      </c>
      <c r="AJ163" s="476">
        <v>0</v>
      </c>
      <c r="AK163" s="476">
        <v>0</v>
      </c>
      <c r="AL163" s="476">
        <v>0</v>
      </c>
      <c r="AM163" s="476">
        <v>0</v>
      </c>
      <c r="AN163" s="476">
        <v>0.02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0.02</v>
      </c>
      <c r="AT163" s="478">
        <f t="shared" si="402"/>
        <v>0.02</v>
      </c>
      <c r="AU163" s="484">
        <f t="shared" si="351"/>
        <v>330855</v>
      </c>
      <c r="AV163" s="475">
        <f t="shared" si="352"/>
        <v>183749</v>
      </c>
      <c r="AW163" s="475">
        <f t="shared" si="403"/>
        <v>60000</v>
      </c>
      <c r="AX163" s="475">
        <f t="shared" si="404"/>
        <v>82387</v>
      </c>
      <c r="AY163" s="475">
        <f t="shared" si="404"/>
        <v>3675</v>
      </c>
      <c r="AZ163" s="475">
        <f t="shared" si="353"/>
        <v>1044</v>
      </c>
      <c r="BA163" s="476">
        <f t="shared" si="354"/>
        <v>0.77</v>
      </c>
      <c r="BB163" s="476">
        <f t="shared" si="405"/>
        <v>0</v>
      </c>
      <c r="BC163" s="478">
        <f t="shared" si="405"/>
        <v>0.77</v>
      </c>
    </row>
    <row r="164" spans="1:55" s="234" customFormat="1" ht="12.75" customHeight="1" x14ac:dyDescent="0.2">
      <c r="A164" s="160">
        <v>34</v>
      </c>
      <c r="B164" s="14">
        <v>3418</v>
      </c>
      <c r="C164" s="159">
        <v>600078001</v>
      </c>
      <c r="D164" s="159">
        <v>70695954</v>
      </c>
      <c r="E164" s="235" t="s">
        <v>76</v>
      </c>
      <c r="F164" s="14"/>
      <c r="G164" s="235"/>
      <c r="H164" s="272"/>
      <c r="I164" s="479">
        <v>2270081</v>
      </c>
      <c r="J164" s="479">
        <v>1595933</v>
      </c>
      <c r="K164" s="479">
        <v>70000</v>
      </c>
      <c r="L164" s="479">
        <v>563085</v>
      </c>
      <c r="M164" s="479">
        <v>31919</v>
      </c>
      <c r="N164" s="479">
        <v>9144</v>
      </c>
      <c r="O164" s="441">
        <v>3.8252000000000002</v>
      </c>
      <c r="P164" s="441">
        <v>2.2902999999999998</v>
      </c>
      <c r="Q164" s="441">
        <v>1.5349000000000004</v>
      </c>
      <c r="R164" s="687">
        <f t="shared" ref="R164:BC164" si="406">SUM(R161:R163)</f>
        <v>0</v>
      </c>
      <c r="S164" s="685">
        <f t="shared" si="406"/>
        <v>0</v>
      </c>
      <c r="T164" s="685">
        <f t="shared" si="406"/>
        <v>6941</v>
      </c>
      <c r="U164" s="685">
        <f t="shared" si="406"/>
        <v>0</v>
      </c>
      <c r="V164" s="685">
        <f t="shared" si="406"/>
        <v>0</v>
      </c>
      <c r="W164" s="685">
        <f t="shared" si="406"/>
        <v>0</v>
      </c>
      <c r="X164" s="685">
        <f t="shared" si="406"/>
        <v>6941</v>
      </c>
      <c r="Y164" s="685">
        <f t="shared" si="406"/>
        <v>0</v>
      </c>
      <c r="Z164" s="685">
        <f t="shared" si="406"/>
        <v>0</v>
      </c>
      <c r="AA164" s="685">
        <f t="shared" si="406"/>
        <v>0</v>
      </c>
      <c r="AB164" s="685">
        <f t="shared" si="406"/>
        <v>0</v>
      </c>
      <c r="AC164" s="685">
        <f t="shared" si="406"/>
        <v>6941</v>
      </c>
      <c r="AD164" s="685">
        <f t="shared" si="406"/>
        <v>2346</v>
      </c>
      <c r="AE164" s="685">
        <f t="shared" si="406"/>
        <v>139</v>
      </c>
      <c r="AF164" s="685">
        <f t="shared" si="406"/>
        <v>0</v>
      </c>
      <c r="AG164" s="685">
        <f t="shared" si="406"/>
        <v>0</v>
      </c>
      <c r="AH164" s="685">
        <f t="shared" si="406"/>
        <v>0</v>
      </c>
      <c r="AI164" s="685">
        <f t="shared" si="406"/>
        <v>9426</v>
      </c>
      <c r="AJ164" s="686">
        <f t="shared" si="406"/>
        <v>0</v>
      </c>
      <c r="AK164" s="686">
        <f t="shared" si="406"/>
        <v>0</v>
      </c>
      <c r="AL164" s="686">
        <f t="shared" si="406"/>
        <v>0</v>
      </c>
      <c r="AM164" s="686">
        <f t="shared" si="406"/>
        <v>0</v>
      </c>
      <c r="AN164" s="686">
        <f t="shared" si="406"/>
        <v>0.02</v>
      </c>
      <c r="AO164" s="686">
        <f t="shared" si="406"/>
        <v>0</v>
      </c>
      <c r="AP164" s="686">
        <f t="shared" si="406"/>
        <v>0</v>
      </c>
      <c r="AQ164" s="686">
        <f t="shared" si="406"/>
        <v>0</v>
      </c>
      <c r="AR164" s="686">
        <f t="shared" si="406"/>
        <v>0</v>
      </c>
      <c r="AS164" s="686">
        <f t="shared" si="406"/>
        <v>0.02</v>
      </c>
      <c r="AT164" s="688">
        <f t="shared" si="406"/>
        <v>0.02</v>
      </c>
      <c r="AU164" s="683">
        <f t="shared" si="406"/>
        <v>2279507</v>
      </c>
      <c r="AV164" s="479">
        <f t="shared" si="406"/>
        <v>1602874</v>
      </c>
      <c r="AW164" s="479">
        <f t="shared" si="406"/>
        <v>70000</v>
      </c>
      <c r="AX164" s="479">
        <f t="shared" si="406"/>
        <v>565431</v>
      </c>
      <c r="AY164" s="479">
        <f t="shared" si="406"/>
        <v>32058</v>
      </c>
      <c r="AZ164" s="479">
        <f t="shared" si="406"/>
        <v>9144</v>
      </c>
      <c r="BA164" s="441">
        <f t="shared" si="406"/>
        <v>3.8452000000000002</v>
      </c>
      <c r="BB164" s="441">
        <f t="shared" si="406"/>
        <v>2.2902999999999998</v>
      </c>
      <c r="BC164" s="520">
        <f t="shared" si="406"/>
        <v>1.5549000000000004</v>
      </c>
    </row>
    <row r="165" spans="1:55" s="234" customFormat="1" ht="12.75" customHeight="1" x14ac:dyDescent="0.2">
      <c r="A165" s="236">
        <v>35</v>
      </c>
      <c r="B165" s="237">
        <v>3428</v>
      </c>
      <c r="C165" s="237">
        <v>600078311</v>
      </c>
      <c r="D165" s="237">
        <v>72742518</v>
      </c>
      <c r="E165" s="238" t="s">
        <v>77</v>
      </c>
      <c r="F165" s="237">
        <v>3111</v>
      </c>
      <c r="G165" s="238" t="s">
        <v>311</v>
      </c>
      <c r="H165" s="273" t="s">
        <v>277</v>
      </c>
      <c r="I165" s="472">
        <v>2960404</v>
      </c>
      <c r="J165" s="472">
        <v>2166387</v>
      </c>
      <c r="K165" s="472">
        <v>0</v>
      </c>
      <c r="L165" s="472">
        <v>732239</v>
      </c>
      <c r="M165" s="472">
        <v>43328</v>
      </c>
      <c r="N165" s="472">
        <v>18450</v>
      </c>
      <c r="O165" s="473">
        <v>4.9218000000000002</v>
      </c>
      <c r="P165" s="474">
        <v>4</v>
      </c>
      <c r="Q165" s="483">
        <v>0.92179999999999995</v>
      </c>
      <c r="R165" s="485">
        <f t="shared" ref="R165:R170" si="407">Y165*-1</f>
        <v>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 t="shared" ref="X165:X170" si="408">SUM(R165:W165)</f>
        <v>0</v>
      </c>
      <c r="Y165" s="475">
        <v>0</v>
      </c>
      <c r="Z165" s="475">
        <v>0</v>
      </c>
      <c r="AA165" s="475">
        <v>0</v>
      </c>
      <c r="AB165" s="475">
        <f t="shared" ref="AB165:AB170" si="409">SUM(Y165:AA165)</f>
        <v>0</v>
      </c>
      <c r="AC165" s="475">
        <f t="shared" ref="AC165:AC170" si="410">X165+AB165</f>
        <v>0</v>
      </c>
      <c r="AD165" s="70">
        <f t="shared" ref="AD165:AD170" si="411">ROUND((X165+Y165+Z165)*33.8%,0)</f>
        <v>0</v>
      </c>
      <c r="AE165" s="70">
        <f t="shared" ref="AE165:AE170" si="412">ROUND(X165*2%,0)</f>
        <v>0</v>
      </c>
      <c r="AF165" s="475">
        <v>0</v>
      </c>
      <c r="AG165" s="475">
        <v>0</v>
      </c>
      <c r="AH165" s="475">
        <f t="shared" ref="AH165:AH170" si="413">SUM(AF165:AG165)</f>
        <v>0</v>
      </c>
      <c r="AI165" s="475">
        <f t="shared" ref="AI165:AI170" si="414">AC165+AD165+AE165+AH165</f>
        <v>0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476">
        <f t="shared" ref="AR165:AR170" si="415">AJ165+AL165+AM165+AO165+AP165</f>
        <v>0</v>
      </c>
      <c r="AS165" s="476">
        <f t="shared" ref="AS165:AS170" si="416">AK165+AN165+AQ165</f>
        <v>0</v>
      </c>
      <c r="AT165" s="478">
        <f t="shared" ref="AT165:AT170" si="417">SUM(AR165:AS165)</f>
        <v>0</v>
      </c>
      <c r="AU165" s="484">
        <f t="shared" si="351"/>
        <v>2960404</v>
      </c>
      <c r="AV165" s="475">
        <f t="shared" si="352"/>
        <v>2166387</v>
      </c>
      <c r="AW165" s="475">
        <f t="shared" ref="AW165:AW170" si="418">K165+AB165</f>
        <v>0</v>
      </c>
      <c r="AX165" s="475">
        <f t="shared" ref="AX165:AY170" si="419">L165+AD165</f>
        <v>732239</v>
      </c>
      <c r="AY165" s="475">
        <f t="shared" si="419"/>
        <v>43328</v>
      </c>
      <c r="AZ165" s="475">
        <f t="shared" si="353"/>
        <v>18450</v>
      </c>
      <c r="BA165" s="476">
        <f t="shared" si="354"/>
        <v>4.9218000000000002</v>
      </c>
      <c r="BB165" s="476">
        <f t="shared" ref="BB165:BC170" si="420">P165+AR165</f>
        <v>4</v>
      </c>
      <c r="BC165" s="478">
        <f t="shared" si="420"/>
        <v>0.92179999999999995</v>
      </c>
    </row>
    <row r="166" spans="1:55" s="234" customFormat="1" ht="12.75" customHeight="1" x14ac:dyDescent="0.2">
      <c r="A166" s="236">
        <v>35</v>
      </c>
      <c r="B166" s="237">
        <v>3428</v>
      </c>
      <c r="C166" s="237">
        <v>600078311</v>
      </c>
      <c r="D166" s="237">
        <v>72742518</v>
      </c>
      <c r="E166" s="238" t="s">
        <v>77</v>
      </c>
      <c r="F166" s="237">
        <v>3117</v>
      </c>
      <c r="G166" s="238" t="s">
        <v>314</v>
      </c>
      <c r="H166" s="273" t="s">
        <v>277</v>
      </c>
      <c r="I166" s="472">
        <v>3705243</v>
      </c>
      <c r="J166" s="472">
        <v>2680607</v>
      </c>
      <c r="K166" s="472">
        <v>0</v>
      </c>
      <c r="L166" s="472">
        <v>906045</v>
      </c>
      <c r="M166" s="472">
        <v>53611</v>
      </c>
      <c r="N166" s="472">
        <v>64980</v>
      </c>
      <c r="O166" s="473">
        <v>5.1837</v>
      </c>
      <c r="P166" s="474">
        <v>3.5634999999999999</v>
      </c>
      <c r="Q166" s="483">
        <v>1.6201999999999999</v>
      </c>
      <c r="R166" s="485">
        <f t="shared" si="407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408"/>
        <v>0</v>
      </c>
      <c r="Y166" s="475">
        <v>0</v>
      </c>
      <c r="Z166" s="475">
        <v>0</v>
      </c>
      <c r="AA166" s="475">
        <v>0</v>
      </c>
      <c r="AB166" s="475">
        <f t="shared" si="409"/>
        <v>0</v>
      </c>
      <c r="AC166" s="475">
        <f t="shared" si="410"/>
        <v>0</v>
      </c>
      <c r="AD166" s="70">
        <f t="shared" si="411"/>
        <v>0</v>
      </c>
      <c r="AE166" s="70">
        <f t="shared" si="412"/>
        <v>0</v>
      </c>
      <c r="AF166" s="475">
        <v>0</v>
      </c>
      <c r="AG166" s="475">
        <v>0</v>
      </c>
      <c r="AH166" s="475">
        <f t="shared" si="413"/>
        <v>0</v>
      </c>
      <c r="AI166" s="475">
        <f t="shared" si="414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476">
        <f t="shared" si="415"/>
        <v>0</v>
      </c>
      <c r="AS166" s="476">
        <f t="shared" si="416"/>
        <v>0</v>
      </c>
      <c r="AT166" s="478">
        <f t="shared" si="417"/>
        <v>0</v>
      </c>
      <c r="AU166" s="484">
        <f t="shared" si="351"/>
        <v>3705243</v>
      </c>
      <c r="AV166" s="475">
        <f t="shared" si="352"/>
        <v>2680607</v>
      </c>
      <c r="AW166" s="475">
        <f t="shared" si="418"/>
        <v>0</v>
      </c>
      <c r="AX166" s="475">
        <f t="shared" si="419"/>
        <v>906045</v>
      </c>
      <c r="AY166" s="475">
        <f t="shared" si="419"/>
        <v>53611</v>
      </c>
      <c r="AZ166" s="475">
        <f t="shared" si="353"/>
        <v>64980</v>
      </c>
      <c r="BA166" s="476">
        <f t="shared" si="354"/>
        <v>5.1837</v>
      </c>
      <c r="BB166" s="476">
        <f t="shared" si="420"/>
        <v>3.5634999999999999</v>
      </c>
      <c r="BC166" s="478">
        <f t="shared" si="420"/>
        <v>1.6201999999999999</v>
      </c>
    </row>
    <row r="167" spans="1:55" s="234" customFormat="1" x14ac:dyDescent="0.2">
      <c r="A167" s="236">
        <v>35</v>
      </c>
      <c r="B167" s="237">
        <v>3428</v>
      </c>
      <c r="C167" s="237">
        <v>600078311</v>
      </c>
      <c r="D167" s="237">
        <v>72742518</v>
      </c>
      <c r="E167" s="238" t="s">
        <v>77</v>
      </c>
      <c r="F167" s="237">
        <v>3117</v>
      </c>
      <c r="G167" s="238" t="s">
        <v>312</v>
      </c>
      <c r="H167" s="273" t="s">
        <v>278</v>
      </c>
      <c r="I167" s="472">
        <v>1373804</v>
      </c>
      <c r="J167" s="472">
        <v>1006704</v>
      </c>
      <c r="K167" s="472">
        <v>0</v>
      </c>
      <c r="L167" s="472">
        <v>340266</v>
      </c>
      <c r="M167" s="472">
        <v>20134</v>
      </c>
      <c r="N167" s="472">
        <v>6700</v>
      </c>
      <c r="O167" s="473">
        <v>2.88</v>
      </c>
      <c r="P167" s="474">
        <v>2.88</v>
      </c>
      <c r="Q167" s="483">
        <v>0</v>
      </c>
      <c r="R167" s="485">
        <f t="shared" si="407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408"/>
        <v>0</v>
      </c>
      <c r="Y167" s="475">
        <v>0</v>
      </c>
      <c r="Z167" s="475">
        <v>0</v>
      </c>
      <c r="AA167" s="475">
        <v>0</v>
      </c>
      <c r="AB167" s="475">
        <f t="shared" si="409"/>
        <v>0</v>
      </c>
      <c r="AC167" s="475">
        <f t="shared" si="410"/>
        <v>0</v>
      </c>
      <c r="AD167" s="70">
        <f t="shared" si="411"/>
        <v>0</v>
      </c>
      <c r="AE167" s="70">
        <f t="shared" si="412"/>
        <v>0</v>
      </c>
      <c r="AF167" s="475">
        <v>0</v>
      </c>
      <c r="AG167" s="475">
        <v>0</v>
      </c>
      <c r="AH167" s="475">
        <f t="shared" si="413"/>
        <v>0</v>
      </c>
      <c r="AI167" s="475">
        <f t="shared" si="414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476">
        <f t="shared" si="415"/>
        <v>0</v>
      </c>
      <c r="AS167" s="476">
        <f t="shared" si="416"/>
        <v>0</v>
      </c>
      <c r="AT167" s="478">
        <f t="shared" si="417"/>
        <v>0</v>
      </c>
      <c r="AU167" s="484">
        <f t="shared" si="351"/>
        <v>1373804</v>
      </c>
      <c r="AV167" s="475">
        <f t="shared" si="352"/>
        <v>1006704</v>
      </c>
      <c r="AW167" s="475">
        <f t="shared" si="418"/>
        <v>0</v>
      </c>
      <c r="AX167" s="475">
        <f t="shared" si="419"/>
        <v>340266</v>
      </c>
      <c r="AY167" s="475">
        <f t="shared" si="419"/>
        <v>20134</v>
      </c>
      <c r="AZ167" s="475">
        <f t="shared" si="353"/>
        <v>6700</v>
      </c>
      <c r="BA167" s="476">
        <f t="shared" si="354"/>
        <v>2.88</v>
      </c>
      <c r="BB167" s="476">
        <f t="shared" si="420"/>
        <v>2.88</v>
      </c>
      <c r="BC167" s="478">
        <f t="shared" si="420"/>
        <v>0</v>
      </c>
    </row>
    <row r="168" spans="1:55" s="234" customFormat="1" ht="12.75" customHeight="1" x14ac:dyDescent="0.2">
      <c r="A168" s="236">
        <v>35</v>
      </c>
      <c r="B168" s="237">
        <v>3428</v>
      </c>
      <c r="C168" s="237">
        <v>600078311</v>
      </c>
      <c r="D168" s="237">
        <v>72742518</v>
      </c>
      <c r="E168" s="238" t="s">
        <v>77</v>
      </c>
      <c r="F168" s="237">
        <v>3141</v>
      </c>
      <c r="G168" s="238" t="s">
        <v>315</v>
      </c>
      <c r="H168" s="273" t="s">
        <v>278</v>
      </c>
      <c r="I168" s="472">
        <v>1030377</v>
      </c>
      <c r="J168" s="472">
        <v>676550</v>
      </c>
      <c r="K168" s="472">
        <v>80000</v>
      </c>
      <c r="L168" s="472">
        <v>255714</v>
      </c>
      <c r="M168" s="472">
        <v>13531</v>
      </c>
      <c r="N168" s="472">
        <v>4582</v>
      </c>
      <c r="O168" s="473">
        <v>2.0699999999999998</v>
      </c>
      <c r="P168" s="474">
        <v>0</v>
      </c>
      <c r="Q168" s="483">
        <v>2.0699999999999998</v>
      </c>
      <c r="R168" s="485">
        <f t="shared" si="407"/>
        <v>0</v>
      </c>
      <c r="S168" s="475">
        <v>0</v>
      </c>
      <c r="T168" s="475">
        <v>2684</v>
      </c>
      <c r="U168" s="475">
        <v>0</v>
      </c>
      <c r="V168" s="475">
        <v>0</v>
      </c>
      <c r="W168" s="475">
        <v>0</v>
      </c>
      <c r="X168" s="475">
        <f t="shared" si="408"/>
        <v>2684</v>
      </c>
      <c r="Y168" s="475">
        <v>0</v>
      </c>
      <c r="Z168" s="475">
        <v>0</v>
      </c>
      <c r="AA168" s="475">
        <v>0</v>
      </c>
      <c r="AB168" s="475">
        <f t="shared" si="409"/>
        <v>0</v>
      </c>
      <c r="AC168" s="475">
        <f t="shared" si="410"/>
        <v>2684</v>
      </c>
      <c r="AD168" s="70">
        <f t="shared" si="411"/>
        <v>907</v>
      </c>
      <c r="AE168" s="70">
        <f t="shared" si="412"/>
        <v>54</v>
      </c>
      <c r="AF168" s="475">
        <v>0</v>
      </c>
      <c r="AG168" s="475">
        <v>0</v>
      </c>
      <c r="AH168" s="475">
        <f t="shared" si="413"/>
        <v>0</v>
      </c>
      <c r="AI168" s="475">
        <f t="shared" si="414"/>
        <v>3645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0.01</v>
      </c>
      <c r="AO168" s="476">
        <v>0</v>
      </c>
      <c r="AP168" s="476">
        <v>0</v>
      </c>
      <c r="AQ168" s="476">
        <v>0</v>
      </c>
      <c r="AR168" s="476">
        <f t="shared" si="415"/>
        <v>0</v>
      </c>
      <c r="AS168" s="476">
        <f t="shared" si="416"/>
        <v>0.01</v>
      </c>
      <c r="AT168" s="478">
        <f t="shared" si="417"/>
        <v>0.01</v>
      </c>
      <c r="AU168" s="484">
        <f t="shared" si="351"/>
        <v>1034022</v>
      </c>
      <c r="AV168" s="475">
        <f t="shared" si="352"/>
        <v>679234</v>
      </c>
      <c r="AW168" s="475">
        <f t="shared" si="418"/>
        <v>80000</v>
      </c>
      <c r="AX168" s="475">
        <f t="shared" si="419"/>
        <v>256621</v>
      </c>
      <c r="AY168" s="475">
        <f t="shared" si="419"/>
        <v>13585</v>
      </c>
      <c r="AZ168" s="475">
        <f t="shared" si="353"/>
        <v>4582</v>
      </c>
      <c r="BA168" s="476">
        <f t="shared" si="354"/>
        <v>2.0799999999999996</v>
      </c>
      <c r="BB168" s="476">
        <f t="shared" si="420"/>
        <v>0</v>
      </c>
      <c r="BC168" s="478">
        <f t="shared" si="420"/>
        <v>2.0799999999999996</v>
      </c>
    </row>
    <row r="169" spans="1:55" s="234" customFormat="1" ht="12.75" customHeight="1" x14ac:dyDescent="0.2">
      <c r="A169" s="236">
        <v>35</v>
      </c>
      <c r="B169" s="237">
        <v>3428</v>
      </c>
      <c r="C169" s="237">
        <v>600078311</v>
      </c>
      <c r="D169" s="237">
        <v>72742518</v>
      </c>
      <c r="E169" s="238" t="s">
        <v>77</v>
      </c>
      <c r="F169" s="237">
        <v>3143</v>
      </c>
      <c r="G169" s="238" t="s">
        <v>626</v>
      </c>
      <c r="H169" s="273" t="s">
        <v>277</v>
      </c>
      <c r="I169" s="472">
        <v>772751</v>
      </c>
      <c r="J169" s="472">
        <v>569036</v>
      </c>
      <c r="K169" s="472">
        <v>0</v>
      </c>
      <c r="L169" s="472">
        <v>192334</v>
      </c>
      <c r="M169" s="472">
        <v>11381</v>
      </c>
      <c r="N169" s="472">
        <v>0</v>
      </c>
      <c r="O169" s="473">
        <v>1.1607000000000001</v>
      </c>
      <c r="P169" s="474">
        <v>1.1607000000000001</v>
      </c>
      <c r="Q169" s="483">
        <v>0</v>
      </c>
      <c r="R169" s="485">
        <f t="shared" si="407"/>
        <v>0</v>
      </c>
      <c r="S169" s="475">
        <v>0</v>
      </c>
      <c r="T169" s="475">
        <v>0</v>
      </c>
      <c r="U169" s="475">
        <v>0</v>
      </c>
      <c r="V169" s="475">
        <v>0</v>
      </c>
      <c r="W169" s="475">
        <v>0</v>
      </c>
      <c r="X169" s="475">
        <f t="shared" si="408"/>
        <v>0</v>
      </c>
      <c r="Y169" s="475">
        <v>0</v>
      </c>
      <c r="Z169" s="475">
        <v>0</v>
      </c>
      <c r="AA169" s="475">
        <v>0</v>
      </c>
      <c r="AB169" s="475">
        <f t="shared" si="409"/>
        <v>0</v>
      </c>
      <c r="AC169" s="475">
        <f t="shared" si="410"/>
        <v>0</v>
      </c>
      <c r="AD169" s="70">
        <f t="shared" si="411"/>
        <v>0</v>
      </c>
      <c r="AE169" s="70">
        <f t="shared" si="412"/>
        <v>0</v>
      </c>
      <c r="AF169" s="475">
        <v>0</v>
      </c>
      <c r="AG169" s="475">
        <v>0</v>
      </c>
      <c r="AH169" s="475">
        <f t="shared" si="413"/>
        <v>0</v>
      </c>
      <c r="AI169" s="475">
        <f t="shared" si="414"/>
        <v>0</v>
      </c>
      <c r="AJ169" s="476">
        <v>0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476">
        <f t="shared" si="415"/>
        <v>0</v>
      </c>
      <c r="AS169" s="476">
        <f t="shared" si="416"/>
        <v>0</v>
      </c>
      <c r="AT169" s="478">
        <f t="shared" si="417"/>
        <v>0</v>
      </c>
      <c r="AU169" s="484">
        <f t="shared" si="351"/>
        <v>772751</v>
      </c>
      <c r="AV169" s="475">
        <f t="shared" si="352"/>
        <v>569036</v>
      </c>
      <c r="AW169" s="475">
        <f t="shared" si="418"/>
        <v>0</v>
      </c>
      <c r="AX169" s="475">
        <f t="shared" si="419"/>
        <v>192334</v>
      </c>
      <c r="AY169" s="475">
        <f t="shared" si="419"/>
        <v>11381</v>
      </c>
      <c r="AZ169" s="475">
        <f t="shared" si="353"/>
        <v>0</v>
      </c>
      <c r="BA169" s="476">
        <f t="shared" si="354"/>
        <v>1.1607000000000001</v>
      </c>
      <c r="BB169" s="476">
        <f t="shared" si="420"/>
        <v>1.1607000000000001</v>
      </c>
      <c r="BC169" s="478">
        <f t="shared" si="420"/>
        <v>0</v>
      </c>
    </row>
    <row r="170" spans="1:55" s="234" customFormat="1" ht="12.75" customHeight="1" x14ac:dyDescent="0.2">
      <c r="A170" s="236">
        <v>35</v>
      </c>
      <c r="B170" s="237">
        <v>3428</v>
      </c>
      <c r="C170" s="237">
        <v>600078311</v>
      </c>
      <c r="D170" s="237">
        <v>72742518</v>
      </c>
      <c r="E170" s="238" t="s">
        <v>77</v>
      </c>
      <c r="F170" s="237">
        <v>3143</v>
      </c>
      <c r="G170" s="238" t="s">
        <v>627</v>
      </c>
      <c r="H170" s="273" t="s">
        <v>278</v>
      </c>
      <c r="I170" s="472">
        <v>22680</v>
      </c>
      <c r="J170" s="472">
        <v>16038</v>
      </c>
      <c r="K170" s="472">
        <v>0</v>
      </c>
      <c r="L170" s="472">
        <v>5421</v>
      </c>
      <c r="M170" s="472">
        <v>321</v>
      </c>
      <c r="N170" s="472">
        <v>900</v>
      </c>
      <c r="O170" s="473">
        <v>0.06</v>
      </c>
      <c r="P170" s="474">
        <v>0</v>
      </c>
      <c r="Q170" s="483">
        <v>0.06</v>
      </c>
      <c r="R170" s="485">
        <f t="shared" si="407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408"/>
        <v>0</v>
      </c>
      <c r="Y170" s="475">
        <v>0</v>
      </c>
      <c r="Z170" s="475">
        <v>0</v>
      </c>
      <c r="AA170" s="475">
        <v>0</v>
      </c>
      <c r="AB170" s="475">
        <f t="shared" si="409"/>
        <v>0</v>
      </c>
      <c r="AC170" s="475">
        <f t="shared" si="410"/>
        <v>0</v>
      </c>
      <c r="AD170" s="70">
        <f t="shared" si="411"/>
        <v>0</v>
      </c>
      <c r="AE170" s="70">
        <f t="shared" si="412"/>
        <v>0</v>
      </c>
      <c r="AF170" s="475">
        <v>0</v>
      </c>
      <c r="AG170" s="475">
        <v>0</v>
      </c>
      <c r="AH170" s="475">
        <f t="shared" si="413"/>
        <v>0</v>
      </c>
      <c r="AI170" s="475">
        <f t="shared" si="414"/>
        <v>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 t="shared" si="415"/>
        <v>0</v>
      </c>
      <c r="AS170" s="476">
        <f t="shared" si="416"/>
        <v>0</v>
      </c>
      <c r="AT170" s="478">
        <f t="shared" si="417"/>
        <v>0</v>
      </c>
      <c r="AU170" s="484">
        <f t="shared" si="351"/>
        <v>22680</v>
      </c>
      <c r="AV170" s="475">
        <f t="shared" si="352"/>
        <v>16038</v>
      </c>
      <c r="AW170" s="475">
        <f t="shared" si="418"/>
        <v>0</v>
      </c>
      <c r="AX170" s="475">
        <f t="shared" si="419"/>
        <v>5421</v>
      </c>
      <c r="AY170" s="475">
        <f t="shared" si="419"/>
        <v>321</v>
      </c>
      <c r="AZ170" s="475">
        <f t="shared" si="353"/>
        <v>900</v>
      </c>
      <c r="BA170" s="476">
        <f t="shared" si="354"/>
        <v>0.06</v>
      </c>
      <c r="BB170" s="476">
        <f t="shared" si="420"/>
        <v>0</v>
      </c>
      <c r="BC170" s="478">
        <f t="shared" si="420"/>
        <v>0.06</v>
      </c>
    </row>
    <row r="171" spans="1:55" s="234" customFormat="1" ht="12.75" customHeight="1" x14ac:dyDescent="0.2">
      <c r="A171" s="160">
        <v>35</v>
      </c>
      <c r="B171" s="14">
        <v>3428</v>
      </c>
      <c r="C171" s="159">
        <v>600078311</v>
      </c>
      <c r="D171" s="159">
        <v>72742518</v>
      </c>
      <c r="E171" s="235" t="s">
        <v>78</v>
      </c>
      <c r="F171" s="14"/>
      <c r="G171" s="235"/>
      <c r="H171" s="272"/>
      <c r="I171" s="479">
        <v>9865259</v>
      </c>
      <c r="J171" s="479">
        <v>7115322</v>
      </c>
      <c r="K171" s="479">
        <v>80000</v>
      </c>
      <c r="L171" s="479">
        <v>2432019</v>
      </c>
      <c r="M171" s="479">
        <v>142306</v>
      </c>
      <c r="N171" s="479">
        <v>95612</v>
      </c>
      <c r="O171" s="441">
        <v>16.276199999999996</v>
      </c>
      <c r="P171" s="441">
        <v>11.604200000000001</v>
      </c>
      <c r="Q171" s="441">
        <v>4.6719999999999997</v>
      </c>
      <c r="R171" s="687">
        <f t="shared" ref="R171:BC171" si="421">SUM(R165:R170)</f>
        <v>0</v>
      </c>
      <c r="S171" s="685">
        <f t="shared" si="421"/>
        <v>0</v>
      </c>
      <c r="T171" s="685">
        <f t="shared" si="421"/>
        <v>2684</v>
      </c>
      <c r="U171" s="685">
        <f t="shared" si="421"/>
        <v>0</v>
      </c>
      <c r="V171" s="685">
        <f t="shared" si="421"/>
        <v>0</v>
      </c>
      <c r="W171" s="685">
        <f t="shared" si="421"/>
        <v>0</v>
      </c>
      <c r="X171" s="685">
        <f t="shared" si="421"/>
        <v>2684</v>
      </c>
      <c r="Y171" s="685">
        <f t="shared" si="421"/>
        <v>0</v>
      </c>
      <c r="Z171" s="685">
        <f t="shared" si="421"/>
        <v>0</v>
      </c>
      <c r="AA171" s="685">
        <f t="shared" si="421"/>
        <v>0</v>
      </c>
      <c r="AB171" s="685">
        <f t="shared" si="421"/>
        <v>0</v>
      </c>
      <c r="AC171" s="685">
        <f t="shared" si="421"/>
        <v>2684</v>
      </c>
      <c r="AD171" s="685">
        <f t="shared" si="421"/>
        <v>907</v>
      </c>
      <c r="AE171" s="685">
        <f t="shared" si="421"/>
        <v>54</v>
      </c>
      <c r="AF171" s="685">
        <f t="shared" si="421"/>
        <v>0</v>
      </c>
      <c r="AG171" s="685">
        <f t="shared" si="421"/>
        <v>0</v>
      </c>
      <c r="AH171" s="685">
        <f t="shared" si="421"/>
        <v>0</v>
      </c>
      <c r="AI171" s="685">
        <f t="shared" si="421"/>
        <v>3645</v>
      </c>
      <c r="AJ171" s="686">
        <f t="shared" si="421"/>
        <v>0</v>
      </c>
      <c r="AK171" s="686">
        <f t="shared" si="421"/>
        <v>0</v>
      </c>
      <c r="AL171" s="686">
        <f t="shared" si="421"/>
        <v>0</v>
      </c>
      <c r="AM171" s="686">
        <f t="shared" si="421"/>
        <v>0</v>
      </c>
      <c r="AN171" s="686">
        <f t="shared" si="421"/>
        <v>0.01</v>
      </c>
      <c r="AO171" s="686">
        <f t="shared" si="421"/>
        <v>0</v>
      </c>
      <c r="AP171" s="686">
        <f t="shared" si="421"/>
        <v>0</v>
      </c>
      <c r="AQ171" s="686">
        <f t="shared" si="421"/>
        <v>0</v>
      </c>
      <c r="AR171" s="686">
        <f t="shared" si="421"/>
        <v>0</v>
      </c>
      <c r="AS171" s="686">
        <f t="shared" si="421"/>
        <v>0.01</v>
      </c>
      <c r="AT171" s="688">
        <f t="shared" si="421"/>
        <v>0.01</v>
      </c>
      <c r="AU171" s="683">
        <f t="shared" si="421"/>
        <v>9868904</v>
      </c>
      <c r="AV171" s="479">
        <f t="shared" si="421"/>
        <v>7118006</v>
      </c>
      <c r="AW171" s="479">
        <f t="shared" si="421"/>
        <v>80000</v>
      </c>
      <c r="AX171" s="479">
        <f t="shared" si="421"/>
        <v>2432926</v>
      </c>
      <c r="AY171" s="479">
        <f t="shared" si="421"/>
        <v>142360</v>
      </c>
      <c r="AZ171" s="479">
        <f t="shared" si="421"/>
        <v>95612</v>
      </c>
      <c r="BA171" s="441">
        <f t="shared" si="421"/>
        <v>16.286199999999997</v>
      </c>
      <c r="BB171" s="441">
        <f t="shared" si="421"/>
        <v>11.604200000000001</v>
      </c>
      <c r="BC171" s="520">
        <f t="shared" si="421"/>
        <v>4.6819999999999995</v>
      </c>
    </row>
    <row r="172" spans="1:55" s="234" customFormat="1" ht="12.75" customHeight="1" x14ac:dyDescent="0.2">
      <c r="A172" s="236">
        <v>36</v>
      </c>
      <c r="B172" s="237">
        <v>3433</v>
      </c>
      <c r="C172" s="237">
        <v>600078043</v>
      </c>
      <c r="D172" s="237">
        <v>70695130</v>
      </c>
      <c r="E172" s="238" t="s">
        <v>79</v>
      </c>
      <c r="F172" s="237">
        <v>3111</v>
      </c>
      <c r="G172" s="238" t="s">
        <v>311</v>
      </c>
      <c r="H172" s="273" t="s">
        <v>277</v>
      </c>
      <c r="I172" s="472">
        <v>3487899</v>
      </c>
      <c r="J172" s="472">
        <v>2554491</v>
      </c>
      <c r="K172" s="472">
        <v>0</v>
      </c>
      <c r="L172" s="472">
        <v>863418</v>
      </c>
      <c r="M172" s="472">
        <v>51090</v>
      </c>
      <c r="N172" s="472">
        <v>18900</v>
      </c>
      <c r="O172" s="473">
        <v>5.4897999999999998</v>
      </c>
      <c r="P172" s="474">
        <v>4</v>
      </c>
      <c r="Q172" s="483">
        <v>1.4897999999999998</v>
      </c>
      <c r="R172" s="485">
        <f t="shared" ref="R172:R173" si="422">Y172*-1</f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>SUM(R172:W172)</f>
        <v>0</v>
      </c>
      <c r="Y172" s="475">
        <v>0</v>
      </c>
      <c r="Z172" s="475">
        <v>0</v>
      </c>
      <c r="AA172" s="475">
        <v>0</v>
      </c>
      <c r="AB172" s="475">
        <f t="shared" ref="AB172:AB173" si="423">SUM(Y172:AA172)</f>
        <v>0</v>
      </c>
      <c r="AC172" s="475">
        <f t="shared" ref="AC172:AC173" si="424">X172+AB172</f>
        <v>0</v>
      </c>
      <c r="AD172" s="70">
        <f t="shared" ref="AD172:AD173" si="425">ROUND((X172+Y172+Z172)*33.8%,0)</f>
        <v>0</v>
      </c>
      <c r="AE172" s="70">
        <f t="shared" ref="AE172:AE173" si="426">ROUND(X172*2%,0)</f>
        <v>0</v>
      </c>
      <c r="AF172" s="475">
        <v>0</v>
      </c>
      <c r="AG172" s="475">
        <v>0</v>
      </c>
      <c r="AH172" s="475">
        <f t="shared" ref="AH172:AH173" si="427">SUM(AF172:AG172)</f>
        <v>0</v>
      </c>
      <c r="AI172" s="475">
        <f t="shared" ref="AI172:AI173" si="428">AC172+AD172+AE172+AH172</f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476">
        <f>AJ172+AL172+AM172+AO172+AP172</f>
        <v>0</v>
      </c>
      <c r="AS172" s="476">
        <f>AK172+AN172+AQ172</f>
        <v>0</v>
      </c>
      <c r="AT172" s="478">
        <f t="shared" ref="AT172:AT173" si="429">SUM(AR172:AS172)</f>
        <v>0</v>
      </c>
      <c r="AU172" s="484">
        <f t="shared" si="351"/>
        <v>3487899</v>
      </c>
      <c r="AV172" s="475">
        <f t="shared" si="352"/>
        <v>2554491</v>
      </c>
      <c r="AW172" s="475">
        <f t="shared" ref="AW172:AW173" si="430">K172+AB172</f>
        <v>0</v>
      </c>
      <c r="AX172" s="475">
        <f>L172+AD172</f>
        <v>863418</v>
      </c>
      <c r="AY172" s="475">
        <f>M172+AE172</f>
        <v>51090</v>
      </c>
      <c r="AZ172" s="475">
        <f t="shared" si="353"/>
        <v>18900</v>
      </c>
      <c r="BA172" s="476">
        <f t="shared" si="354"/>
        <v>5.4897999999999998</v>
      </c>
      <c r="BB172" s="476">
        <f>P172+AR172</f>
        <v>4</v>
      </c>
      <c r="BC172" s="478">
        <f>Q172+AS172</f>
        <v>1.4897999999999998</v>
      </c>
    </row>
    <row r="173" spans="1:55" s="234" customFormat="1" ht="12.75" customHeight="1" x14ac:dyDescent="0.2">
      <c r="A173" s="236">
        <v>36</v>
      </c>
      <c r="B173" s="237">
        <v>3433</v>
      </c>
      <c r="C173" s="237">
        <v>600078043</v>
      </c>
      <c r="D173" s="237">
        <v>70695130</v>
      </c>
      <c r="E173" s="238" t="s">
        <v>79</v>
      </c>
      <c r="F173" s="237">
        <v>3141</v>
      </c>
      <c r="G173" s="238" t="s">
        <v>315</v>
      </c>
      <c r="H173" s="273" t="s">
        <v>278</v>
      </c>
      <c r="I173" s="472">
        <v>609714</v>
      </c>
      <c r="J173" s="472">
        <v>447185</v>
      </c>
      <c r="K173" s="472">
        <v>0</v>
      </c>
      <c r="L173" s="472">
        <v>151149</v>
      </c>
      <c r="M173" s="472">
        <v>8944</v>
      </c>
      <c r="N173" s="472">
        <v>2436</v>
      </c>
      <c r="O173" s="473">
        <v>1.41</v>
      </c>
      <c r="P173" s="474">
        <v>0</v>
      </c>
      <c r="Q173" s="483">
        <v>1.41</v>
      </c>
      <c r="R173" s="485">
        <f t="shared" si="422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>SUM(R173:W173)</f>
        <v>0</v>
      </c>
      <c r="Y173" s="475">
        <v>0</v>
      </c>
      <c r="Z173" s="475">
        <v>0</v>
      </c>
      <c r="AA173" s="475">
        <v>0</v>
      </c>
      <c r="AB173" s="475">
        <f t="shared" si="423"/>
        <v>0</v>
      </c>
      <c r="AC173" s="475">
        <f t="shared" si="424"/>
        <v>0</v>
      </c>
      <c r="AD173" s="70">
        <f t="shared" si="425"/>
        <v>0</v>
      </c>
      <c r="AE173" s="70">
        <f t="shared" si="426"/>
        <v>0</v>
      </c>
      <c r="AF173" s="475">
        <v>0</v>
      </c>
      <c r="AG173" s="475">
        <v>0</v>
      </c>
      <c r="AH173" s="475">
        <f t="shared" si="427"/>
        <v>0</v>
      </c>
      <c r="AI173" s="475">
        <f t="shared" si="428"/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>AJ173+AL173+AM173+AO173+AP173</f>
        <v>0</v>
      </c>
      <c r="AS173" s="476">
        <f>AK173+AN173+AQ173</f>
        <v>0</v>
      </c>
      <c r="AT173" s="478">
        <f t="shared" si="429"/>
        <v>0</v>
      </c>
      <c r="AU173" s="484">
        <f t="shared" si="351"/>
        <v>609714</v>
      </c>
      <c r="AV173" s="475">
        <f t="shared" si="352"/>
        <v>447185</v>
      </c>
      <c r="AW173" s="475">
        <f t="shared" si="430"/>
        <v>0</v>
      </c>
      <c r="AX173" s="475">
        <f>L173+AD173</f>
        <v>151149</v>
      </c>
      <c r="AY173" s="475">
        <f>M173+AE173</f>
        <v>8944</v>
      </c>
      <c r="AZ173" s="475">
        <f t="shared" si="353"/>
        <v>2436</v>
      </c>
      <c r="BA173" s="476">
        <f t="shared" si="354"/>
        <v>1.41</v>
      </c>
      <c r="BB173" s="476">
        <f>P173+AR173</f>
        <v>0</v>
      </c>
      <c r="BC173" s="478">
        <f>Q173+AS173</f>
        <v>1.41</v>
      </c>
    </row>
    <row r="174" spans="1:55" s="234" customFormat="1" ht="12.75" customHeight="1" x14ac:dyDescent="0.2">
      <c r="A174" s="160">
        <v>36</v>
      </c>
      <c r="B174" s="14">
        <v>3433</v>
      </c>
      <c r="C174" s="159">
        <v>600078043</v>
      </c>
      <c r="D174" s="159">
        <v>70695130</v>
      </c>
      <c r="E174" s="235" t="s">
        <v>80</v>
      </c>
      <c r="F174" s="14"/>
      <c r="G174" s="235"/>
      <c r="H174" s="272"/>
      <c r="I174" s="479">
        <v>4097613</v>
      </c>
      <c r="J174" s="479">
        <v>3001676</v>
      </c>
      <c r="K174" s="479">
        <v>0</v>
      </c>
      <c r="L174" s="479">
        <v>1014567</v>
      </c>
      <c r="M174" s="479">
        <v>60034</v>
      </c>
      <c r="N174" s="479">
        <v>21336</v>
      </c>
      <c r="O174" s="441">
        <v>6.8997999999999999</v>
      </c>
      <c r="P174" s="441">
        <v>4</v>
      </c>
      <c r="Q174" s="441">
        <v>2.8997999999999999</v>
      </c>
      <c r="R174" s="687">
        <f t="shared" ref="R174:BC174" si="431">SUM(R172:R173)</f>
        <v>0</v>
      </c>
      <c r="S174" s="685">
        <f t="shared" si="431"/>
        <v>0</v>
      </c>
      <c r="T174" s="685">
        <f t="shared" si="431"/>
        <v>0</v>
      </c>
      <c r="U174" s="685">
        <f t="shared" si="431"/>
        <v>0</v>
      </c>
      <c r="V174" s="685">
        <f t="shared" si="431"/>
        <v>0</v>
      </c>
      <c r="W174" s="685">
        <f t="shared" si="431"/>
        <v>0</v>
      </c>
      <c r="X174" s="685">
        <f t="shared" si="431"/>
        <v>0</v>
      </c>
      <c r="Y174" s="685">
        <f t="shared" si="431"/>
        <v>0</v>
      </c>
      <c r="Z174" s="685">
        <f t="shared" si="431"/>
        <v>0</v>
      </c>
      <c r="AA174" s="685">
        <f t="shared" si="431"/>
        <v>0</v>
      </c>
      <c r="AB174" s="685">
        <f t="shared" si="431"/>
        <v>0</v>
      </c>
      <c r="AC174" s="685">
        <f t="shared" si="431"/>
        <v>0</v>
      </c>
      <c r="AD174" s="685">
        <f t="shared" si="431"/>
        <v>0</v>
      </c>
      <c r="AE174" s="685">
        <f t="shared" si="431"/>
        <v>0</v>
      </c>
      <c r="AF174" s="685">
        <f t="shared" si="431"/>
        <v>0</v>
      </c>
      <c r="AG174" s="685">
        <f t="shared" si="431"/>
        <v>0</v>
      </c>
      <c r="AH174" s="685">
        <f t="shared" si="431"/>
        <v>0</v>
      </c>
      <c r="AI174" s="685">
        <f t="shared" si="431"/>
        <v>0</v>
      </c>
      <c r="AJ174" s="686">
        <f t="shared" si="431"/>
        <v>0</v>
      </c>
      <c r="AK174" s="686">
        <f t="shared" si="431"/>
        <v>0</v>
      </c>
      <c r="AL174" s="686">
        <f t="shared" si="431"/>
        <v>0</v>
      </c>
      <c r="AM174" s="686">
        <f t="shared" si="431"/>
        <v>0</v>
      </c>
      <c r="AN174" s="686">
        <f t="shared" si="431"/>
        <v>0</v>
      </c>
      <c r="AO174" s="686">
        <f t="shared" si="431"/>
        <v>0</v>
      </c>
      <c r="AP174" s="686">
        <f t="shared" si="431"/>
        <v>0</v>
      </c>
      <c r="AQ174" s="686">
        <f t="shared" si="431"/>
        <v>0</v>
      </c>
      <c r="AR174" s="686">
        <f t="shared" si="431"/>
        <v>0</v>
      </c>
      <c r="AS174" s="686">
        <f t="shared" si="431"/>
        <v>0</v>
      </c>
      <c r="AT174" s="688">
        <f t="shared" si="431"/>
        <v>0</v>
      </c>
      <c r="AU174" s="683">
        <f t="shared" si="431"/>
        <v>4097613</v>
      </c>
      <c r="AV174" s="479">
        <f t="shared" si="431"/>
        <v>3001676</v>
      </c>
      <c r="AW174" s="479">
        <f t="shared" si="431"/>
        <v>0</v>
      </c>
      <c r="AX174" s="479">
        <f t="shared" si="431"/>
        <v>1014567</v>
      </c>
      <c r="AY174" s="479">
        <f t="shared" si="431"/>
        <v>60034</v>
      </c>
      <c r="AZ174" s="479">
        <f t="shared" si="431"/>
        <v>21336</v>
      </c>
      <c r="BA174" s="441">
        <f t="shared" si="431"/>
        <v>6.8997999999999999</v>
      </c>
      <c r="BB174" s="441">
        <f t="shared" si="431"/>
        <v>4</v>
      </c>
      <c r="BC174" s="520">
        <f t="shared" si="431"/>
        <v>2.8997999999999999</v>
      </c>
    </row>
    <row r="175" spans="1:55" s="234" customFormat="1" ht="12.75" customHeight="1" x14ac:dyDescent="0.2">
      <c r="A175" s="236">
        <v>37</v>
      </c>
      <c r="B175" s="237">
        <v>3432</v>
      </c>
      <c r="C175" s="237">
        <v>600078329</v>
      </c>
      <c r="D175" s="237">
        <v>70695121</v>
      </c>
      <c r="E175" s="238" t="s">
        <v>81</v>
      </c>
      <c r="F175" s="237">
        <v>3117</v>
      </c>
      <c r="G175" s="238" t="s">
        <v>314</v>
      </c>
      <c r="H175" s="273" t="s">
        <v>277</v>
      </c>
      <c r="I175" s="472">
        <v>5301853</v>
      </c>
      <c r="J175" s="472">
        <v>3824833</v>
      </c>
      <c r="K175" s="472">
        <v>0</v>
      </c>
      <c r="L175" s="472">
        <v>1292793</v>
      </c>
      <c r="M175" s="472">
        <v>76497</v>
      </c>
      <c r="N175" s="472">
        <v>107730</v>
      </c>
      <c r="O175" s="473">
        <v>7.5589999999999993</v>
      </c>
      <c r="P175" s="474">
        <v>5.5374999999999996</v>
      </c>
      <c r="Q175" s="483">
        <v>2.0215000000000001</v>
      </c>
      <c r="R175" s="485">
        <f t="shared" ref="R175:R179" si="432">Y175*-1</f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>SUM(R175:W175)</f>
        <v>0</v>
      </c>
      <c r="Y175" s="475">
        <v>0</v>
      </c>
      <c r="Z175" s="475">
        <v>0</v>
      </c>
      <c r="AA175" s="475">
        <v>0</v>
      </c>
      <c r="AB175" s="475">
        <f t="shared" ref="AB175:AB179" si="433">SUM(Y175:AA175)</f>
        <v>0</v>
      </c>
      <c r="AC175" s="475">
        <f t="shared" ref="AC175:AC179" si="434">X175+AB175</f>
        <v>0</v>
      </c>
      <c r="AD175" s="70">
        <f t="shared" ref="AD175:AD179" si="435">ROUND((X175+Y175+Z175)*33.8%,0)</f>
        <v>0</v>
      </c>
      <c r="AE175" s="70">
        <f t="shared" ref="AE175:AE179" si="436">ROUND(X175*2%,0)</f>
        <v>0</v>
      </c>
      <c r="AF175" s="475">
        <v>0</v>
      </c>
      <c r="AG175" s="475">
        <v>0</v>
      </c>
      <c r="AH175" s="475">
        <f t="shared" ref="AH175:AH179" si="437">SUM(AF175:AG175)</f>
        <v>0</v>
      </c>
      <c r="AI175" s="475">
        <f t="shared" ref="AI175:AI179" si="438">AC175+AD175+AE175+AH175</f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476">
        <f>AJ175+AL175+AM175+AO175+AP175</f>
        <v>0</v>
      </c>
      <c r="AS175" s="476">
        <f>AK175+AN175+AQ175</f>
        <v>0</v>
      </c>
      <c r="AT175" s="478">
        <f t="shared" ref="AT175:AT179" si="439">SUM(AR175:AS175)</f>
        <v>0</v>
      </c>
      <c r="AU175" s="484">
        <f t="shared" si="351"/>
        <v>5301853</v>
      </c>
      <c r="AV175" s="475">
        <f t="shared" si="352"/>
        <v>3824833</v>
      </c>
      <c r="AW175" s="475">
        <f t="shared" ref="AW175:AW179" si="440">K175+AB175</f>
        <v>0</v>
      </c>
      <c r="AX175" s="475">
        <f t="shared" ref="AX175:AY179" si="441">L175+AD175</f>
        <v>1292793</v>
      </c>
      <c r="AY175" s="475">
        <f t="shared" si="441"/>
        <v>76497</v>
      </c>
      <c r="AZ175" s="475">
        <f t="shared" si="353"/>
        <v>107730</v>
      </c>
      <c r="BA175" s="476">
        <f t="shared" si="354"/>
        <v>7.5589999999999993</v>
      </c>
      <c r="BB175" s="476">
        <f t="shared" ref="BB175:BC179" si="442">P175+AR175</f>
        <v>5.5374999999999996</v>
      </c>
      <c r="BC175" s="478">
        <f t="shared" si="442"/>
        <v>2.0215000000000001</v>
      </c>
    </row>
    <row r="176" spans="1:55" s="234" customFormat="1" x14ac:dyDescent="0.2">
      <c r="A176" s="236">
        <v>37</v>
      </c>
      <c r="B176" s="237">
        <v>3432</v>
      </c>
      <c r="C176" s="237">
        <v>600078329</v>
      </c>
      <c r="D176" s="237">
        <v>70695121</v>
      </c>
      <c r="E176" s="238" t="s">
        <v>81</v>
      </c>
      <c r="F176" s="237">
        <v>3117</v>
      </c>
      <c r="G176" s="238" t="s">
        <v>312</v>
      </c>
      <c r="H176" s="273" t="s">
        <v>278</v>
      </c>
      <c r="I176" s="472">
        <v>474471</v>
      </c>
      <c r="J176" s="472">
        <v>346444</v>
      </c>
      <c r="K176" s="472">
        <v>0</v>
      </c>
      <c r="L176" s="472">
        <v>117098</v>
      </c>
      <c r="M176" s="472">
        <v>6929</v>
      </c>
      <c r="N176" s="472">
        <v>4000</v>
      </c>
      <c r="O176" s="473">
        <v>1</v>
      </c>
      <c r="P176" s="474">
        <v>1</v>
      </c>
      <c r="Q176" s="483">
        <v>0</v>
      </c>
      <c r="R176" s="485">
        <f t="shared" si="432"/>
        <v>0</v>
      </c>
      <c r="S176" s="475">
        <v>0</v>
      </c>
      <c r="T176" s="475">
        <v>0</v>
      </c>
      <c r="U176" s="475">
        <v>0</v>
      </c>
      <c r="V176" s="475">
        <v>0</v>
      </c>
      <c r="W176" s="475">
        <v>0</v>
      </c>
      <c r="X176" s="475">
        <f>SUM(R176:W176)</f>
        <v>0</v>
      </c>
      <c r="Y176" s="475">
        <v>0</v>
      </c>
      <c r="Z176" s="475">
        <v>0</v>
      </c>
      <c r="AA176" s="475">
        <v>0</v>
      </c>
      <c r="AB176" s="475">
        <f t="shared" si="433"/>
        <v>0</v>
      </c>
      <c r="AC176" s="475">
        <f t="shared" si="434"/>
        <v>0</v>
      </c>
      <c r="AD176" s="70">
        <f t="shared" si="435"/>
        <v>0</v>
      </c>
      <c r="AE176" s="70">
        <f t="shared" si="436"/>
        <v>0</v>
      </c>
      <c r="AF176" s="475">
        <v>0</v>
      </c>
      <c r="AG176" s="475">
        <v>0</v>
      </c>
      <c r="AH176" s="475">
        <f t="shared" si="437"/>
        <v>0</v>
      </c>
      <c r="AI176" s="475">
        <f t="shared" si="438"/>
        <v>0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476">
        <f>AJ176+AL176+AM176+AO176+AP176</f>
        <v>0</v>
      </c>
      <c r="AS176" s="476">
        <f>AK176+AN176+AQ176</f>
        <v>0</v>
      </c>
      <c r="AT176" s="478">
        <f t="shared" si="439"/>
        <v>0</v>
      </c>
      <c r="AU176" s="484">
        <f t="shared" si="351"/>
        <v>474471</v>
      </c>
      <c r="AV176" s="475">
        <f t="shared" si="352"/>
        <v>346444</v>
      </c>
      <c r="AW176" s="475">
        <f t="shared" si="440"/>
        <v>0</v>
      </c>
      <c r="AX176" s="475">
        <f t="shared" si="441"/>
        <v>117098</v>
      </c>
      <c r="AY176" s="475">
        <f t="shared" si="441"/>
        <v>6929</v>
      </c>
      <c r="AZ176" s="475">
        <f t="shared" si="353"/>
        <v>4000</v>
      </c>
      <c r="BA176" s="476">
        <f t="shared" si="354"/>
        <v>1</v>
      </c>
      <c r="BB176" s="476">
        <f t="shared" si="442"/>
        <v>1</v>
      </c>
      <c r="BC176" s="478">
        <f t="shared" si="442"/>
        <v>0</v>
      </c>
    </row>
    <row r="177" spans="1:55" s="234" customFormat="1" ht="12.75" customHeight="1" x14ac:dyDescent="0.2">
      <c r="A177" s="236">
        <v>37</v>
      </c>
      <c r="B177" s="237">
        <v>3432</v>
      </c>
      <c r="C177" s="237">
        <v>600078329</v>
      </c>
      <c r="D177" s="237">
        <v>70695121</v>
      </c>
      <c r="E177" s="238" t="s">
        <v>81</v>
      </c>
      <c r="F177" s="237">
        <v>3141</v>
      </c>
      <c r="G177" s="238" t="s">
        <v>315</v>
      </c>
      <c r="H177" s="273" t="s">
        <v>278</v>
      </c>
      <c r="I177" s="472">
        <v>616092</v>
      </c>
      <c r="J177" s="472">
        <v>451028</v>
      </c>
      <c r="K177" s="472">
        <v>0</v>
      </c>
      <c r="L177" s="472">
        <v>152447</v>
      </c>
      <c r="M177" s="472">
        <v>9021</v>
      </c>
      <c r="N177" s="472">
        <v>3596</v>
      </c>
      <c r="O177" s="473">
        <v>1.42</v>
      </c>
      <c r="P177" s="474">
        <v>0</v>
      </c>
      <c r="Q177" s="483">
        <v>1.42</v>
      </c>
      <c r="R177" s="485">
        <f t="shared" si="432"/>
        <v>0</v>
      </c>
      <c r="S177" s="475">
        <v>0</v>
      </c>
      <c r="T177" s="475">
        <v>14160</v>
      </c>
      <c r="U177" s="475">
        <v>0</v>
      </c>
      <c r="V177" s="475">
        <v>0</v>
      </c>
      <c r="W177" s="475">
        <v>0</v>
      </c>
      <c r="X177" s="475">
        <f>SUM(R177:W177)</f>
        <v>14160</v>
      </c>
      <c r="Y177" s="475">
        <v>0</v>
      </c>
      <c r="Z177" s="475">
        <v>0</v>
      </c>
      <c r="AA177" s="475">
        <v>0</v>
      </c>
      <c r="AB177" s="475">
        <f t="shared" si="433"/>
        <v>0</v>
      </c>
      <c r="AC177" s="475">
        <f t="shared" si="434"/>
        <v>14160</v>
      </c>
      <c r="AD177" s="70">
        <f t="shared" si="435"/>
        <v>4786</v>
      </c>
      <c r="AE177" s="70">
        <f t="shared" si="436"/>
        <v>283</v>
      </c>
      <c r="AF177" s="475">
        <v>0</v>
      </c>
      <c r="AG177" s="475">
        <v>0</v>
      </c>
      <c r="AH177" s="475">
        <f t="shared" si="437"/>
        <v>0</v>
      </c>
      <c r="AI177" s="475">
        <f t="shared" si="438"/>
        <v>19229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0.05</v>
      </c>
      <c r="AO177" s="476">
        <v>0</v>
      </c>
      <c r="AP177" s="476">
        <v>0</v>
      </c>
      <c r="AQ177" s="476">
        <v>0</v>
      </c>
      <c r="AR177" s="476">
        <f>AJ177+AL177+AM177+AO177+AP177</f>
        <v>0</v>
      </c>
      <c r="AS177" s="476">
        <f>AK177+AN177+AQ177</f>
        <v>0.05</v>
      </c>
      <c r="AT177" s="478">
        <f t="shared" si="439"/>
        <v>0.05</v>
      </c>
      <c r="AU177" s="484">
        <f t="shared" si="351"/>
        <v>635321</v>
      </c>
      <c r="AV177" s="475">
        <f t="shared" si="352"/>
        <v>465188</v>
      </c>
      <c r="AW177" s="475">
        <f t="shared" si="440"/>
        <v>0</v>
      </c>
      <c r="AX177" s="475">
        <f t="shared" si="441"/>
        <v>157233</v>
      </c>
      <c r="AY177" s="475">
        <f t="shared" si="441"/>
        <v>9304</v>
      </c>
      <c r="AZ177" s="475">
        <f t="shared" si="353"/>
        <v>3596</v>
      </c>
      <c r="BA177" s="476">
        <f t="shared" si="354"/>
        <v>1.47</v>
      </c>
      <c r="BB177" s="476">
        <f t="shared" si="442"/>
        <v>0</v>
      </c>
      <c r="BC177" s="478">
        <f t="shared" si="442"/>
        <v>1.47</v>
      </c>
    </row>
    <row r="178" spans="1:55" s="234" customFormat="1" ht="12.75" customHeight="1" x14ac:dyDescent="0.2">
      <c r="A178" s="236">
        <v>37</v>
      </c>
      <c r="B178" s="237">
        <v>3432</v>
      </c>
      <c r="C178" s="237">
        <v>600078329</v>
      </c>
      <c r="D178" s="237">
        <v>70695121</v>
      </c>
      <c r="E178" s="238" t="s">
        <v>82</v>
      </c>
      <c r="F178" s="237">
        <v>3143</v>
      </c>
      <c r="G178" s="238" t="s">
        <v>626</v>
      </c>
      <c r="H178" s="273" t="s">
        <v>277</v>
      </c>
      <c r="I178" s="472">
        <v>637748</v>
      </c>
      <c r="J178" s="472">
        <v>469623</v>
      </c>
      <c r="K178" s="472">
        <v>0</v>
      </c>
      <c r="L178" s="472">
        <v>158733</v>
      </c>
      <c r="M178" s="472">
        <v>9392</v>
      </c>
      <c r="N178" s="472">
        <v>0</v>
      </c>
      <c r="O178" s="473">
        <v>0.93</v>
      </c>
      <c r="P178" s="474">
        <v>0.93</v>
      </c>
      <c r="Q178" s="483">
        <v>0</v>
      </c>
      <c r="R178" s="485">
        <f t="shared" si="432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>SUM(R178:W178)</f>
        <v>0</v>
      </c>
      <c r="Y178" s="475">
        <v>0</v>
      </c>
      <c r="Z178" s="475">
        <v>0</v>
      </c>
      <c r="AA178" s="475">
        <v>0</v>
      </c>
      <c r="AB178" s="475">
        <f t="shared" si="433"/>
        <v>0</v>
      </c>
      <c r="AC178" s="475">
        <f t="shared" si="434"/>
        <v>0</v>
      </c>
      <c r="AD178" s="70">
        <f t="shared" si="435"/>
        <v>0</v>
      </c>
      <c r="AE178" s="70">
        <f t="shared" si="436"/>
        <v>0</v>
      </c>
      <c r="AF178" s="475">
        <v>0</v>
      </c>
      <c r="AG178" s="475">
        <v>0</v>
      </c>
      <c r="AH178" s="475">
        <f t="shared" si="437"/>
        <v>0</v>
      </c>
      <c r="AI178" s="475">
        <f t="shared" si="438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>AJ178+AL178+AM178+AO178+AP178</f>
        <v>0</v>
      </c>
      <c r="AS178" s="476">
        <f>AK178+AN178+AQ178</f>
        <v>0</v>
      </c>
      <c r="AT178" s="478">
        <f t="shared" si="439"/>
        <v>0</v>
      </c>
      <c r="AU178" s="484">
        <f t="shared" si="351"/>
        <v>637748</v>
      </c>
      <c r="AV178" s="475">
        <f t="shared" si="352"/>
        <v>469623</v>
      </c>
      <c r="AW178" s="475">
        <f t="shared" si="440"/>
        <v>0</v>
      </c>
      <c r="AX178" s="475">
        <f t="shared" si="441"/>
        <v>158733</v>
      </c>
      <c r="AY178" s="475">
        <f t="shared" si="441"/>
        <v>9392</v>
      </c>
      <c r="AZ178" s="475">
        <f t="shared" si="353"/>
        <v>0</v>
      </c>
      <c r="BA178" s="476">
        <f t="shared" si="354"/>
        <v>0.93</v>
      </c>
      <c r="BB178" s="476">
        <f t="shared" si="442"/>
        <v>0.93</v>
      </c>
      <c r="BC178" s="478">
        <f t="shared" si="442"/>
        <v>0</v>
      </c>
    </row>
    <row r="179" spans="1:55" s="234" customFormat="1" ht="12.75" customHeight="1" x14ac:dyDescent="0.2">
      <c r="A179" s="236">
        <v>37</v>
      </c>
      <c r="B179" s="237">
        <v>3432</v>
      </c>
      <c r="C179" s="237">
        <v>600078329</v>
      </c>
      <c r="D179" s="237">
        <v>70695121</v>
      </c>
      <c r="E179" s="238" t="s">
        <v>82</v>
      </c>
      <c r="F179" s="237">
        <v>3143</v>
      </c>
      <c r="G179" s="238" t="s">
        <v>627</v>
      </c>
      <c r="H179" s="273" t="s">
        <v>278</v>
      </c>
      <c r="I179" s="472">
        <v>18899</v>
      </c>
      <c r="J179" s="472">
        <v>13365</v>
      </c>
      <c r="K179" s="472">
        <v>0</v>
      </c>
      <c r="L179" s="472">
        <v>4517</v>
      </c>
      <c r="M179" s="472">
        <v>267</v>
      </c>
      <c r="N179" s="472">
        <v>750</v>
      </c>
      <c r="O179" s="473">
        <v>0.05</v>
      </c>
      <c r="P179" s="474">
        <v>0</v>
      </c>
      <c r="Q179" s="483">
        <v>0.05</v>
      </c>
      <c r="R179" s="485">
        <f t="shared" si="432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>SUM(R179:W179)</f>
        <v>0</v>
      </c>
      <c r="Y179" s="475">
        <v>0</v>
      </c>
      <c r="Z179" s="475">
        <v>0</v>
      </c>
      <c r="AA179" s="475">
        <v>0</v>
      </c>
      <c r="AB179" s="475">
        <f t="shared" si="433"/>
        <v>0</v>
      </c>
      <c r="AC179" s="475">
        <f t="shared" si="434"/>
        <v>0</v>
      </c>
      <c r="AD179" s="70">
        <f t="shared" si="435"/>
        <v>0</v>
      </c>
      <c r="AE179" s="70">
        <f t="shared" si="436"/>
        <v>0</v>
      </c>
      <c r="AF179" s="475">
        <v>0</v>
      </c>
      <c r="AG179" s="475">
        <v>0</v>
      </c>
      <c r="AH179" s="475">
        <f t="shared" si="437"/>
        <v>0</v>
      </c>
      <c r="AI179" s="475">
        <f t="shared" si="438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476">
        <f>AJ179+AL179+AM179+AO179+AP179</f>
        <v>0</v>
      </c>
      <c r="AS179" s="476">
        <f>AK179+AN179+AQ179</f>
        <v>0</v>
      </c>
      <c r="AT179" s="478">
        <f t="shared" si="439"/>
        <v>0</v>
      </c>
      <c r="AU179" s="484">
        <f t="shared" si="351"/>
        <v>18899</v>
      </c>
      <c r="AV179" s="475">
        <f t="shared" si="352"/>
        <v>13365</v>
      </c>
      <c r="AW179" s="475">
        <f t="shared" si="440"/>
        <v>0</v>
      </c>
      <c r="AX179" s="475">
        <f t="shared" si="441"/>
        <v>4517</v>
      </c>
      <c r="AY179" s="475">
        <f t="shared" si="441"/>
        <v>267</v>
      </c>
      <c r="AZ179" s="475">
        <f t="shared" si="353"/>
        <v>750</v>
      </c>
      <c r="BA179" s="476">
        <f t="shared" si="354"/>
        <v>0.05</v>
      </c>
      <c r="BB179" s="476">
        <f t="shared" si="442"/>
        <v>0</v>
      </c>
      <c r="BC179" s="478">
        <f t="shared" si="442"/>
        <v>0.05</v>
      </c>
    </row>
    <row r="180" spans="1:55" s="234" customFormat="1" ht="12.75" customHeight="1" x14ac:dyDescent="0.2">
      <c r="A180" s="160">
        <v>37</v>
      </c>
      <c r="B180" s="14">
        <v>3432</v>
      </c>
      <c r="C180" s="159">
        <v>600078329</v>
      </c>
      <c r="D180" s="159">
        <v>70695121</v>
      </c>
      <c r="E180" s="235" t="s">
        <v>83</v>
      </c>
      <c r="F180" s="14"/>
      <c r="G180" s="235"/>
      <c r="H180" s="272"/>
      <c r="I180" s="479">
        <v>7049063</v>
      </c>
      <c r="J180" s="479">
        <v>5105293</v>
      </c>
      <c r="K180" s="479">
        <v>0</v>
      </c>
      <c r="L180" s="479">
        <v>1725588</v>
      </c>
      <c r="M180" s="479">
        <v>102106</v>
      </c>
      <c r="N180" s="479">
        <v>116076</v>
      </c>
      <c r="O180" s="441">
        <v>10.959</v>
      </c>
      <c r="P180" s="441">
        <v>7.4674999999999994</v>
      </c>
      <c r="Q180" s="441">
        <v>3.4914999999999998</v>
      </c>
      <c r="R180" s="687">
        <f t="shared" ref="R180:BC180" si="443">SUM(R175:R179)</f>
        <v>0</v>
      </c>
      <c r="S180" s="685">
        <f t="shared" si="443"/>
        <v>0</v>
      </c>
      <c r="T180" s="685">
        <f t="shared" si="443"/>
        <v>14160</v>
      </c>
      <c r="U180" s="685">
        <f t="shared" si="443"/>
        <v>0</v>
      </c>
      <c r="V180" s="685">
        <f t="shared" si="443"/>
        <v>0</v>
      </c>
      <c r="W180" s="685">
        <f t="shared" si="443"/>
        <v>0</v>
      </c>
      <c r="X180" s="685">
        <f t="shared" si="443"/>
        <v>14160</v>
      </c>
      <c r="Y180" s="685">
        <f t="shared" si="443"/>
        <v>0</v>
      </c>
      <c r="Z180" s="685">
        <f t="shared" si="443"/>
        <v>0</v>
      </c>
      <c r="AA180" s="685">
        <f t="shared" si="443"/>
        <v>0</v>
      </c>
      <c r="AB180" s="685">
        <f t="shared" si="443"/>
        <v>0</v>
      </c>
      <c r="AC180" s="685">
        <f t="shared" si="443"/>
        <v>14160</v>
      </c>
      <c r="AD180" s="685">
        <f t="shared" si="443"/>
        <v>4786</v>
      </c>
      <c r="AE180" s="685">
        <f t="shared" si="443"/>
        <v>283</v>
      </c>
      <c r="AF180" s="685">
        <f t="shared" si="443"/>
        <v>0</v>
      </c>
      <c r="AG180" s="685">
        <f t="shared" si="443"/>
        <v>0</v>
      </c>
      <c r="AH180" s="685">
        <f t="shared" si="443"/>
        <v>0</v>
      </c>
      <c r="AI180" s="685">
        <f t="shared" si="443"/>
        <v>19229</v>
      </c>
      <c r="AJ180" s="686">
        <f t="shared" si="443"/>
        <v>0</v>
      </c>
      <c r="AK180" s="686">
        <f t="shared" si="443"/>
        <v>0</v>
      </c>
      <c r="AL180" s="686">
        <f t="shared" si="443"/>
        <v>0</v>
      </c>
      <c r="AM180" s="686">
        <f t="shared" si="443"/>
        <v>0</v>
      </c>
      <c r="AN180" s="686">
        <f t="shared" si="443"/>
        <v>0.05</v>
      </c>
      <c r="AO180" s="686">
        <f t="shared" si="443"/>
        <v>0</v>
      </c>
      <c r="AP180" s="686">
        <f t="shared" si="443"/>
        <v>0</v>
      </c>
      <c r="AQ180" s="686">
        <f t="shared" si="443"/>
        <v>0</v>
      </c>
      <c r="AR180" s="686">
        <f t="shared" si="443"/>
        <v>0</v>
      </c>
      <c r="AS180" s="686">
        <f t="shared" si="443"/>
        <v>0.05</v>
      </c>
      <c r="AT180" s="688">
        <f t="shared" si="443"/>
        <v>0.05</v>
      </c>
      <c r="AU180" s="683">
        <f t="shared" si="443"/>
        <v>7068292</v>
      </c>
      <c r="AV180" s="479">
        <f t="shared" si="443"/>
        <v>5119453</v>
      </c>
      <c r="AW180" s="479">
        <f t="shared" si="443"/>
        <v>0</v>
      </c>
      <c r="AX180" s="479">
        <f t="shared" si="443"/>
        <v>1730374</v>
      </c>
      <c r="AY180" s="479">
        <f t="shared" si="443"/>
        <v>102389</v>
      </c>
      <c r="AZ180" s="479">
        <f t="shared" si="443"/>
        <v>116076</v>
      </c>
      <c r="BA180" s="441">
        <f t="shared" si="443"/>
        <v>11.009</v>
      </c>
      <c r="BB180" s="441">
        <f t="shared" si="443"/>
        <v>7.4674999999999994</v>
      </c>
      <c r="BC180" s="520">
        <f t="shared" si="443"/>
        <v>3.5415000000000001</v>
      </c>
    </row>
    <row r="181" spans="1:55" s="234" customFormat="1" ht="12.75" customHeight="1" x14ac:dyDescent="0.2">
      <c r="A181" s="236">
        <v>38</v>
      </c>
      <c r="B181" s="237">
        <v>3435</v>
      </c>
      <c r="C181" s="237">
        <v>650022131</v>
      </c>
      <c r="D181" s="237">
        <v>70981531</v>
      </c>
      <c r="E181" s="238" t="s">
        <v>84</v>
      </c>
      <c r="F181" s="237">
        <v>3111</v>
      </c>
      <c r="G181" s="238" t="s">
        <v>311</v>
      </c>
      <c r="H181" s="273" t="s">
        <v>277</v>
      </c>
      <c r="I181" s="472">
        <v>8464517</v>
      </c>
      <c r="J181" s="472">
        <v>6190661</v>
      </c>
      <c r="K181" s="472">
        <v>0</v>
      </c>
      <c r="L181" s="472">
        <v>2092443</v>
      </c>
      <c r="M181" s="472">
        <v>123813</v>
      </c>
      <c r="N181" s="472">
        <v>57600</v>
      </c>
      <c r="O181" s="473">
        <v>14.0655</v>
      </c>
      <c r="P181" s="474">
        <v>11</v>
      </c>
      <c r="Q181" s="483">
        <v>3.0655000000000001</v>
      </c>
      <c r="R181" s="485">
        <f t="shared" ref="R181:R186" si="444">Y181*-1</f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ref="X181:X186" si="445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446">SUM(Y181:AA181)</f>
        <v>0</v>
      </c>
      <c r="AC181" s="475">
        <f t="shared" ref="AC181:AC186" si="447">X181+AB181</f>
        <v>0</v>
      </c>
      <c r="AD181" s="70">
        <f t="shared" ref="AD181:AD186" si="448">ROUND((X181+Y181+Z181)*33.8%,0)</f>
        <v>0</v>
      </c>
      <c r="AE181" s="70">
        <f t="shared" ref="AE181:AE186" si="449">ROUND(X181*2%,0)</f>
        <v>0</v>
      </c>
      <c r="AF181" s="475">
        <v>0</v>
      </c>
      <c r="AG181" s="475">
        <v>0</v>
      </c>
      <c r="AH181" s="475">
        <f t="shared" ref="AH181:AH186" si="450">SUM(AF181:AG181)</f>
        <v>0</v>
      </c>
      <c r="AI181" s="475">
        <f t="shared" ref="AI181:AI186" si="451">AC181+AD181+AE181+AH181</f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 t="shared" ref="AR181:AR186" si="452">AJ181+AL181+AM181+AO181+AP181</f>
        <v>0</v>
      </c>
      <c r="AS181" s="476">
        <f t="shared" ref="AS181:AS186" si="453">AK181+AN181+AQ181</f>
        <v>0</v>
      </c>
      <c r="AT181" s="478">
        <f t="shared" ref="AT181:AT186" si="454">SUM(AR181:AS181)</f>
        <v>0</v>
      </c>
      <c r="AU181" s="484">
        <f t="shared" si="351"/>
        <v>8464517</v>
      </c>
      <c r="AV181" s="475">
        <f t="shared" si="352"/>
        <v>6190661</v>
      </c>
      <c r="AW181" s="475">
        <f t="shared" ref="AW181:AW186" si="455">K181+AB181</f>
        <v>0</v>
      </c>
      <c r="AX181" s="475">
        <f t="shared" ref="AX181:AY186" si="456">L181+AD181</f>
        <v>2092443</v>
      </c>
      <c r="AY181" s="475">
        <f t="shared" si="456"/>
        <v>123813</v>
      </c>
      <c r="AZ181" s="475">
        <f t="shared" si="353"/>
        <v>57600</v>
      </c>
      <c r="BA181" s="476">
        <f t="shared" si="354"/>
        <v>14.0655</v>
      </c>
      <c r="BB181" s="476">
        <f t="shared" ref="BB181:BC186" si="457">P181+AR181</f>
        <v>11</v>
      </c>
      <c r="BC181" s="478">
        <f t="shared" si="457"/>
        <v>3.0655000000000001</v>
      </c>
    </row>
    <row r="182" spans="1:55" s="234" customFormat="1" ht="13.5" customHeight="1" x14ac:dyDescent="0.2">
      <c r="A182" s="236">
        <v>38</v>
      </c>
      <c r="B182" s="237">
        <v>3435</v>
      </c>
      <c r="C182" s="237">
        <v>650022131</v>
      </c>
      <c r="D182" s="237">
        <v>70981531</v>
      </c>
      <c r="E182" s="238" t="s">
        <v>84</v>
      </c>
      <c r="F182" s="237">
        <v>3113</v>
      </c>
      <c r="G182" s="238" t="s">
        <v>314</v>
      </c>
      <c r="H182" s="273" t="s">
        <v>277</v>
      </c>
      <c r="I182" s="472">
        <v>23868368</v>
      </c>
      <c r="J182" s="472">
        <v>17159129</v>
      </c>
      <c r="K182" s="472">
        <v>50000</v>
      </c>
      <c r="L182" s="472">
        <v>5816686</v>
      </c>
      <c r="M182" s="472">
        <v>343183</v>
      </c>
      <c r="N182" s="472">
        <v>499370</v>
      </c>
      <c r="O182" s="473">
        <v>32.079600000000006</v>
      </c>
      <c r="P182" s="474">
        <v>24.003299999999999</v>
      </c>
      <c r="Q182" s="483">
        <v>8.0762999999999998</v>
      </c>
      <c r="R182" s="485">
        <f t="shared" si="444"/>
        <v>0</v>
      </c>
      <c r="S182" s="475">
        <v>0</v>
      </c>
      <c r="T182" s="475">
        <v>64555</v>
      </c>
      <c r="U182" s="475">
        <v>0</v>
      </c>
      <c r="V182" s="475">
        <v>0</v>
      </c>
      <c r="W182" s="475">
        <v>0</v>
      </c>
      <c r="X182" s="475">
        <f t="shared" si="445"/>
        <v>64555</v>
      </c>
      <c r="Y182" s="475">
        <v>0</v>
      </c>
      <c r="Z182" s="475">
        <v>0</v>
      </c>
      <c r="AA182" s="475">
        <v>0</v>
      </c>
      <c r="AB182" s="475">
        <f t="shared" si="446"/>
        <v>0</v>
      </c>
      <c r="AC182" s="475">
        <f t="shared" si="447"/>
        <v>64555</v>
      </c>
      <c r="AD182" s="70">
        <f t="shared" si="448"/>
        <v>21820</v>
      </c>
      <c r="AE182" s="70">
        <f t="shared" si="449"/>
        <v>1291</v>
      </c>
      <c r="AF182" s="475">
        <v>0</v>
      </c>
      <c r="AG182" s="475">
        <v>0</v>
      </c>
      <c r="AH182" s="475">
        <f t="shared" si="450"/>
        <v>0</v>
      </c>
      <c r="AI182" s="475">
        <f t="shared" si="451"/>
        <v>87666</v>
      </c>
      <c r="AJ182" s="476">
        <v>0</v>
      </c>
      <c r="AK182" s="476">
        <v>0</v>
      </c>
      <c r="AL182" s="476">
        <v>0</v>
      </c>
      <c r="AM182" s="476">
        <v>0.11</v>
      </c>
      <c r="AN182" s="476">
        <v>0</v>
      </c>
      <c r="AO182" s="476">
        <v>0</v>
      </c>
      <c r="AP182" s="476">
        <v>0</v>
      </c>
      <c r="AQ182" s="476">
        <v>0</v>
      </c>
      <c r="AR182" s="476">
        <f t="shared" si="452"/>
        <v>0.11</v>
      </c>
      <c r="AS182" s="476">
        <f t="shared" si="453"/>
        <v>0</v>
      </c>
      <c r="AT182" s="478">
        <f t="shared" si="454"/>
        <v>0.11</v>
      </c>
      <c r="AU182" s="484">
        <f t="shared" si="351"/>
        <v>23956034</v>
      </c>
      <c r="AV182" s="475">
        <f t="shared" si="352"/>
        <v>17223684</v>
      </c>
      <c r="AW182" s="475">
        <f t="shared" si="455"/>
        <v>50000</v>
      </c>
      <c r="AX182" s="475">
        <f t="shared" si="456"/>
        <v>5838506</v>
      </c>
      <c r="AY182" s="475">
        <f t="shared" si="456"/>
        <v>344474</v>
      </c>
      <c r="AZ182" s="475">
        <f t="shared" si="353"/>
        <v>499370</v>
      </c>
      <c r="BA182" s="476">
        <f t="shared" si="354"/>
        <v>32.189600000000006</v>
      </c>
      <c r="BB182" s="476">
        <f t="shared" si="457"/>
        <v>24.113299999999999</v>
      </c>
      <c r="BC182" s="478">
        <f t="shared" si="457"/>
        <v>8.0762999999999998</v>
      </c>
    </row>
    <row r="183" spans="1:55" s="234" customFormat="1" ht="13.5" customHeight="1" x14ac:dyDescent="0.2">
      <c r="A183" s="236">
        <v>38</v>
      </c>
      <c r="B183" s="237">
        <v>3435</v>
      </c>
      <c r="C183" s="237">
        <v>650022131</v>
      </c>
      <c r="D183" s="237">
        <v>70981531</v>
      </c>
      <c r="E183" s="238" t="s">
        <v>84</v>
      </c>
      <c r="F183" s="237">
        <v>3113</v>
      </c>
      <c r="G183" s="238" t="s">
        <v>312</v>
      </c>
      <c r="H183" s="273" t="s">
        <v>278</v>
      </c>
      <c r="I183" s="472">
        <v>5571038</v>
      </c>
      <c r="J183" s="472">
        <v>4095757</v>
      </c>
      <c r="K183" s="472">
        <v>0</v>
      </c>
      <c r="L183" s="472">
        <v>1384366</v>
      </c>
      <c r="M183" s="472">
        <v>81915</v>
      </c>
      <c r="N183" s="472">
        <v>9000</v>
      </c>
      <c r="O183" s="473">
        <v>11.62</v>
      </c>
      <c r="P183" s="474">
        <v>11.62</v>
      </c>
      <c r="Q183" s="483">
        <v>0</v>
      </c>
      <c r="R183" s="485">
        <f t="shared" si="444"/>
        <v>0</v>
      </c>
      <c r="S183" s="475">
        <v>11568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445"/>
        <v>11568</v>
      </c>
      <c r="Y183" s="475">
        <v>0</v>
      </c>
      <c r="Z183" s="475">
        <v>0</v>
      </c>
      <c r="AA183" s="475">
        <v>0</v>
      </c>
      <c r="AB183" s="475">
        <f t="shared" si="446"/>
        <v>0</v>
      </c>
      <c r="AC183" s="475">
        <f t="shared" si="447"/>
        <v>11568</v>
      </c>
      <c r="AD183" s="70">
        <f t="shared" si="448"/>
        <v>3910</v>
      </c>
      <c r="AE183" s="70">
        <f t="shared" si="449"/>
        <v>231</v>
      </c>
      <c r="AF183" s="475">
        <v>2500</v>
      </c>
      <c r="AG183" s="475">
        <v>0</v>
      </c>
      <c r="AH183" s="475">
        <f t="shared" si="450"/>
        <v>2500</v>
      </c>
      <c r="AI183" s="475">
        <f t="shared" si="451"/>
        <v>18209</v>
      </c>
      <c r="AJ183" s="476">
        <v>0</v>
      </c>
      <c r="AK183" s="476">
        <v>0</v>
      </c>
      <c r="AL183" s="476">
        <v>0.03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 t="shared" si="452"/>
        <v>0.03</v>
      </c>
      <c r="AS183" s="476">
        <f t="shared" si="453"/>
        <v>0</v>
      </c>
      <c r="AT183" s="478">
        <f t="shared" si="454"/>
        <v>0.03</v>
      </c>
      <c r="AU183" s="484">
        <f t="shared" si="351"/>
        <v>5589247</v>
      </c>
      <c r="AV183" s="475">
        <f t="shared" si="352"/>
        <v>4107325</v>
      </c>
      <c r="AW183" s="475">
        <f t="shared" si="455"/>
        <v>0</v>
      </c>
      <c r="AX183" s="475">
        <f t="shared" si="456"/>
        <v>1388276</v>
      </c>
      <c r="AY183" s="475">
        <f t="shared" si="456"/>
        <v>82146</v>
      </c>
      <c r="AZ183" s="475">
        <f t="shared" si="353"/>
        <v>11500</v>
      </c>
      <c r="BA183" s="476">
        <f t="shared" si="354"/>
        <v>11.649999999999999</v>
      </c>
      <c r="BB183" s="476">
        <f t="shared" si="457"/>
        <v>11.649999999999999</v>
      </c>
      <c r="BC183" s="478">
        <f t="shared" si="457"/>
        <v>0</v>
      </c>
    </row>
    <row r="184" spans="1:55" s="234" customFormat="1" ht="12.75" customHeight="1" x14ac:dyDescent="0.2">
      <c r="A184" s="236">
        <v>38</v>
      </c>
      <c r="B184" s="237">
        <v>3435</v>
      </c>
      <c r="C184" s="237">
        <v>650022131</v>
      </c>
      <c r="D184" s="237">
        <v>70981531</v>
      </c>
      <c r="E184" s="238" t="s">
        <v>84</v>
      </c>
      <c r="F184" s="237">
        <v>3141</v>
      </c>
      <c r="G184" s="238" t="s">
        <v>315</v>
      </c>
      <c r="H184" s="273" t="s">
        <v>278</v>
      </c>
      <c r="I184" s="472">
        <v>3458585</v>
      </c>
      <c r="J184" s="472">
        <v>2528329</v>
      </c>
      <c r="K184" s="472">
        <v>0</v>
      </c>
      <c r="L184" s="472">
        <v>854575</v>
      </c>
      <c r="M184" s="472">
        <v>50567</v>
      </c>
      <c r="N184" s="472">
        <v>25114</v>
      </c>
      <c r="O184" s="473">
        <v>7.96</v>
      </c>
      <c r="P184" s="474">
        <v>0</v>
      </c>
      <c r="Q184" s="483">
        <v>7.96</v>
      </c>
      <c r="R184" s="485">
        <f t="shared" si="444"/>
        <v>0</v>
      </c>
      <c r="S184" s="475">
        <v>0</v>
      </c>
      <c r="T184" s="475">
        <v>-756</v>
      </c>
      <c r="U184" s="475">
        <v>0</v>
      </c>
      <c r="V184" s="475">
        <v>0</v>
      </c>
      <c r="W184" s="475">
        <v>0</v>
      </c>
      <c r="X184" s="475">
        <f t="shared" si="445"/>
        <v>-756</v>
      </c>
      <c r="Y184" s="475">
        <v>0</v>
      </c>
      <c r="Z184" s="475">
        <v>0</v>
      </c>
      <c r="AA184" s="475">
        <v>0</v>
      </c>
      <c r="AB184" s="475">
        <f t="shared" si="446"/>
        <v>0</v>
      </c>
      <c r="AC184" s="475">
        <f t="shared" si="447"/>
        <v>-756</v>
      </c>
      <c r="AD184" s="70">
        <f t="shared" si="448"/>
        <v>-256</v>
      </c>
      <c r="AE184" s="70">
        <f t="shared" si="449"/>
        <v>-15</v>
      </c>
      <c r="AF184" s="475">
        <v>0</v>
      </c>
      <c r="AG184" s="475">
        <v>0</v>
      </c>
      <c r="AH184" s="475">
        <f t="shared" si="450"/>
        <v>0</v>
      </c>
      <c r="AI184" s="475">
        <f t="shared" si="451"/>
        <v>-1027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476">
        <f t="shared" si="452"/>
        <v>0</v>
      </c>
      <c r="AS184" s="476">
        <f t="shared" si="453"/>
        <v>0</v>
      </c>
      <c r="AT184" s="478">
        <f t="shared" si="454"/>
        <v>0</v>
      </c>
      <c r="AU184" s="484">
        <f t="shared" si="351"/>
        <v>3457558</v>
      </c>
      <c r="AV184" s="475">
        <f t="shared" si="352"/>
        <v>2527573</v>
      </c>
      <c r="AW184" s="475">
        <f t="shared" si="455"/>
        <v>0</v>
      </c>
      <c r="AX184" s="475">
        <f t="shared" si="456"/>
        <v>854319</v>
      </c>
      <c r="AY184" s="475">
        <f t="shared" si="456"/>
        <v>50552</v>
      </c>
      <c r="AZ184" s="475">
        <f t="shared" si="353"/>
        <v>25114</v>
      </c>
      <c r="BA184" s="476">
        <f t="shared" si="354"/>
        <v>7.96</v>
      </c>
      <c r="BB184" s="476">
        <f t="shared" si="457"/>
        <v>0</v>
      </c>
      <c r="BC184" s="478">
        <f t="shared" si="457"/>
        <v>7.96</v>
      </c>
    </row>
    <row r="185" spans="1:55" s="234" customFormat="1" ht="13.5" customHeight="1" x14ac:dyDescent="0.2">
      <c r="A185" s="236">
        <v>38</v>
      </c>
      <c r="B185" s="237">
        <v>3435</v>
      </c>
      <c r="C185" s="237">
        <v>650022131</v>
      </c>
      <c r="D185" s="237">
        <v>70981531</v>
      </c>
      <c r="E185" s="238" t="s">
        <v>84</v>
      </c>
      <c r="F185" s="237">
        <v>3143</v>
      </c>
      <c r="G185" s="238" t="s">
        <v>626</v>
      </c>
      <c r="H185" s="273" t="s">
        <v>277</v>
      </c>
      <c r="I185" s="472">
        <v>2000822</v>
      </c>
      <c r="J185" s="472">
        <v>1473360</v>
      </c>
      <c r="K185" s="472">
        <v>0</v>
      </c>
      <c r="L185" s="472">
        <v>497995</v>
      </c>
      <c r="M185" s="472">
        <v>29467</v>
      </c>
      <c r="N185" s="472">
        <v>0</v>
      </c>
      <c r="O185" s="473">
        <v>3.1</v>
      </c>
      <c r="P185" s="474">
        <v>3.1</v>
      </c>
      <c r="Q185" s="483">
        <v>0</v>
      </c>
      <c r="R185" s="485">
        <f t="shared" si="444"/>
        <v>0</v>
      </c>
      <c r="S185" s="475">
        <v>0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445"/>
        <v>0</v>
      </c>
      <c r="Y185" s="475">
        <v>0</v>
      </c>
      <c r="Z185" s="475">
        <v>0</v>
      </c>
      <c r="AA185" s="475">
        <v>0</v>
      </c>
      <c r="AB185" s="475">
        <f t="shared" si="446"/>
        <v>0</v>
      </c>
      <c r="AC185" s="475">
        <f t="shared" si="447"/>
        <v>0</v>
      </c>
      <c r="AD185" s="70">
        <f t="shared" si="448"/>
        <v>0</v>
      </c>
      <c r="AE185" s="70">
        <f t="shared" si="449"/>
        <v>0</v>
      </c>
      <c r="AF185" s="475">
        <v>0</v>
      </c>
      <c r="AG185" s="475">
        <v>0</v>
      </c>
      <c r="AH185" s="475">
        <f t="shared" si="450"/>
        <v>0</v>
      </c>
      <c r="AI185" s="475">
        <f t="shared" si="451"/>
        <v>0</v>
      </c>
      <c r="AJ185" s="476">
        <v>0</v>
      </c>
      <c r="AK185" s="476">
        <v>0</v>
      </c>
      <c r="AL185" s="476">
        <v>0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476">
        <f t="shared" si="452"/>
        <v>0</v>
      </c>
      <c r="AS185" s="476">
        <f t="shared" si="453"/>
        <v>0</v>
      </c>
      <c r="AT185" s="478">
        <f t="shared" si="454"/>
        <v>0</v>
      </c>
      <c r="AU185" s="484">
        <f t="shared" si="351"/>
        <v>2000822</v>
      </c>
      <c r="AV185" s="475">
        <f t="shared" si="352"/>
        <v>1473360</v>
      </c>
      <c r="AW185" s="475">
        <f t="shared" si="455"/>
        <v>0</v>
      </c>
      <c r="AX185" s="475">
        <f t="shared" si="456"/>
        <v>497995</v>
      </c>
      <c r="AY185" s="475">
        <f t="shared" si="456"/>
        <v>29467</v>
      </c>
      <c r="AZ185" s="475">
        <f t="shared" si="353"/>
        <v>0</v>
      </c>
      <c r="BA185" s="476">
        <f t="shared" si="354"/>
        <v>3.1</v>
      </c>
      <c r="BB185" s="476">
        <f t="shared" si="457"/>
        <v>3.1</v>
      </c>
      <c r="BC185" s="478">
        <f t="shared" si="457"/>
        <v>0</v>
      </c>
    </row>
    <row r="186" spans="1:55" s="234" customFormat="1" ht="13.5" customHeight="1" x14ac:dyDescent="0.2">
      <c r="A186" s="236">
        <v>38</v>
      </c>
      <c r="B186" s="237">
        <v>3435</v>
      </c>
      <c r="C186" s="237">
        <v>650022131</v>
      </c>
      <c r="D186" s="237">
        <v>70981531</v>
      </c>
      <c r="E186" s="238" t="s">
        <v>84</v>
      </c>
      <c r="F186" s="237">
        <v>3143</v>
      </c>
      <c r="G186" s="238" t="s">
        <v>627</v>
      </c>
      <c r="H186" s="273" t="s">
        <v>278</v>
      </c>
      <c r="I186" s="472">
        <v>58969</v>
      </c>
      <c r="J186" s="472">
        <v>41700</v>
      </c>
      <c r="K186" s="472">
        <v>0</v>
      </c>
      <c r="L186" s="472">
        <v>14095</v>
      </c>
      <c r="M186" s="472">
        <v>834</v>
      </c>
      <c r="N186" s="472">
        <v>2340</v>
      </c>
      <c r="O186" s="473">
        <v>0.16</v>
      </c>
      <c r="P186" s="474">
        <v>0</v>
      </c>
      <c r="Q186" s="483">
        <v>0.16</v>
      </c>
      <c r="R186" s="485">
        <f t="shared" si="444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445"/>
        <v>0</v>
      </c>
      <c r="Y186" s="475">
        <v>0</v>
      </c>
      <c r="Z186" s="475">
        <v>0</v>
      </c>
      <c r="AA186" s="475">
        <v>0</v>
      </c>
      <c r="AB186" s="475">
        <f t="shared" si="446"/>
        <v>0</v>
      </c>
      <c r="AC186" s="475">
        <f t="shared" si="447"/>
        <v>0</v>
      </c>
      <c r="AD186" s="70">
        <f t="shared" si="448"/>
        <v>0</v>
      </c>
      <c r="AE186" s="70">
        <f t="shared" si="449"/>
        <v>0</v>
      </c>
      <c r="AF186" s="475">
        <v>0</v>
      </c>
      <c r="AG186" s="475">
        <v>0</v>
      </c>
      <c r="AH186" s="475">
        <f t="shared" si="450"/>
        <v>0</v>
      </c>
      <c r="AI186" s="475">
        <f t="shared" si="451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 t="shared" si="452"/>
        <v>0</v>
      </c>
      <c r="AS186" s="476">
        <f t="shared" si="453"/>
        <v>0</v>
      </c>
      <c r="AT186" s="478">
        <f t="shared" si="454"/>
        <v>0</v>
      </c>
      <c r="AU186" s="484">
        <f t="shared" si="351"/>
        <v>58969</v>
      </c>
      <c r="AV186" s="475">
        <f t="shared" si="352"/>
        <v>41700</v>
      </c>
      <c r="AW186" s="475">
        <f t="shared" si="455"/>
        <v>0</v>
      </c>
      <c r="AX186" s="475">
        <f t="shared" si="456"/>
        <v>14095</v>
      </c>
      <c r="AY186" s="475">
        <f t="shared" si="456"/>
        <v>834</v>
      </c>
      <c r="AZ186" s="475">
        <f t="shared" si="353"/>
        <v>2340</v>
      </c>
      <c r="BA186" s="476">
        <f t="shared" si="354"/>
        <v>0.16</v>
      </c>
      <c r="BB186" s="476">
        <f t="shared" si="457"/>
        <v>0</v>
      </c>
      <c r="BC186" s="478">
        <f t="shared" si="457"/>
        <v>0.16</v>
      </c>
    </row>
    <row r="187" spans="1:55" s="234" customFormat="1" ht="12.75" customHeight="1" thickBot="1" x14ac:dyDescent="0.25">
      <c r="A187" s="163">
        <v>38</v>
      </c>
      <c r="B187" s="164">
        <v>3435</v>
      </c>
      <c r="C187" s="165">
        <v>650022131</v>
      </c>
      <c r="D187" s="165">
        <v>70981531</v>
      </c>
      <c r="E187" s="240" t="s">
        <v>85</v>
      </c>
      <c r="F187" s="164"/>
      <c r="G187" s="240"/>
      <c r="H187" s="274"/>
      <c r="I187" s="480">
        <v>43422299</v>
      </c>
      <c r="J187" s="480">
        <v>31488936</v>
      </c>
      <c r="K187" s="480">
        <v>50000</v>
      </c>
      <c r="L187" s="480">
        <v>10660160</v>
      </c>
      <c r="M187" s="480">
        <v>629779</v>
      </c>
      <c r="N187" s="480">
        <v>593424</v>
      </c>
      <c r="O187" s="442">
        <v>68.985099999999989</v>
      </c>
      <c r="P187" s="442">
        <v>49.723299999999995</v>
      </c>
      <c r="Q187" s="442">
        <v>19.261800000000001</v>
      </c>
      <c r="R187" s="689">
        <f t="shared" ref="R187:BC187" si="458">SUM(R181:R186)</f>
        <v>0</v>
      </c>
      <c r="S187" s="690">
        <f t="shared" si="458"/>
        <v>11568</v>
      </c>
      <c r="T187" s="690">
        <f t="shared" si="458"/>
        <v>63799</v>
      </c>
      <c r="U187" s="690">
        <f t="shared" si="458"/>
        <v>0</v>
      </c>
      <c r="V187" s="690">
        <f t="shared" si="458"/>
        <v>0</v>
      </c>
      <c r="W187" s="690">
        <f t="shared" si="458"/>
        <v>0</v>
      </c>
      <c r="X187" s="690">
        <f t="shared" si="458"/>
        <v>75367</v>
      </c>
      <c r="Y187" s="690">
        <f t="shared" si="458"/>
        <v>0</v>
      </c>
      <c r="Z187" s="690">
        <f t="shared" si="458"/>
        <v>0</v>
      </c>
      <c r="AA187" s="690">
        <f t="shared" si="458"/>
        <v>0</v>
      </c>
      <c r="AB187" s="690">
        <f t="shared" si="458"/>
        <v>0</v>
      </c>
      <c r="AC187" s="690">
        <f t="shared" si="458"/>
        <v>75367</v>
      </c>
      <c r="AD187" s="690">
        <f t="shared" si="458"/>
        <v>25474</v>
      </c>
      <c r="AE187" s="690">
        <f t="shared" si="458"/>
        <v>1507</v>
      </c>
      <c r="AF187" s="690">
        <f t="shared" si="458"/>
        <v>2500</v>
      </c>
      <c r="AG187" s="690">
        <f t="shared" si="458"/>
        <v>0</v>
      </c>
      <c r="AH187" s="690">
        <f t="shared" si="458"/>
        <v>2500</v>
      </c>
      <c r="AI187" s="690">
        <f t="shared" si="458"/>
        <v>104848</v>
      </c>
      <c r="AJ187" s="691">
        <f t="shared" si="458"/>
        <v>0</v>
      </c>
      <c r="AK187" s="691">
        <f t="shared" si="458"/>
        <v>0</v>
      </c>
      <c r="AL187" s="691">
        <f t="shared" si="458"/>
        <v>0.03</v>
      </c>
      <c r="AM187" s="691">
        <f t="shared" si="458"/>
        <v>0.11</v>
      </c>
      <c r="AN187" s="691">
        <f t="shared" si="458"/>
        <v>0</v>
      </c>
      <c r="AO187" s="691">
        <f t="shared" si="458"/>
        <v>0</v>
      </c>
      <c r="AP187" s="691">
        <f t="shared" si="458"/>
        <v>0</v>
      </c>
      <c r="AQ187" s="691">
        <f t="shared" si="458"/>
        <v>0</v>
      </c>
      <c r="AR187" s="691">
        <f t="shared" si="458"/>
        <v>0.14000000000000001</v>
      </c>
      <c r="AS187" s="691">
        <f t="shared" si="458"/>
        <v>0</v>
      </c>
      <c r="AT187" s="692">
        <f t="shared" si="458"/>
        <v>0.14000000000000001</v>
      </c>
      <c r="AU187" s="684">
        <f t="shared" si="458"/>
        <v>43527147</v>
      </c>
      <c r="AV187" s="480">
        <f t="shared" si="458"/>
        <v>31564303</v>
      </c>
      <c r="AW187" s="480">
        <f t="shared" si="458"/>
        <v>50000</v>
      </c>
      <c r="AX187" s="480">
        <f t="shared" si="458"/>
        <v>10685634</v>
      </c>
      <c r="AY187" s="480">
        <f t="shared" si="458"/>
        <v>631286</v>
      </c>
      <c r="AZ187" s="480">
        <f t="shared" si="458"/>
        <v>595924</v>
      </c>
      <c r="BA187" s="442">
        <f t="shared" si="458"/>
        <v>69.125099999999989</v>
      </c>
      <c r="BB187" s="442">
        <f t="shared" si="458"/>
        <v>49.863299999999995</v>
      </c>
      <c r="BC187" s="521">
        <f t="shared" si="458"/>
        <v>19.261800000000001</v>
      </c>
    </row>
    <row r="188" spans="1:55" s="234" customFormat="1" ht="12.75" customHeight="1" thickBot="1" x14ac:dyDescent="0.25">
      <c r="A188" s="241"/>
      <c r="B188" s="242"/>
      <c r="C188" s="242"/>
      <c r="D188" s="242"/>
      <c r="E188" s="90" t="s">
        <v>787</v>
      </c>
      <c r="F188" s="242"/>
      <c r="G188" s="242"/>
      <c r="H188" s="275"/>
      <c r="I188" s="481">
        <f t="shared" ref="I188:BC188" si="459">I13+I16+I19+I23+I26+I29+I33+I36+I40+I44+I48+I52+I55+I59+I63+I67+I71+I75+I80+I86+I92+I98+I104+I110+I116+I122+I128+I134+I136+I144+I151+I155+I160+I164+I171+I174+I180+I187</f>
        <v>668084305</v>
      </c>
      <c r="J188" s="481">
        <f t="shared" si="459"/>
        <v>483294193</v>
      </c>
      <c r="K188" s="481">
        <f t="shared" si="459"/>
        <v>2041220</v>
      </c>
      <c r="L188" s="481">
        <f t="shared" si="459"/>
        <v>164043373</v>
      </c>
      <c r="M188" s="481">
        <f t="shared" si="459"/>
        <v>9665886</v>
      </c>
      <c r="N188" s="481">
        <f t="shared" si="459"/>
        <v>9039633</v>
      </c>
      <c r="O188" s="432">
        <f t="shared" si="459"/>
        <v>1018.197</v>
      </c>
      <c r="P188" s="432">
        <f t="shared" si="459"/>
        <v>709.76940000000002</v>
      </c>
      <c r="Q188" s="432">
        <f t="shared" si="459"/>
        <v>308.42759999999998</v>
      </c>
      <c r="R188" s="522">
        <f t="shared" si="459"/>
        <v>-49500</v>
      </c>
      <c r="S188" s="481">
        <f t="shared" si="459"/>
        <v>58667</v>
      </c>
      <c r="T188" s="481">
        <f t="shared" si="459"/>
        <v>-515448</v>
      </c>
      <c r="U188" s="481">
        <f t="shared" si="459"/>
        <v>80784</v>
      </c>
      <c r="V188" s="481">
        <f t="shared" si="459"/>
        <v>-76141</v>
      </c>
      <c r="W188" s="481">
        <f t="shared" si="459"/>
        <v>0</v>
      </c>
      <c r="X188" s="481">
        <f t="shared" si="459"/>
        <v>-501638</v>
      </c>
      <c r="Y188" s="481">
        <f t="shared" si="459"/>
        <v>49500</v>
      </c>
      <c r="Z188" s="481">
        <f t="shared" si="459"/>
        <v>0</v>
      </c>
      <c r="AA188" s="481">
        <f t="shared" si="459"/>
        <v>0</v>
      </c>
      <c r="AB188" s="481">
        <f t="shared" si="459"/>
        <v>49500</v>
      </c>
      <c r="AC188" s="481">
        <f t="shared" si="459"/>
        <v>-452138</v>
      </c>
      <c r="AD188" s="481">
        <f t="shared" si="459"/>
        <v>-152820</v>
      </c>
      <c r="AE188" s="481">
        <f t="shared" si="459"/>
        <v>-10032</v>
      </c>
      <c r="AF188" s="481">
        <f t="shared" si="459"/>
        <v>9000</v>
      </c>
      <c r="AG188" s="481">
        <f t="shared" si="459"/>
        <v>103399</v>
      </c>
      <c r="AH188" s="481">
        <f t="shared" si="459"/>
        <v>112399</v>
      </c>
      <c r="AI188" s="481">
        <f t="shared" si="459"/>
        <v>-502591</v>
      </c>
      <c r="AJ188" s="674">
        <f t="shared" si="459"/>
        <v>-0.05</v>
      </c>
      <c r="AK188" s="674">
        <f t="shared" si="459"/>
        <v>-0.12</v>
      </c>
      <c r="AL188" s="674">
        <f>AL13+AL16+AL19+AL23+AL26+AL29+AL33+AL36+AL40+AL44+AL48+AL52+AL55+AL59+AL63+AL67+AL71+AL75+AL80+AL86+AL92+AL98+AL104+AL110+AL116+AL122+AL128+AL134+AL136+AL144+AL151+AL155+AL160+AL164+AL171+AL174+AL180+AL187</f>
        <v>0.25</v>
      </c>
      <c r="AM188" s="674">
        <f>AM13+AM16+AM19+AM23+AM26+AM29+AM33+AM36+AM40+AM44+AM48+AM52+AM55+AM59+AM63+AM67+AM71+AM75+AM80+AM86+AM92+AM98+AM104+AM110+AM116+AM122+AM128+AM134+AM136+AM144+AM151+AM155+AM160+AM164+AM171+AM174+AM180+AM187</f>
        <v>-0.92</v>
      </c>
      <c r="AN188" s="674">
        <f>AN13+AN16+AN19+AN23+AN26+AN29+AN33+AN36+AN40+AN44+AN48+AN52+AN55+AN59+AN63+AN67+AN71+AN75+AN80+AN86+AN92+AN98+AN104+AN110+AN116+AN122+AN128+AN134+AN136+AN144+AN151+AN155+AN160+AN164+AN171+AN174+AN180+AN187</f>
        <v>-0.57999999999999996</v>
      </c>
      <c r="AO188" s="674">
        <f t="shared" ref="AO188:AT188" si="460">AO13+AO16+AO19+AO23+AO26+AO29+AO33+AO36+AO40+AO44+AO48+AO52+AO55+AO59+AO63+AO67+AO71+AO75+AO80+AO86+AO92+AO98+AO104+AO110+AO116+AO122+AO128+AO134+AO136+AO144+AO151+AO155+AO160+AO164+AO171+AO174+AO180+AO187</f>
        <v>0.13</v>
      </c>
      <c r="AP188" s="674">
        <f t="shared" si="460"/>
        <v>0</v>
      </c>
      <c r="AQ188" s="674">
        <f t="shared" si="460"/>
        <v>0</v>
      </c>
      <c r="AR188" s="674">
        <f t="shared" si="460"/>
        <v>-0.59000000000000019</v>
      </c>
      <c r="AS188" s="674">
        <f t="shared" si="460"/>
        <v>-0.7</v>
      </c>
      <c r="AT188" s="675">
        <f t="shared" si="460"/>
        <v>-1.29</v>
      </c>
      <c r="AU188" s="707">
        <f t="shared" si="459"/>
        <v>667581714</v>
      </c>
      <c r="AV188" s="481">
        <f t="shared" si="459"/>
        <v>482792555</v>
      </c>
      <c r="AW188" s="481">
        <f t="shared" si="459"/>
        <v>2090720</v>
      </c>
      <c r="AX188" s="481">
        <f t="shared" si="459"/>
        <v>163890553</v>
      </c>
      <c r="AY188" s="481">
        <f t="shared" si="459"/>
        <v>9655854</v>
      </c>
      <c r="AZ188" s="481">
        <f t="shared" si="459"/>
        <v>9152032</v>
      </c>
      <c r="BA188" s="432">
        <f t="shared" si="459"/>
        <v>1016.907</v>
      </c>
      <c r="BB188" s="432">
        <f t="shared" si="459"/>
        <v>709.17939999999999</v>
      </c>
      <c r="BC188" s="523">
        <f t="shared" si="459"/>
        <v>307.72759999999994</v>
      </c>
    </row>
    <row r="189" spans="1:55" ht="12.75" customHeight="1" x14ac:dyDescent="0.2">
      <c r="D189" s="9"/>
      <c r="E189" s="5"/>
      <c r="F189" s="9"/>
      <c r="G189" s="5"/>
      <c r="H189" s="5"/>
      <c r="I189" s="490">
        <f>SUM(J188:N188)</f>
        <v>668084305</v>
      </c>
      <c r="J189" s="490"/>
      <c r="K189" s="490"/>
      <c r="L189" s="490"/>
      <c r="M189" s="490"/>
      <c r="N189" s="490"/>
      <c r="O189" s="491">
        <f>SUM(P188:Q188)</f>
        <v>1018.197</v>
      </c>
      <c r="P189" s="491"/>
      <c r="Q189" s="491"/>
      <c r="R189" s="490">
        <f>Y188</f>
        <v>49500</v>
      </c>
      <c r="S189" s="492"/>
      <c r="T189" s="492"/>
      <c r="U189" s="492"/>
      <c r="V189" s="492"/>
      <c r="W189" s="492"/>
      <c r="X189" s="493">
        <f>SUM(R188:W188)</f>
        <v>-501638</v>
      </c>
      <c r="Y189" s="493">
        <f>R188</f>
        <v>-49500</v>
      </c>
      <c r="Z189" s="494"/>
      <c r="AA189" s="494"/>
      <c r="AB189" s="493">
        <f>SUM(Y188:AA188)</f>
        <v>49500</v>
      </c>
      <c r="AC189" s="493">
        <f>X188+AB188</f>
        <v>-452138</v>
      </c>
      <c r="AD189" s="495"/>
      <c r="AE189" s="495"/>
      <c r="AF189" s="494"/>
      <c r="AG189" s="494"/>
      <c r="AH189" s="493">
        <f>SUM(AF188:AG188)</f>
        <v>112399</v>
      </c>
      <c r="AI189" s="493">
        <f>AC188+AD188+AE188+AH188</f>
        <v>-502591</v>
      </c>
      <c r="AJ189" s="676"/>
      <c r="AK189" s="676"/>
      <c r="AL189" s="676"/>
      <c r="AM189" s="676"/>
      <c r="AN189" s="676"/>
      <c r="AO189" s="676"/>
      <c r="AP189" s="676"/>
      <c r="AQ189" s="676"/>
      <c r="AR189" s="706">
        <f>AJ188+AL188+AM188+AO188+AP188</f>
        <v>-0.59</v>
      </c>
      <c r="AS189" s="706">
        <f>AK188+AN188+AQ188</f>
        <v>-0.7</v>
      </c>
      <c r="AT189" s="706">
        <f>SUM(AR188:AS188)</f>
        <v>-1.29</v>
      </c>
      <c r="AU189" s="490">
        <f>SUM(AV188:AZ188)</f>
        <v>667581714</v>
      </c>
      <c r="AV189" s="55"/>
      <c r="AW189" s="55"/>
      <c r="AX189" s="55"/>
      <c r="AY189" s="55"/>
      <c r="AZ189" s="55"/>
      <c r="BA189" s="491">
        <f>SUM(BB188:BC188)</f>
        <v>1016.9069999999999</v>
      </c>
      <c r="BB189" s="93"/>
      <c r="BC189" s="93"/>
    </row>
    <row r="190" spans="1:55" ht="12.75" customHeight="1" thickBot="1" x14ac:dyDescent="0.25">
      <c r="D190" s="9"/>
      <c r="E190" s="5"/>
      <c r="F190" s="9"/>
      <c r="G190" s="5"/>
      <c r="H190" s="5"/>
      <c r="I190" s="91">
        <f>SUM(J191:N191)</f>
        <v>668084305</v>
      </c>
      <c r="J190" s="53"/>
      <c r="K190" s="53"/>
      <c r="L190" s="496"/>
      <c r="M190" s="496"/>
      <c r="N190" s="53"/>
      <c r="O190" s="92">
        <f>SUM(P191:Q191)</f>
        <v>1018.1969999999999</v>
      </c>
      <c r="P190" s="183"/>
      <c r="Q190" s="183"/>
      <c r="R190" s="491"/>
      <c r="S190" s="491"/>
      <c r="T190" s="491"/>
      <c r="U190" s="491"/>
      <c r="V190" s="491"/>
      <c r="W190" s="491"/>
      <c r="X190" s="497">
        <f>SUM(R191:W191)</f>
        <v>-501638</v>
      </c>
      <c r="Y190" s="498"/>
      <c r="Z190" s="498"/>
      <c r="AA190" s="498"/>
      <c r="AB190" s="497">
        <f>SUM(Y191:AA191)</f>
        <v>49500</v>
      </c>
      <c r="AC190" s="497">
        <f>X191+AB191</f>
        <v>-452138</v>
      </c>
      <c r="AD190" s="499"/>
      <c r="AE190" s="499"/>
      <c r="AF190" s="498"/>
      <c r="AG190" s="498"/>
      <c r="AH190" s="497">
        <f>SUM(AF191:AG191)</f>
        <v>112399</v>
      </c>
      <c r="AI190" s="497">
        <f>AC191+AD191+AE191+AH191</f>
        <v>-502591</v>
      </c>
      <c r="AJ190" s="677"/>
      <c r="AK190" s="677"/>
      <c r="AL190" s="677"/>
      <c r="AM190" s="677"/>
      <c r="AN190" s="677"/>
      <c r="AO190" s="677"/>
      <c r="AP190" s="677"/>
      <c r="AQ190" s="677"/>
      <c r="AR190" s="663">
        <f>AJ191+AL191+AM191+AO191+AP191</f>
        <v>-0.59000000000000019</v>
      </c>
      <c r="AS190" s="663">
        <f>AK191+AN191+AQ191</f>
        <v>-0.7</v>
      </c>
      <c r="AT190" s="663">
        <f>SUM(AR191:AS191)</f>
        <v>-1.29</v>
      </c>
      <c r="AU190" s="490">
        <f>SUM(AV191:AZ191)</f>
        <v>667581714</v>
      </c>
      <c r="AV190" s="55"/>
      <c r="AW190" s="55"/>
      <c r="AX190" s="55"/>
      <c r="AY190" s="55"/>
      <c r="AZ190" s="55"/>
      <c r="BA190" s="491">
        <f>SUM(BB191:BC191)</f>
        <v>1016.9069999999998</v>
      </c>
      <c r="BB190" s="93"/>
      <c r="BC190" s="93"/>
    </row>
    <row r="191" spans="1:55" ht="12.75" customHeight="1" thickBot="1" x14ac:dyDescent="0.25">
      <c r="D191" s="9"/>
      <c r="E191" s="5"/>
      <c r="F191" s="9"/>
      <c r="G191" s="5"/>
      <c r="H191" s="517" t="s">
        <v>0</v>
      </c>
      <c r="I191" s="146">
        <f t="shared" ref="I191:BC191" si="461">SUM(I192:I201)</f>
        <v>668084305</v>
      </c>
      <c r="J191" s="34">
        <f t="shared" si="461"/>
        <v>483294193</v>
      </c>
      <c r="K191" s="34">
        <f t="shared" si="461"/>
        <v>2041220</v>
      </c>
      <c r="L191" s="34">
        <f t="shared" si="461"/>
        <v>164043373</v>
      </c>
      <c r="M191" s="34">
        <f t="shared" si="461"/>
        <v>9665886</v>
      </c>
      <c r="N191" s="34">
        <f t="shared" si="461"/>
        <v>9039633</v>
      </c>
      <c r="O191" s="35">
        <f t="shared" si="461"/>
        <v>1018.197</v>
      </c>
      <c r="P191" s="35">
        <f t="shared" si="461"/>
        <v>709.76939999999991</v>
      </c>
      <c r="Q191" s="155">
        <f t="shared" si="461"/>
        <v>308.42759999999998</v>
      </c>
      <c r="R191" s="146">
        <f t="shared" si="461"/>
        <v>-49500</v>
      </c>
      <c r="S191" s="34">
        <f t="shared" si="461"/>
        <v>58667</v>
      </c>
      <c r="T191" s="34">
        <f t="shared" si="461"/>
        <v>-515448</v>
      </c>
      <c r="U191" s="34">
        <f t="shared" si="461"/>
        <v>80784</v>
      </c>
      <c r="V191" s="34">
        <f t="shared" si="461"/>
        <v>-76141</v>
      </c>
      <c r="W191" s="34">
        <f t="shared" si="461"/>
        <v>0</v>
      </c>
      <c r="X191" s="34">
        <f t="shared" si="461"/>
        <v>-501638</v>
      </c>
      <c r="Y191" s="34">
        <f t="shared" si="461"/>
        <v>49500</v>
      </c>
      <c r="Z191" s="34">
        <f t="shared" si="461"/>
        <v>0</v>
      </c>
      <c r="AA191" s="34">
        <f t="shared" si="461"/>
        <v>0</v>
      </c>
      <c r="AB191" s="34">
        <f t="shared" si="461"/>
        <v>49500</v>
      </c>
      <c r="AC191" s="34">
        <f t="shared" si="461"/>
        <v>-452138</v>
      </c>
      <c r="AD191" s="34">
        <f t="shared" si="461"/>
        <v>-152820</v>
      </c>
      <c r="AE191" s="34">
        <f t="shared" si="461"/>
        <v>-10032</v>
      </c>
      <c r="AF191" s="34">
        <f t="shared" si="461"/>
        <v>9000</v>
      </c>
      <c r="AG191" s="34">
        <f t="shared" si="461"/>
        <v>103399</v>
      </c>
      <c r="AH191" s="34">
        <f t="shared" si="461"/>
        <v>112399</v>
      </c>
      <c r="AI191" s="34">
        <f t="shared" si="461"/>
        <v>-502591</v>
      </c>
      <c r="AJ191" s="678">
        <f t="shared" si="461"/>
        <v>-0.05</v>
      </c>
      <c r="AK191" s="678">
        <f t="shared" si="461"/>
        <v>-0.12</v>
      </c>
      <c r="AL191" s="678">
        <f t="shared" si="461"/>
        <v>0.25</v>
      </c>
      <c r="AM191" s="678">
        <f t="shared" si="461"/>
        <v>-0.92000000000000015</v>
      </c>
      <c r="AN191" s="678">
        <f t="shared" si="461"/>
        <v>-0.57999999999999996</v>
      </c>
      <c r="AO191" s="678">
        <f t="shared" si="461"/>
        <v>0.13</v>
      </c>
      <c r="AP191" s="678">
        <f t="shared" si="461"/>
        <v>0</v>
      </c>
      <c r="AQ191" s="678">
        <f t="shared" si="461"/>
        <v>0</v>
      </c>
      <c r="AR191" s="678">
        <f t="shared" si="461"/>
        <v>-0.59000000000000019</v>
      </c>
      <c r="AS191" s="678">
        <f t="shared" si="461"/>
        <v>-0.7</v>
      </c>
      <c r="AT191" s="708">
        <f t="shared" si="461"/>
        <v>-1.2899999999999998</v>
      </c>
      <c r="AU191" s="146">
        <f t="shared" si="461"/>
        <v>667581714</v>
      </c>
      <c r="AV191" s="34">
        <f t="shared" si="461"/>
        <v>482792555</v>
      </c>
      <c r="AW191" s="34">
        <f t="shared" si="461"/>
        <v>2090720</v>
      </c>
      <c r="AX191" s="34">
        <f t="shared" si="461"/>
        <v>163890553</v>
      </c>
      <c r="AY191" s="34">
        <f t="shared" si="461"/>
        <v>9655854</v>
      </c>
      <c r="AZ191" s="34">
        <f t="shared" si="461"/>
        <v>9152032</v>
      </c>
      <c r="BA191" s="35">
        <f t="shared" si="461"/>
        <v>1016.9069999999999</v>
      </c>
      <c r="BB191" s="35">
        <f t="shared" si="461"/>
        <v>709.17939999999987</v>
      </c>
      <c r="BC191" s="36">
        <f t="shared" si="461"/>
        <v>307.72759999999994</v>
      </c>
    </row>
    <row r="192" spans="1:55" ht="12.75" customHeight="1" x14ac:dyDescent="0.2">
      <c r="D192" s="9"/>
      <c r="E192" s="5"/>
      <c r="F192" s="9"/>
      <c r="G192" s="5"/>
      <c r="H192" s="518">
        <v>3111</v>
      </c>
      <c r="I192" s="618">
        <f t="shared" ref="I192:BC192" si="462">SUMIF($F$12:$F$464,"=3111",I$12:I$464)</f>
        <v>168044464</v>
      </c>
      <c r="J192" s="619">
        <f t="shared" si="462"/>
        <v>122408747</v>
      </c>
      <c r="K192" s="619">
        <f t="shared" si="462"/>
        <v>632200</v>
      </c>
      <c r="L192" s="619">
        <f t="shared" si="462"/>
        <v>41587842</v>
      </c>
      <c r="M192" s="619">
        <f t="shared" si="462"/>
        <v>2448175</v>
      </c>
      <c r="N192" s="619">
        <f t="shared" si="462"/>
        <v>967500</v>
      </c>
      <c r="O192" s="624">
        <f t="shared" si="462"/>
        <v>277.7645</v>
      </c>
      <c r="P192" s="624">
        <f t="shared" si="462"/>
        <v>211.21360000000001</v>
      </c>
      <c r="Q192" s="625">
        <f t="shared" si="462"/>
        <v>66.550900000000013</v>
      </c>
      <c r="R192" s="618">
        <f t="shared" si="462"/>
        <v>0</v>
      </c>
      <c r="S192" s="619">
        <f t="shared" si="462"/>
        <v>0</v>
      </c>
      <c r="T192" s="619">
        <f t="shared" si="462"/>
        <v>-800850</v>
      </c>
      <c r="U192" s="619">
        <f t="shared" si="462"/>
        <v>0</v>
      </c>
      <c r="V192" s="619">
        <f t="shared" si="462"/>
        <v>-76141</v>
      </c>
      <c r="W192" s="619">
        <f t="shared" si="462"/>
        <v>0</v>
      </c>
      <c r="X192" s="619">
        <f t="shared" si="462"/>
        <v>-876991</v>
      </c>
      <c r="Y192" s="619">
        <f t="shared" si="462"/>
        <v>0</v>
      </c>
      <c r="Z192" s="619">
        <f t="shared" si="462"/>
        <v>0</v>
      </c>
      <c r="AA192" s="619">
        <f t="shared" si="462"/>
        <v>0</v>
      </c>
      <c r="AB192" s="619">
        <f t="shared" si="462"/>
        <v>0</v>
      </c>
      <c r="AC192" s="619">
        <f t="shared" si="462"/>
        <v>-876991</v>
      </c>
      <c r="AD192" s="619">
        <f t="shared" si="462"/>
        <v>-296422</v>
      </c>
      <c r="AE192" s="619">
        <f t="shared" si="462"/>
        <v>-17540</v>
      </c>
      <c r="AF192" s="619">
        <f t="shared" si="462"/>
        <v>0</v>
      </c>
      <c r="AG192" s="619">
        <f t="shared" si="462"/>
        <v>103399</v>
      </c>
      <c r="AH192" s="619">
        <f t="shared" si="462"/>
        <v>103399</v>
      </c>
      <c r="AI192" s="619">
        <f t="shared" si="462"/>
        <v>-1087554</v>
      </c>
      <c r="AJ192" s="679">
        <f t="shared" si="462"/>
        <v>0</v>
      </c>
      <c r="AK192" s="679">
        <f t="shared" si="462"/>
        <v>0</v>
      </c>
      <c r="AL192" s="679">
        <f t="shared" si="462"/>
        <v>0</v>
      </c>
      <c r="AM192" s="679">
        <f t="shared" si="462"/>
        <v>-1.61</v>
      </c>
      <c r="AN192" s="679">
        <f t="shared" si="462"/>
        <v>-0.17</v>
      </c>
      <c r="AO192" s="679">
        <f t="shared" si="462"/>
        <v>0</v>
      </c>
      <c r="AP192" s="679">
        <f t="shared" si="462"/>
        <v>0</v>
      </c>
      <c r="AQ192" s="679">
        <f t="shared" si="462"/>
        <v>0</v>
      </c>
      <c r="AR192" s="679">
        <f t="shared" si="462"/>
        <v>-1.61</v>
      </c>
      <c r="AS192" s="679">
        <f t="shared" si="462"/>
        <v>-0.17</v>
      </c>
      <c r="AT192" s="709">
        <f t="shared" si="462"/>
        <v>-1.78</v>
      </c>
      <c r="AU192" s="618">
        <f t="shared" si="462"/>
        <v>166956910</v>
      </c>
      <c r="AV192" s="619">
        <f t="shared" si="462"/>
        <v>121531756</v>
      </c>
      <c r="AW192" s="619">
        <f t="shared" si="462"/>
        <v>632200</v>
      </c>
      <c r="AX192" s="619">
        <f t="shared" si="462"/>
        <v>41291420</v>
      </c>
      <c r="AY192" s="619">
        <f t="shared" si="462"/>
        <v>2430635</v>
      </c>
      <c r="AZ192" s="619">
        <f t="shared" si="462"/>
        <v>1070899</v>
      </c>
      <c r="BA192" s="624">
        <f t="shared" si="462"/>
        <v>275.98449999999997</v>
      </c>
      <c r="BB192" s="624">
        <f t="shared" si="462"/>
        <v>209.6036</v>
      </c>
      <c r="BC192" s="627">
        <f t="shared" si="462"/>
        <v>66.380899999999997</v>
      </c>
    </row>
    <row r="193" spans="4:55" ht="12.75" customHeight="1" x14ac:dyDescent="0.2">
      <c r="D193" s="9"/>
      <c r="E193" s="5"/>
      <c r="F193" s="9"/>
      <c r="G193" s="5"/>
      <c r="H193" s="2">
        <v>3113</v>
      </c>
      <c r="I193" s="174">
        <f t="shared" ref="I193:BC193" si="463">SUMIF($F$12:$F$464,"=3113",I$12:I$464)</f>
        <v>363376788</v>
      </c>
      <c r="J193" s="16">
        <f t="shared" si="463"/>
        <v>261574318</v>
      </c>
      <c r="K193" s="16">
        <f t="shared" si="463"/>
        <v>659820</v>
      </c>
      <c r="L193" s="16">
        <f t="shared" si="463"/>
        <v>88635143</v>
      </c>
      <c r="M193" s="16">
        <f t="shared" si="463"/>
        <v>5231487</v>
      </c>
      <c r="N193" s="16">
        <f t="shared" si="463"/>
        <v>7276020</v>
      </c>
      <c r="O193" s="13">
        <f t="shared" si="463"/>
        <v>493.76029999999992</v>
      </c>
      <c r="P193" s="13">
        <f t="shared" si="463"/>
        <v>395.66339999999997</v>
      </c>
      <c r="Q193" s="176">
        <f t="shared" si="463"/>
        <v>98.096900000000005</v>
      </c>
      <c r="R193" s="174">
        <f t="shared" si="463"/>
        <v>-49500</v>
      </c>
      <c r="S193" s="16">
        <f t="shared" si="463"/>
        <v>58667</v>
      </c>
      <c r="T193" s="16">
        <f t="shared" si="463"/>
        <v>283755</v>
      </c>
      <c r="U193" s="16">
        <f t="shared" si="463"/>
        <v>80784</v>
      </c>
      <c r="V193" s="16">
        <f t="shared" si="463"/>
        <v>0</v>
      </c>
      <c r="W193" s="16">
        <f t="shared" si="463"/>
        <v>0</v>
      </c>
      <c r="X193" s="16">
        <f t="shared" si="463"/>
        <v>373706</v>
      </c>
      <c r="Y193" s="16">
        <f t="shared" si="463"/>
        <v>49500</v>
      </c>
      <c r="Z193" s="16">
        <f t="shared" si="463"/>
        <v>0</v>
      </c>
      <c r="AA193" s="16">
        <f t="shared" si="463"/>
        <v>0</v>
      </c>
      <c r="AB193" s="16">
        <f t="shared" si="463"/>
        <v>49500</v>
      </c>
      <c r="AC193" s="16">
        <f t="shared" si="463"/>
        <v>423206</v>
      </c>
      <c r="AD193" s="16">
        <f t="shared" si="463"/>
        <v>143044</v>
      </c>
      <c r="AE193" s="16">
        <f t="shared" si="463"/>
        <v>7473</v>
      </c>
      <c r="AF193" s="16">
        <f t="shared" si="463"/>
        <v>9000</v>
      </c>
      <c r="AG193" s="16">
        <f t="shared" si="463"/>
        <v>0</v>
      </c>
      <c r="AH193" s="16">
        <f t="shared" si="463"/>
        <v>9000</v>
      </c>
      <c r="AI193" s="16">
        <f t="shared" si="463"/>
        <v>582723</v>
      </c>
      <c r="AJ193" s="680">
        <f t="shared" si="463"/>
        <v>-0.05</v>
      </c>
      <c r="AK193" s="680">
        <f t="shared" si="463"/>
        <v>-0.12</v>
      </c>
      <c r="AL193" s="680">
        <f t="shared" si="463"/>
        <v>0.25</v>
      </c>
      <c r="AM193" s="680">
        <f t="shared" si="463"/>
        <v>0.44</v>
      </c>
      <c r="AN193" s="680">
        <f t="shared" si="463"/>
        <v>0</v>
      </c>
      <c r="AO193" s="680">
        <f t="shared" si="463"/>
        <v>0.13</v>
      </c>
      <c r="AP193" s="680">
        <f t="shared" si="463"/>
        <v>0</v>
      </c>
      <c r="AQ193" s="680">
        <f t="shared" si="463"/>
        <v>0</v>
      </c>
      <c r="AR193" s="680">
        <f t="shared" si="463"/>
        <v>0.76999999999999991</v>
      </c>
      <c r="AS193" s="680">
        <f t="shared" si="463"/>
        <v>-0.12</v>
      </c>
      <c r="AT193" s="710">
        <f t="shared" si="463"/>
        <v>0.65</v>
      </c>
      <c r="AU193" s="174">
        <f t="shared" si="463"/>
        <v>363959511</v>
      </c>
      <c r="AV193" s="16">
        <f t="shared" si="463"/>
        <v>261948024</v>
      </c>
      <c r="AW193" s="16">
        <f t="shared" si="463"/>
        <v>709320</v>
      </c>
      <c r="AX193" s="16">
        <f t="shared" si="463"/>
        <v>88778187</v>
      </c>
      <c r="AY193" s="16">
        <f t="shared" si="463"/>
        <v>5238960</v>
      </c>
      <c r="AZ193" s="16">
        <f t="shared" si="463"/>
        <v>7285020</v>
      </c>
      <c r="BA193" s="13">
        <f t="shared" si="463"/>
        <v>494.41029999999984</v>
      </c>
      <c r="BB193" s="13">
        <f t="shared" si="463"/>
        <v>396.43339999999989</v>
      </c>
      <c r="BC193" s="17">
        <f t="shared" si="463"/>
        <v>97.976900000000015</v>
      </c>
    </row>
    <row r="194" spans="4:55" ht="12.75" customHeight="1" x14ac:dyDescent="0.2">
      <c r="D194" s="9"/>
      <c r="E194" s="5"/>
      <c r="F194" s="9"/>
      <c r="G194" s="5"/>
      <c r="H194" s="2">
        <v>3114</v>
      </c>
      <c r="I194" s="174">
        <f t="shared" ref="I194:BC194" si="464">SUMIF($F$12:$F$464,"=3114",I$12:I$464)</f>
        <v>0</v>
      </c>
      <c r="J194" s="16">
        <f t="shared" si="464"/>
        <v>0</v>
      </c>
      <c r="K194" s="16">
        <f t="shared" si="464"/>
        <v>0</v>
      </c>
      <c r="L194" s="16">
        <f t="shared" si="464"/>
        <v>0</v>
      </c>
      <c r="M194" s="16">
        <f t="shared" si="464"/>
        <v>0</v>
      </c>
      <c r="N194" s="16">
        <f t="shared" si="464"/>
        <v>0</v>
      </c>
      <c r="O194" s="13">
        <f t="shared" si="464"/>
        <v>0</v>
      </c>
      <c r="P194" s="13">
        <f t="shared" si="464"/>
        <v>0</v>
      </c>
      <c r="Q194" s="176">
        <f t="shared" si="464"/>
        <v>0</v>
      </c>
      <c r="R194" s="174">
        <f t="shared" si="464"/>
        <v>0</v>
      </c>
      <c r="S194" s="16">
        <f t="shared" si="464"/>
        <v>0</v>
      </c>
      <c r="T194" s="16">
        <f t="shared" si="464"/>
        <v>0</v>
      </c>
      <c r="U194" s="16">
        <f t="shared" si="464"/>
        <v>0</v>
      </c>
      <c r="V194" s="16">
        <f t="shared" si="464"/>
        <v>0</v>
      </c>
      <c r="W194" s="16">
        <f t="shared" si="464"/>
        <v>0</v>
      </c>
      <c r="X194" s="16">
        <f t="shared" si="464"/>
        <v>0</v>
      </c>
      <c r="Y194" s="16">
        <f t="shared" si="464"/>
        <v>0</v>
      </c>
      <c r="Z194" s="16">
        <f t="shared" si="464"/>
        <v>0</v>
      </c>
      <c r="AA194" s="16">
        <f t="shared" si="464"/>
        <v>0</v>
      </c>
      <c r="AB194" s="16">
        <f t="shared" si="464"/>
        <v>0</v>
      </c>
      <c r="AC194" s="16">
        <f t="shared" si="464"/>
        <v>0</v>
      </c>
      <c r="AD194" s="16">
        <f t="shared" si="464"/>
        <v>0</v>
      </c>
      <c r="AE194" s="16">
        <f t="shared" si="464"/>
        <v>0</v>
      </c>
      <c r="AF194" s="16">
        <f t="shared" si="464"/>
        <v>0</v>
      </c>
      <c r="AG194" s="16">
        <f t="shared" si="464"/>
        <v>0</v>
      </c>
      <c r="AH194" s="16">
        <f t="shared" si="464"/>
        <v>0</v>
      </c>
      <c r="AI194" s="16">
        <f t="shared" si="464"/>
        <v>0</v>
      </c>
      <c r="AJ194" s="680">
        <f t="shared" si="464"/>
        <v>0</v>
      </c>
      <c r="AK194" s="680">
        <f t="shared" si="464"/>
        <v>0</v>
      </c>
      <c r="AL194" s="680">
        <f t="shared" si="464"/>
        <v>0</v>
      </c>
      <c r="AM194" s="680">
        <f t="shared" si="464"/>
        <v>0</v>
      </c>
      <c r="AN194" s="680">
        <f t="shared" si="464"/>
        <v>0</v>
      </c>
      <c r="AO194" s="680">
        <f t="shared" si="464"/>
        <v>0</v>
      </c>
      <c r="AP194" s="680">
        <f t="shared" si="464"/>
        <v>0</v>
      </c>
      <c r="AQ194" s="680">
        <f t="shared" si="464"/>
        <v>0</v>
      </c>
      <c r="AR194" s="680">
        <f t="shared" si="464"/>
        <v>0</v>
      </c>
      <c r="AS194" s="680">
        <f t="shared" si="464"/>
        <v>0</v>
      </c>
      <c r="AT194" s="710">
        <f t="shared" si="464"/>
        <v>0</v>
      </c>
      <c r="AU194" s="174">
        <f t="shared" si="464"/>
        <v>0</v>
      </c>
      <c r="AV194" s="16">
        <f t="shared" si="464"/>
        <v>0</v>
      </c>
      <c r="AW194" s="16">
        <f t="shared" si="464"/>
        <v>0</v>
      </c>
      <c r="AX194" s="16">
        <f t="shared" si="464"/>
        <v>0</v>
      </c>
      <c r="AY194" s="16">
        <f t="shared" si="464"/>
        <v>0</v>
      </c>
      <c r="AZ194" s="16">
        <f t="shared" si="464"/>
        <v>0</v>
      </c>
      <c r="BA194" s="13">
        <f t="shared" si="464"/>
        <v>0</v>
      </c>
      <c r="BB194" s="13">
        <f t="shared" si="464"/>
        <v>0</v>
      </c>
      <c r="BC194" s="17">
        <f t="shared" si="464"/>
        <v>0</v>
      </c>
    </row>
    <row r="195" spans="4:55" ht="12.75" customHeight="1" x14ac:dyDescent="0.2">
      <c r="D195" s="9"/>
      <c r="E195" s="5"/>
      <c r="F195" s="9"/>
      <c r="G195" s="5"/>
      <c r="H195" s="2">
        <v>3117</v>
      </c>
      <c r="I195" s="174">
        <f t="shared" ref="I195:BC195" si="465">SUMIF($F$12:$F$464,"=3117",I$12:I$464)</f>
        <v>10855371</v>
      </c>
      <c r="J195" s="16">
        <f t="shared" si="465"/>
        <v>7858588</v>
      </c>
      <c r="K195" s="16">
        <f t="shared" si="465"/>
        <v>0</v>
      </c>
      <c r="L195" s="16">
        <f t="shared" si="465"/>
        <v>2656202</v>
      </c>
      <c r="M195" s="16">
        <f t="shared" si="465"/>
        <v>157171</v>
      </c>
      <c r="N195" s="16">
        <f t="shared" si="465"/>
        <v>183410</v>
      </c>
      <c r="O195" s="13">
        <f t="shared" si="465"/>
        <v>16.622700000000002</v>
      </c>
      <c r="P195" s="13">
        <f t="shared" si="465"/>
        <v>12.981</v>
      </c>
      <c r="Q195" s="176">
        <f t="shared" si="465"/>
        <v>3.6417000000000002</v>
      </c>
      <c r="R195" s="174">
        <f t="shared" si="465"/>
        <v>0</v>
      </c>
      <c r="S195" s="16">
        <f t="shared" si="465"/>
        <v>0</v>
      </c>
      <c r="T195" s="16">
        <f t="shared" si="465"/>
        <v>0</v>
      </c>
      <c r="U195" s="16">
        <f t="shared" si="465"/>
        <v>0</v>
      </c>
      <c r="V195" s="16">
        <f t="shared" si="465"/>
        <v>0</v>
      </c>
      <c r="W195" s="16">
        <f t="shared" si="465"/>
        <v>0</v>
      </c>
      <c r="X195" s="16">
        <f t="shared" si="465"/>
        <v>0</v>
      </c>
      <c r="Y195" s="16">
        <f t="shared" si="465"/>
        <v>0</v>
      </c>
      <c r="Z195" s="16">
        <f t="shared" si="465"/>
        <v>0</v>
      </c>
      <c r="AA195" s="16">
        <f t="shared" si="465"/>
        <v>0</v>
      </c>
      <c r="AB195" s="16">
        <f t="shared" si="465"/>
        <v>0</v>
      </c>
      <c r="AC195" s="16">
        <f t="shared" si="465"/>
        <v>0</v>
      </c>
      <c r="AD195" s="16">
        <f t="shared" si="465"/>
        <v>0</v>
      </c>
      <c r="AE195" s="16">
        <f t="shared" si="465"/>
        <v>0</v>
      </c>
      <c r="AF195" s="16">
        <f t="shared" si="465"/>
        <v>0</v>
      </c>
      <c r="AG195" s="16">
        <f t="shared" si="465"/>
        <v>0</v>
      </c>
      <c r="AH195" s="16">
        <f t="shared" si="465"/>
        <v>0</v>
      </c>
      <c r="AI195" s="16">
        <f t="shared" si="465"/>
        <v>0</v>
      </c>
      <c r="AJ195" s="680">
        <f t="shared" si="465"/>
        <v>0</v>
      </c>
      <c r="AK195" s="680">
        <f t="shared" si="465"/>
        <v>0</v>
      </c>
      <c r="AL195" s="680">
        <f t="shared" si="465"/>
        <v>0</v>
      </c>
      <c r="AM195" s="680">
        <f t="shared" si="465"/>
        <v>0</v>
      </c>
      <c r="AN195" s="680">
        <f t="shared" si="465"/>
        <v>0</v>
      </c>
      <c r="AO195" s="680">
        <f t="shared" si="465"/>
        <v>0</v>
      </c>
      <c r="AP195" s="680">
        <f t="shared" si="465"/>
        <v>0</v>
      </c>
      <c r="AQ195" s="680">
        <f t="shared" si="465"/>
        <v>0</v>
      </c>
      <c r="AR195" s="680">
        <f t="shared" si="465"/>
        <v>0</v>
      </c>
      <c r="AS195" s="680">
        <f t="shared" si="465"/>
        <v>0</v>
      </c>
      <c r="AT195" s="710">
        <f t="shared" si="465"/>
        <v>0</v>
      </c>
      <c r="AU195" s="174">
        <f t="shared" si="465"/>
        <v>10855371</v>
      </c>
      <c r="AV195" s="16">
        <f t="shared" si="465"/>
        <v>7858588</v>
      </c>
      <c r="AW195" s="16">
        <f t="shared" si="465"/>
        <v>0</v>
      </c>
      <c r="AX195" s="16">
        <f t="shared" si="465"/>
        <v>2656202</v>
      </c>
      <c r="AY195" s="16">
        <f t="shared" si="465"/>
        <v>157171</v>
      </c>
      <c r="AZ195" s="16">
        <f t="shared" si="465"/>
        <v>183410</v>
      </c>
      <c r="BA195" s="13">
        <f t="shared" si="465"/>
        <v>16.622700000000002</v>
      </c>
      <c r="BB195" s="13">
        <f t="shared" si="465"/>
        <v>12.981</v>
      </c>
      <c r="BC195" s="17">
        <f t="shared" si="465"/>
        <v>3.6417000000000002</v>
      </c>
    </row>
    <row r="196" spans="4:55" ht="13.5" customHeight="1" x14ac:dyDescent="0.2">
      <c r="D196" s="9"/>
      <c r="E196" s="5"/>
      <c r="F196" s="9"/>
      <c r="G196" s="5"/>
      <c r="H196" s="2">
        <v>3122</v>
      </c>
      <c r="I196" s="174">
        <f t="shared" ref="I196:BC196" si="466">SUMIF($F$12:$F$464,"=3122",I$12:I$464)</f>
        <v>0</v>
      </c>
      <c r="J196" s="16">
        <f t="shared" si="466"/>
        <v>0</v>
      </c>
      <c r="K196" s="16">
        <f t="shared" si="466"/>
        <v>0</v>
      </c>
      <c r="L196" s="16">
        <f t="shared" si="466"/>
        <v>0</v>
      </c>
      <c r="M196" s="16">
        <f t="shared" si="466"/>
        <v>0</v>
      </c>
      <c r="N196" s="16">
        <f t="shared" si="466"/>
        <v>0</v>
      </c>
      <c r="O196" s="13">
        <f t="shared" si="466"/>
        <v>0</v>
      </c>
      <c r="P196" s="13">
        <f t="shared" si="466"/>
        <v>0</v>
      </c>
      <c r="Q196" s="176">
        <f t="shared" si="466"/>
        <v>0</v>
      </c>
      <c r="R196" s="174">
        <f t="shared" si="466"/>
        <v>0</v>
      </c>
      <c r="S196" s="16">
        <f t="shared" si="466"/>
        <v>0</v>
      </c>
      <c r="T196" s="16">
        <f t="shared" si="466"/>
        <v>0</v>
      </c>
      <c r="U196" s="16">
        <f t="shared" si="466"/>
        <v>0</v>
      </c>
      <c r="V196" s="16">
        <f t="shared" si="466"/>
        <v>0</v>
      </c>
      <c r="W196" s="16">
        <f t="shared" si="466"/>
        <v>0</v>
      </c>
      <c r="X196" s="16">
        <f t="shared" si="466"/>
        <v>0</v>
      </c>
      <c r="Y196" s="16">
        <f t="shared" si="466"/>
        <v>0</v>
      </c>
      <c r="Z196" s="16">
        <f t="shared" si="466"/>
        <v>0</v>
      </c>
      <c r="AA196" s="16">
        <f t="shared" si="466"/>
        <v>0</v>
      </c>
      <c r="AB196" s="16">
        <f t="shared" si="466"/>
        <v>0</v>
      </c>
      <c r="AC196" s="16">
        <f t="shared" si="466"/>
        <v>0</v>
      </c>
      <c r="AD196" s="16">
        <f t="shared" si="466"/>
        <v>0</v>
      </c>
      <c r="AE196" s="16">
        <f t="shared" si="466"/>
        <v>0</v>
      </c>
      <c r="AF196" s="16">
        <f t="shared" si="466"/>
        <v>0</v>
      </c>
      <c r="AG196" s="16">
        <f t="shared" si="466"/>
        <v>0</v>
      </c>
      <c r="AH196" s="16">
        <f t="shared" si="466"/>
        <v>0</v>
      </c>
      <c r="AI196" s="16">
        <f t="shared" si="466"/>
        <v>0</v>
      </c>
      <c r="AJ196" s="680">
        <f t="shared" si="466"/>
        <v>0</v>
      </c>
      <c r="AK196" s="680">
        <f t="shared" si="466"/>
        <v>0</v>
      </c>
      <c r="AL196" s="680">
        <f t="shared" si="466"/>
        <v>0</v>
      </c>
      <c r="AM196" s="680">
        <f t="shared" si="466"/>
        <v>0</v>
      </c>
      <c r="AN196" s="680">
        <f t="shared" si="466"/>
        <v>0</v>
      </c>
      <c r="AO196" s="680">
        <f t="shared" si="466"/>
        <v>0</v>
      </c>
      <c r="AP196" s="680">
        <f t="shared" si="466"/>
        <v>0</v>
      </c>
      <c r="AQ196" s="680">
        <f t="shared" si="466"/>
        <v>0</v>
      </c>
      <c r="AR196" s="680">
        <f t="shared" si="466"/>
        <v>0</v>
      </c>
      <c r="AS196" s="680">
        <f t="shared" si="466"/>
        <v>0</v>
      </c>
      <c r="AT196" s="710">
        <f t="shared" si="466"/>
        <v>0</v>
      </c>
      <c r="AU196" s="174">
        <f t="shared" si="466"/>
        <v>0</v>
      </c>
      <c r="AV196" s="16">
        <f t="shared" si="466"/>
        <v>0</v>
      </c>
      <c r="AW196" s="16">
        <f t="shared" si="466"/>
        <v>0</v>
      </c>
      <c r="AX196" s="16">
        <f t="shared" si="466"/>
        <v>0</v>
      </c>
      <c r="AY196" s="16">
        <f t="shared" si="466"/>
        <v>0</v>
      </c>
      <c r="AZ196" s="16">
        <f t="shared" si="466"/>
        <v>0</v>
      </c>
      <c r="BA196" s="13">
        <f t="shared" si="466"/>
        <v>0</v>
      </c>
      <c r="BB196" s="13">
        <f t="shared" si="466"/>
        <v>0</v>
      </c>
      <c r="BC196" s="17">
        <f t="shared" si="466"/>
        <v>0</v>
      </c>
    </row>
    <row r="197" spans="4:55" ht="12.75" customHeight="1" x14ac:dyDescent="0.2">
      <c r="D197" s="9"/>
      <c r="E197" s="5"/>
      <c r="F197" s="9"/>
      <c r="G197" s="5"/>
      <c r="H197" s="2">
        <v>3124</v>
      </c>
      <c r="I197" s="174">
        <f t="shared" ref="I197:BC197" si="467">SUMIF($F$12:$F$464,"=3124",I$12:I$464)</f>
        <v>0</v>
      </c>
      <c r="J197" s="16">
        <f t="shared" si="467"/>
        <v>0</v>
      </c>
      <c r="K197" s="16">
        <f t="shared" si="467"/>
        <v>0</v>
      </c>
      <c r="L197" s="16">
        <f t="shared" si="467"/>
        <v>0</v>
      </c>
      <c r="M197" s="16">
        <f t="shared" si="467"/>
        <v>0</v>
      </c>
      <c r="N197" s="16">
        <f t="shared" si="467"/>
        <v>0</v>
      </c>
      <c r="O197" s="13">
        <f t="shared" si="467"/>
        <v>0</v>
      </c>
      <c r="P197" s="13">
        <f t="shared" si="467"/>
        <v>0</v>
      </c>
      <c r="Q197" s="176">
        <f t="shared" si="467"/>
        <v>0</v>
      </c>
      <c r="R197" s="174">
        <f t="shared" si="467"/>
        <v>0</v>
      </c>
      <c r="S197" s="16">
        <f t="shared" si="467"/>
        <v>0</v>
      </c>
      <c r="T197" s="16">
        <f t="shared" si="467"/>
        <v>0</v>
      </c>
      <c r="U197" s="16">
        <f t="shared" si="467"/>
        <v>0</v>
      </c>
      <c r="V197" s="16">
        <f t="shared" si="467"/>
        <v>0</v>
      </c>
      <c r="W197" s="16">
        <f t="shared" si="467"/>
        <v>0</v>
      </c>
      <c r="X197" s="16">
        <f t="shared" si="467"/>
        <v>0</v>
      </c>
      <c r="Y197" s="16">
        <f t="shared" si="467"/>
        <v>0</v>
      </c>
      <c r="Z197" s="16">
        <f t="shared" si="467"/>
        <v>0</v>
      </c>
      <c r="AA197" s="16">
        <f t="shared" si="467"/>
        <v>0</v>
      </c>
      <c r="AB197" s="16">
        <f t="shared" si="467"/>
        <v>0</v>
      </c>
      <c r="AC197" s="16">
        <f t="shared" si="467"/>
        <v>0</v>
      </c>
      <c r="AD197" s="16">
        <f t="shared" si="467"/>
        <v>0</v>
      </c>
      <c r="AE197" s="16">
        <f t="shared" si="467"/>
        <v>0</v>
      </c>
      <c r="AF197" s="16">
        <f t="shared" si="467"/>
        <v>0</v>
      </c>
      <c r="AG197" s="16">
        <f t="shared" si="467"/>
        <v>0</v>
      </c>
      <c r="AH197" s="16">
        <f t="shared" si="467"/>
        <v>0</v>
      </c>
      <c r="AI197" s="16">
        <f t="shared" si="467"/>
        <v>0</v>
      </c>
      <c r="AJ197" s="680">
        <f t="shared" si="467"/>
        <v>0</v>
      </c>
      <c r="AK197" s="680">
        <f t="shared" si="467"/>
        <v>0</v>
      </c>
      <c r="AL197" s="680">
        <f t="shared" si="467"/>
        <v>0</v>
      </c>
      <c r="AM197" s="680">
        <f t="shared" si="467"/>
        <v>0</v>
      </c>
      <c r="AN197" s="680">
        <f t="shared" si="467"/>
        <v>0</v>
      </c>
      <c r="AO197" s="680">
        <f t="shared" si="467"/>
        <v>0</v>
      </c>
      <c r="AP197" s="680">
        <f t="shared" si="467"/>
        <v>0</v>
      </c>
      <c r="AQ197" s="680">
        <f t="shared" si="467"/>
        <v>0</v>
      </c>
      <c r="AR197" s="680">
        <f t="shared" si="467"/>
        <v>0</v>
      </c>
      <c r="AS197" s="680">
        <f t="shared" si="467"/>
        <v>0</v>
      </c>
      <c r="AT197" s="710">
        <f t="shared" si="467"/>
        <v>0</v>
      </c>
      <c r="AU197" s="174">
        <f t="shared" si="467"/>
        <v>0</v>
      </c>
      <c r="AV197" s="16">
        <f t="shared" si="467"/>
        <v>0</v>
      </c>
      <c r="AW197" s="16">
        <f t="shared" si="467"/>
        <v>0</v>
      </c>
      <c r="AX197" s="16">
        <f t="shared" si="467"/>
        <v>0</v>
      </c>
      <c r="AY197" s="16">
        <f t="shared" si="467"/>
        <v>0</v>
      </c>
      <c r="AZ197" s="16">
        <f t="shared" si="467"/>
        <v>0</v>
      </c>
      <c r="BA197" s="13">
        <f t="shared" si="467"/>
        <v>0</v>
      </c>
      <c r="BB197" s="13">
        <f t="shared" si="467"/>
        <v>0</v>
      </c>
      <c r="BC197" s="17">
        <f t="shared" si="467"/>
        <v>0</v>
      </c>
    </row>
    <row r="198" spans="4:55" ht="12.75" customHeight="1" x14ac:dyDescent="0.2">
      <c r="D198" s="9"/>
      <c r="E198" s="5"/>
      <c r="F198" s="9"/>
      <c r="G198" s="5"/>
      <c r="H198" s="2">
        <v>3141</v>
      </c>
      <c r="I198" s="174">
        <f t="shared" ref="I198:BC198" si="468">SUMIF($F$12:$F$464,"=3141",I$12:I$464)</f>
        <v>55656654</v>
      </c>
      <c r="J198" s="16">
        <f t="shared" si="468"/>
        <v>40489689</v>
      </c>
      <c r="K198" s="16">
        <f t="shared" si="468"/>
        <v>220200</v>
      </c>
      <c r="L198" s="16">
        <f t="shared" si="468"/>
        <v>13759942</v>
      </c>
      <c r="M198" s="16">
        <f t="shared" si="468"/>
        <v>809795</v>
      </c>
      <c r="N198" s="16">
        <f t="shared" si="468"/>
        <v>377028</v>
      </c>
      <c r="O198" s="13">
        <f t="shared" si="468"/>
        <v>127.89</v>
      </c>
      <c r="P198" s="13">
        <f t="shared" si="468"/>
        <v>0</v>
      </c>
      <c r="Q198" s="176">
        <f t="shared" si="468"/>
        <v>127.89</v>
      </c>
      <c r="R198" s="174">
        <f t="shared" si="468"/>
        <v>0</v>
      </c>
      <c r="S198" s="16">
        <f t="shared" si="468"/>
        <v>0</v>
      </c>
      <c r="T198" s="16">
        <f t="shared" si="468"/>
        <v>-122541</v>
      </c>
      <c r="U198" s="16">
        <f t="shared" si="468"/>
        <v>0</v>
      </c>
      <c r="V198" s="16">
        <f t="shared" si="468"/>
        <v>0</v>
      </c>
      <c r="W198" s="16">
        <f t="shared" si="468"/>
        <v>0</v>
      </c>
      <c r="X198" s="16">
        <f t="shared" si="468"/>
        <v>-122541</v>
      </c>
      <c r="Y198" s="16">
        <f t="shared" si="468"/>
        <v>0</v>
      </c>
      <c r="Z198" s="16">
        <f t="shared" si="468"/>
        <v>0</v>
      </c>
      <c r="AA198" s="16">
        <f t="shared" si="468"/>
        <v>0</v>
      </c>
      <c r="AB198" s="16">
        <f t="shared" si="468"/>
        <v>0</v>
      </c>
      <c r="AC198" s="16">
        <f t="shared" si="468"/>
        <v>-122541</v>
      </c>
      <c r="AD198" s="16">
        <f t="shared" si="468"/>
        <v>-41418</v>
      </c>
      <c r="AE198" s="16">
        <f t="shared" si="468"/>
        <v>-2449</v>
      </c>
      <c r="AF198" s="16">
        <f t="shared" si="468"/>
        <v>0</v>
      </c>
      <c r="AG198" s="16">
        <f t="shared" si="468"/>
        <v>0</v>
      </c>
      <c r="AH198" s="16">
        <f t="shared" si="468"/>
        <v>0</v>
      </c>
      <c r="AI198" s="16">
        <f t="shared" si="468"/>
        <v>-166408</v>
      </c>
      <c r="AJ198" s="680">
        <f t="shared" si="468"/>
        <v>0</v>
      </c>
      <c r="AK198" s="680">
        <f t="shared" si="468"/>
        <v>0</v>
      </c>
      <c r="AL198" s="680">
        <f t="shared" si="468"/>
        <v>0</v>
      </c>
      <c r="AM198" s="680">
        <f t="shared" si="468"/>
        <v>0</v>
      </c>
      <c r="AN198" s="680">
        <f t="shared" si="468"/>
        <v>-0.41</v>
      </c>
      <c r="AO198" s="680">
        <f t="shared" si="468"/>
        <v>0</v>
      </c>
      <c r="AP198" s="680">
        <f t="shared" si="468"/>
        <v>0</v>
      </c>
      <c r="AQ198" s="680">
        <f t="shared" si="468"/>
        <v>0</v>
      </c>
      <c r="AR198" s="680">
        <f t="shared" si="468"/>
        <v>0</v>
      </c>
      <c r="AS198" s="680">
        <f t="shared" si="468"/>
        <v>-0.41</v>
      </c>
      <c r="AT198" s="710">
        <f t="shared" si="468"/>
        <v>-0.41</v>
      </c>
      <c r="AU198" s="174">
        <f t="shared" si="468"/>
        <v>55490246</v>
      </c>
      <c r="AV198" s="16">
        <f t="shared" si="468"/>
        <v>40367148</v>
      </c>
      <c r="AW198" s="16">
        <f t="shared" si="468"/>
        <v>220200</v>
      </c>
      <c r="AX198" s="16">
        <f t="shared" si="468"/>
        <v>13718524</v>
      </c>
      <c r="AY198" s="16">
        <f t="shared" si="468"/>
        <v>807346</v>
      </c>
      <c r="AZ198" s="16">
        <f t="shared" si="468"/>
        <v>377028</v>
      </c>
      <c r="BA198" s="13">
        <f t="shared" si="468"/>
        <v>127.47999999999998</v>
      </c>
      <c r="BB198" s="13">
        <f t="shared" si="468"/>
        <v>0</v>
      </c>
      <c r="BC198" s="17">
        <f t="shared" si="468"/>
        <v>127.47999999999998</v>
      </c>
    </row>
    <row r="199" spans="4:55" ht="12.75" customHeight="1" x14ac:dyDescent="0.2">
      <c r="D199" s="9"/>
      <c r="E199" s="5"/>
      <c r="F199" s="9"/>
      <c r="G199" s="5"/>
      <c r="H199" s="2">
        <v>3143</v>
      </c>
      <c r="I199" s="174">
        <f t="shared" ref="I199:BC199" si="469">SUMIF($F$12:$F$464,"=3143",I$12:I$464)</f>
        <v>32852043</v>
      </c>
      <c r="J199" s="16">
        <f t="shared" si="469"/>
        <v>24076408</v>
      </c>
      <c r="K199" s="16">
        <f t="shared" si="469"/>
        <v>84000</v>
      </c>
      <c r="L199" s="16">
        <f t="shared" si="469"/>
        <v>8166216</v>
      </c>
      <c r="M199" s="16">
        <f t="shared" si="469"/>
        <v>481529</v>
      </c>
      <c r="N199" s="16">
        <f t="shared" si="469"/>
        <v>43890</v>
      </c>
      <c r="O199" s="13">
        <f t="shared" si="469"/>
        <v>49.963200000000001</v>
      </c>
      <c r="P199" s="13">
        <f t="shared" si="469"/>
        <v>46.8932</v>
      </c>
      <c r="Q199" s="176">
        <f t="shared" si="469"/>
        <v>3.0699999999999994</v>
      </c>
      <c r="R199" s="174">
        <f t="shared" si="469"/>
        <v>0</v>
      </c>
      <c r="S199" s="16">
        <f t="shared" si="469"/>
        <v>0</v>
      </c>
      <c r="T199" s="16">
        <f t="shared" si="469"/>
        <v>124188</v>
      </c>
      <c r="U199" s="16">
        <f t="shared" si="469"/>
        <v>0</v>
      </c>
      <c r="V199" s="16">
        <f t="shared" si="469"/>
        <v>0</v>
      </c>
      <c r="W199" s="16">
        <f t="shared" si="469"/>
        <v>0</v>
      </c>
      <c r="X199" s="16">
        <f t="shared" si="469"/>
        <v>124188</v>
      </c>
      <c r="Y199" s="16">
        <f t="shared" si="469"/>
        <v>0</v>
      </c>
      <c r="Z199" s="16">
        <f t="shared" si="469"/>
        <v>0</v>
      </c>
      <c r="AA199" s="16">
        <f t="shared" si="469"/>
        <v>0</v>
      </c>
      <c r="AB199" s="16">
        <f t="shared" si="469"/>
        <v>0</v>
      </c>
      <c r="AC199" s="16">
        <f t="shared" si="469"/>
        <v>124188</v>
      </c>
      <c r="AD199" s="16">
        <f t="shared" si="469"/>
        <v>41976</v>
      </c>
      <c r="AE199" s="16">
        <f t="shared" si="469"/>
        <v>2484</v>
      </c>
      <c r="AF199" s="16">
        <f t="shared" si="469"/>
        <v>0</v>
      </c>
      <c r="AG199" s="16">
        <f t="shared" si="469"/>
        <v>0</v>
      </c>
      <c r="AH199" s="16">
        <f t="shared" si="469"/>
        <v>0</v>
      </c>
      <c r="AI199" s="16">
        <f t="shared" si="469"/>
        <v>168648</v>
      </c>
      <c r="AJ199" s="680">
        <f t="shared" si="469"/>
        <v>0</v>
      </c>
      <c r="AK199" s="680">
        <f t="shared" si="469"/>
        <v>0</v>
      </c>
      <c r="AL199" s="680">
        <f t="shared" si="469"/>
        <v>0</v>
      </c>
      <c r="AM199" s="680">
        <f t="shared" si="469"/>
        <v>0.25</v>
      </c>
      <c r="AN199" s="680">
        <f t="shared" si="469"/>
        <v>0</v>
      </c>
      <c r="AO199" s="680">
        <f t="shared" si="469"/>
        <v>0</v>
      </c>
      <c r="AP199" s="680">
        <f t="shared" si="469"/>
        <v>0</v>
      </c>
      <c r="AQ199" s="680">
        <f t="shared" si="469"/>
        <v>0</v>
      </c>
      <c r="AR199" s="680">
        <f t="shared" si="469"/>
        <v>0.25</v>
      </c>
      <c r="AS199" s="680">
        <f t="shared" si="469"/>
        <v>0</v>
      </c>
      <c r="AT199" s="710">
        <f t="shared" si="469"/>
        <v>0.25</v>
      </c>
      <c r="AU199" s="174">
        <f t="shared" si="469"/>
        <v>33020691</v>
      </c>
      <c r="AV199" s="16">
        <f t="shared" si="469"/>
        <v>24200596</v>
      </c>
      <c r="AW199" s="16">
        <f t="shared" si="469"/>
        <v>84000</v>
      </c>
      <c r="AX199" s="16">
        <f t="shared" si="469"/>
        <v>8208192</v>
      </c>
      <c r="AY199" s="16">
        <f t="shared" si="469"/>
        <v>484013</v>
      </c>
      <c r="AZ199" s="16">
        <f t="shared" si="469"/>
        <v>43890</v>
      </c>
      <c r="BA199" s="13">
        <f t="shared" si="469"/>
        <v>50.213199999999993</v>
      </c>
      <c r="BB199" s="13">
        <f t="shared" si="469"/>
        <v>47.1432</v>
      </c>
      <c r="BC199" s="17">
        <f t="shared" si="469"/>
        <v>3.0699999999999994</v>
      </c>
    </row>
    <row r="200" spans="4:55" ht="12.75" customHeight="1" x14ac:dyDescent="0.2">
      <c r="D200" s="9"/>
      <c r="E200" s="5"/>
      <c r="F200" s="9"/>
      <c r="G200" s="5"/>
      <c r="H200" s="2">
        <v>3231</v>
      </c>
      <c r="I200" s="174">
        <f t="shared" ref="I200:BC200" si="470">SUMIF($F$12:$F$464,"=3231",I$12:I$464)</f>
        <v>30838085</v>
      </c>
      <c r="J200" s="16">
        <f t="shared" si="470"/>
        <v>22309363</v>
      </c>
      <c r="K200" s="16">
        <f t="shared" si="470"/>
        <v>330000</v>
      </c>
      <c r="L200" s="16">
        <f t="shared" si="470"/>
        <v>7652105</v>
      </c>
      <c r="M200" s="16">
        <f t="shared" si="470"/>
        <v>446187</v>
      </c>
      <c r="N200" s="16">
        <f t="shared" si="470"/>
        <v>100430</v>
      </c>
      <c r="O200" s="13">
        <f t="shared" si="470"/>
        <v>41.726300000000002</v>
      </c>
      <c r="P200" s="13">
        <f t="shared" si="470"/>
        <v>36.988199999999999</v>
      </c>
      <c r="Q200" s="176">
        <f t="shared" si="470"/>
        <v>4.7381000000000002</v>
      </c>
      <c r="R200" s="174">
        <f t="shared" si="470"/>
        <v>0</v>
      </c>
      <c r="S200" s="16">
        <f t="shared" si="470"/>
        <v>0</v>
      </c>
      <c r="T200" s="16">
        <f t="shared" si="470"/>
        <v>0</v>
      </c>
      <c r="U200" s="16">
        <f t="shared" si="470"/>
        <v>0</v>
      </c>
      <c r="V200" s="16">
        <f t="shared" si="470"/>
        <v>0</v>
      </c>
      <c r="W200" s="16">
        <f t="shared" si="470"/>
        <v>0</v>
      </c>
      <c r="X200" s="16">
        <f t="shared" si="470"/>
        <v>0</v>
      </c>
      <c r="Y200" s="16">
        <f t="shared" si="470"/>
        <v>0</v>
      </c>
      <c r="Z200" s="16">
        <f t="shared" si="470"/>
        <v>0</v>
      </c>
      <c r="AA200" s="16">
        <f t="shared" si="470"/>
        <v>0</v>
      </c>
      <c r="AB200" s="16">
        <f t="shared" si="470"/>
        <v>0</v>
      </c>
      <c r="AC200" s="16">
        <f t="shared" si="470"/>
        <v>0</v>
      </c>
      <c r="AD200" s="16">
        <f t="shared" si="470"/>
        <v>0</v>
      </c>
      <c r="AE200" s="16">
        <f t="shared" si="470"/>
        <v>0</v>
      </c>
      <c r="AF200" s="16">
        <f t="shared" si="470"/>
        <v>0</v>
      </c>
      <c r="AG200" s="16">
        <f t="shared" si="470"/>
        <v>0</v>
      </c>
      <c r="AH200" s="16">
        <f t="shared" si="470"/>
        <v>0</v>
      </c>
      <c r="AI200" s="16">
        <f t="shared" si="470"/>
        <v>0</v>
      </c>
      <c r="AJ200" s="680">
        <f t="shared" si="470"/>
        <v>0</v>
      </c>
      <c r="AK200" s="680">
        <f t="shared" si="470"/>
        <v>0</v>
      </c>
      <c r="AL200" s="680">
        <f t="shared" si="470"/>
        <v>0</v>
      </c>
      <c r="AM200" s="680">
        <f t="shared" si="470"/>
        <v>0</v>
      </c>
      <c r="AN200" s="680">
        <f t="shared" si="470"/>
        <v>0</v>
      </c>
      <c r="AO200" s="680">
        <f t="shared" si="470"/>
        <v>0</v>
      </c>
      <c r="AP200" s="680">
        <f t="shared" si="470"/>
        <v>0</v>
      </c>
      <c r="AQ200" s="680">
        <f t="shared" si="470"/>
        <v>0</v>
      </c>
      <c r="AR200" s="680">
        <f t="shared" si="470"/>
        <v>0</v>
      </c>
      <c r="AS200" s="680">
        <f t="shared" si="470"/>
        <v>0</v>
      </c>
      <c r="AT200" s="710">
        <f t="shared" si="470"/>
        <v>0</v>
      </c>
      <c r="AU200" s="174">
        <f t="shared" si="470"/>
        <v>30838085</v>
      </c>
      <c r="AV200" s="16">
        <f t="shared" si="470"/>
        <v>22309363</v>
      </c>
      <c r="AW200" s="16">
        <f t="shared" si="470"/>
        <v>330000</v>
      </c>
      <c r="AX200" s="16">
        <f t="shared" si="470"/>
        <v>7652105</v>
      </c>
      <c r="AY200" s="16">
        <f t="shared" si="470"/>
        <v>446187</v>
      </c>
      <c r="AZ200" s="16">
        <f t="shared" si="470"/>
        <v>100430</v>
      </c>
      <c r="BA200" s="13">
        <f t="shared" si="470"/>
        <v>41.726300000000002</v>
      </c>
      <c r="BB200" s="13">
        <f t="shared" si="470"/>
        <v>36.988199999999999</v>
      </c>
      <c r="BC200" s="17">
        <f t="shared" si="470"/>
        <v>4.7381000000000002</v>
      </c>
    </row>
    <row r="201" spans="4:55" ht="12.75" customHeight="1" thickBot="1" x14ac:dyDescent="0.25">
      <c r="D201" s="9"/>
      <c r="E201" s="5"/>
      <c r="F201" s="9"/>
      <c r="G201" s="5"/>
      <c r="H201" s="158">
        <v>3233</v>
      </c>
      <c r="I201" s="177">
        <f t="shared" ref="I201:BC201" si="471">SUMIF($F$12:$F$464,"=3233",I$12:I$464)</f>
        <v>6460900</v>
      </c>
      <c r="J201" s="178">
        <f t="shared" si="471"/>
        <v>4577080</v>
      </c>
      <c r="K201" s="178">
        <f t="shared" si="471"/>
        <v>115000</v>
      </c>
      <c r="L201" s="178">
        <f t="shared" si="471"/>
        <v>1585923</v>
      </c>
      <c r="M201" s="178">
        <f t="shared" si="471"/>
        <v>91542</v>
      </c>
      <c r="N201" s="178">
        <f t="shared" si="471"/>
        <v>91355</v>
      </c>
      <c r="O201" s="179">
        <f t="shared" si="471"/>
        <v>10.469999999999999</v>
      </c>
      <c r="P201" s="179">
        <f t="shared" si="471"/>
        <v>6.03</v>
      </c>
      <c r="Q201" s="182">
        <f t="shared" si="471"/>
        <v>4.4399999999999995</v>
      </c>
      <c r="R201" s="177">
        <f t="shared" si="471"/>
        <v>0</v>
      </c>
      <c r="S201" s="178">
        <f t="shared" si="471"/>
        <v>0</v>
      </c>
      <c r="T201" s="178">
        <f t="shared" si="471"/>
        <v>0</v>
      </c>
      <c r="U201" s="178">
        <f t="shared" si="471"/>
        <v>0</v>
      </c>
      <c r="V201" s="178">
        <f t="shared" si="471"/>
        <v>0</v>
      </c>
      <c r="W201" s="178">
        <f t="shared" si="471"/>
        <v>0</v>
      </c>
      <c r="X201" s="178">
        <f t="shared" si="471"/>
        <v>0</v>
      </c>
      <c r="Y201" s="178">
        <f t="shared" si="471"/>
        <v>0</v>
      </c>
      <c r="Z201" s="178">
        <f t="shared" si="471"/>
        <v>0</v>
      </c>
      <c r="AA201" s="178">
        <f t="shared" si="471"/>
        <v>0</v>
      </c>
      <c r="AB201" s="178">
        <f t="shared" si="471"/>
        <v>0</v>
      </c>
      <c r="AC201" s="178">
        <f t="shared" si="471"/>
        <v>0</v>
      </c>
      <c r="AD201" s="178">
        <f t="shared" si="471"/>
        <v>0</v>
      </c>
      <c r="AE201" s="178">
        <f t="shared" si="471"/>
        <v>0</v>
      </c>
      <c r="AF201" s="178">
        <f t="shared" si="471"/>
        <v>0</v>
      </c>
      <c r="AG201" s="178">
        <f t="shared" si="471"/>
        <v>0</v>
      </c>
      <c r="AH201" s="178">
        <f t="shared" si="471"/>
        <v>0</v>
      </c>
      <c r="AI201" s="178">
        <f t="shared" si="471"/>
        <v>0</v>
      </c>
      <c r="AJ201" s="681">
        <f t="shared" si="471"/>
        <v>0</v>
      </c>
      <c r="AK201" s="681">
        <f t="shared" si="471"/>
        <v>0</v>
      </c>
      <c r="AL201" s="681">
        <f t="shared" si="471"/>
        <v>0</v>
      </c>
      <c r="AM201" s="681">
        <f t="shared" si="471"/>
        <v>0</v>
      </c>
      <c r="AN201" s="681">
        <f t="shared" si="471"/>
        <v>0</v>
      </c>
      <c r="AO201" s="681">
        <f t="shared" si="471"/>
        <v>0</v>
      </c>
      <c r="AP201" s="681">
        <f t="shared" si="471"/>
        <v>0</v>
      </c>
      <c r="AQ201" s="681">
        <f t="shared" si="471"/>
        <v>0</v>
      </c>
      <c r="AR201" s="681">
        <f t="shared" si="471"/>
        <v>0</v>
      </c>
      <c r="AS201" s="681">
        <f t="shared" si="471"/>
        <v>0</v>
      </c>
      <c r="AT201" s="711">
        <f t="shared" si="471"/>
        <v>0</v>
      </c>
      <c r="AU201" s="177">
        <f t="shared" si="471"/>
        <v>6460900</v>
      </c>
      <c r="AV201" s="178">
        <f t="shared" si="471"/>
        <v>4577080</v>
      </c>
      <c r="AW201" s="178">
        <f t="shared" si="471"/>
        <v>115000</v>
      </c>
      <c r="AX201" s="178">
        <f t="shared" si="471"/>
        <v>1585923</v>
      </c>
      <c r="AY201" s="178">
        <f t="shared" si="471"/>
        <v>91542</v>
      </c>
      <c r="AZ201" s="178">
        <f t="shared" si="471"/>
        <v>91355</v>
      </c>
      <c r="BA201" s="179">
        <f t="shared" si="471"/>
        <v>10.469999999999999</v>
      </c>
      <c r="BB201" s="179">
        <f t="shared" si="471"/>
        <v>6.03</v>
      </c>
      <c r="BC201" s="180">
        <f t="shared" si="471"/>
        <v>4.4399999999999995</v>
      </c>
    </row>
    <row r="202" spans="4:55" ht="12.75" customHeight="1" x14ac:dyDescent="0.2">
      <c r="D202" s="5"/>
      <c r="E202" s="5"/>
      <c r="F202" s="5"/>
      <c r="G202" s="5"/>
      <c r="H202" s="5"/>
    </row>
    <row r="203" spans="4:55" x14ac:dyDescent="0.2">
      <c r="J203" s="15"/>
      <c r="K203" s="15"/>
      <c r="L203" s="15"/>
      <c r="M203" s="15"/>
      <c r="N203" s="15"/>
      <c r="O203" s="4"/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133"/>
  <sheetViews>
    <sheetView workbookViewId="0">
      <pane xSplit="8" ySplit="11" topLeftCell="I8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0" style="8" customWidth="1"/>
    <col min="48" max="48" width="9.7109375" style="8" customWidth="1"/>
    <col min="49" max="52" width="9.140625" style="8"/>
    <col min="53" max="53" width="11.42578125" style="7" customWidth="1"/>
    <col min="54" max="55" width="9.28515625" style="7" customWidth="1"/>
    <col min="186" max="186" width="7" customWidth="1"/>
    <col min="187" max="187" width="30.140625" customWidth="1"/>
    <col min="188" max="188" width="6.28515625" customWidth="1"/>
    <col min="189" max="189" width="31.42578125" customWidth="1"/>
    <col min="190" max="190" width="10.5703125" customWidth="1"/>
    <col min="191" max="191" width="10.42578125" customWidth="1"/>
    <col min="192" max="192" width="9.5703125" customWidth="1"/>
    <col min="193" max="193" width="8.42578125" customWidth="1"/>
    <col min="194" max="194" width="9" customWidth="1"/>
    <col min="195" max="195" width="10.42578125" customWidth="1"/>
    <col min="198" max="198" width="10.28515625" customWidth="1"/>
    <col min="442" max="442" width="7" customWidth="1"/>
    <col min="443" max="443" width="30.140625" customWidth="1"/>
    <col min="444" max="444" width="6.28515625" customWidth="1"/>
    <col min="445" max="445" width="31.42578125" customWidth="1"/>
    <col min="446" max="446" width="10.5703125" customWidth="1"/>
    <col min="447" max="447" width="10.42578125" customWidth="1"/>
    <col min="448" max="448" width="9.5703125" customWidth="1"/>
    <col min="449" max="449" width="8.42578125" customWidth="1"/>
    <col min="450" max="450" width="9" customWidth="1"/>
    <col min="451" max="451" width="10.42578125" customWidth="1"/>
    <col min="454" max="454" width="10.28515625" customWidth="1"/>
    <col min="698" max="698" width="7" customWidth="1"/>
    <col min="699" max="699" width="30.140625" customWidth="1"/>
    <col min="700" max="700" width="6.28515625" customWidth="1"/>
    <col min="701" max="701" width="31.42578125" customWidth="1"/>
    <col min="702" max="702" width="10.5703125" customWidth="1"/>
    <col min="703" max="703" width="10.42578125" customWidth="1"/>
    <col min="704" max="704" width="9.5703125" customWidth="1"/>
    <col min="705" max="705" width="8.42578125" customWidth="1"/>
    <col min="706" max="706" width="9" customWidth="1"/>
    <col min="707" max="707" width="10.42578125" customWidth="1"/>
    <col min="710" max="710" width="10.28515625" customWidth="1"/>
    <col min="954" max="954" width="7" customWidth="1"/>
    <col min="955" max="955" width="30.140625" customWidth="1"/>
    <col min="956" max="956" width="6.28515625" customWidth="1"/>
    <col min="957" max="957" width="31.42578125" customWidth="1"/>
    <col min="958" max="958" width="10.5703125" customWidth="1"/>
    <col min="959" max="959" width="10.42578125" customWidth="1"/>
    <col min="960" max="960" width="9.5703125" customWidth="1"/>
    <col min="961" max="961" width="8.42578125" customWidth="1"/>
    <col min="962" max="962" width="9" customWidth="1"/>
    <col min="963" max="963" width="10.42578125" customWidth="1"/>
    <col min="966" max="966" width="10.28515625" customWidth="1"/>
    <col min="1210" max="1210" width="7" customWidth="1"/>
    <col min="1211" max="1211" width="30.140625" customWidth="1"/>
    <col min="1212" max="1212" width="6.28515625" customWidth="1"/>
    <col min="1213" max="1213" width="31.42578125" customWidth="1"/>
    <col min="1214" max="1214" width="10.5703125" customWidth="1"/>
    <col min="1215" max="1215" width="10.42578125" customWidth="1"/>
    <col min="1216" max="1216" width="9.5703125" customWidth="1"/>
    <col min="1217" max="1217" width="8.42578125" customWidth="1"/>
    <col min="1218" max="1218" width="9" customWidth="1"/>
    <col min="1219" max="1219" width="10.42578125" customWidth="1"/>
    <col min="1222" max="1222" width="10.28515625" customWidth="1"/>
    <col min="1466" max="1466" width="7" customWidth="1"/>
    <col min="1467" max="1467" width="30.140625" customWidth="1"/>
    <col min="1468" max="1468" width="6.28515625" customWidth="1"/>
    <col min="1469" max="1469" width="31.42578125" customWidth="1"/>
    <col min="1470" max="1470" width="10.5703125" customWidth="1"/>
    <col min="1471" max="1471" width="10.42578125" customWidth="1"/>
    <col min="1472" max="1472" width="9.5703125" customWidth="1"/>
    <col min="1473" max="1473" width="8.42578125" customWidth="1"/>
    <col min="1474" max="1474" width="9" customWidth="1"/>
    <col min="1475" max="1475" width="10.42578125" customWidth="1"/>
    <col min="1478" max="1478" width="10.28515625" customWidth="1"/>
    <col min="1722" max="1722" width="7" customWidth="1"/>
    <col min="1723" max="1723" width="30.140625" customWidth="1"/>
    <col min="1724" max="1724" width="6.28515625" customWidth="1"/>
    <col min="1725" max="1725" width="31.42578125" customWidth="1"/>
    <col min="1726" max="1726" width="10.5703125" customWidth="1"/>
    <col min="1727" max="1727" width="10.42578125" customWidth="1"/>
    <col min="1728" max="1728" width="9.5703125" customWidth="1"/>
    <col min="1729" max="1729" width="8.42578125" customWidth="1"/>
    <col min="1730" max="1730" width="9" customWidth="1"/>
    <col min="1731" max="1731" width="10.42578125" customWidth="1"/>
    <col min="1734" max="1734" width="10.28515625" customWidth="1"/>
    <col min="1978" max="1978" width="7" customWidth="1"/>
    <col min="1979" max="1979" width="30.140625" customWidth="1"/>
    <col min="1980" max="1980" width="6.28515625" customWidth="1"/>
    <col min="1981" max="1981" width="31.42578125" customWidth="1"/>
    <col min="1982" max="1982" width="10.5703125" customWidth="1"/>
    <col min="1983" max="1983" width="10.42578125" customWidth="1"/>
    <col min="1984" max="1984" width="9.5703125" customWidth="1"/>
    <col min="1985" max="1985" width="8.42578125" customWidth="1"/>
    <col min="1986" max="1986" width="9" customWidth="1"/>
    <col min="1987" max="1987" width="10.42578125" customWidth="1"/>
    <col min="1990" max="1990" width="10.28515625" customWidth="1"/>
    <col min="2234" max="2234" width="7" customWidth="1"/>
    <col min="2235" max="2235" width="30.140625" customWidth="1"/>
    <col min="2236" max="2236" width="6.28515625" customWidth="1"/>
    <col min="2237" max="2237" width="31.42578125" customWidth="1"/>
    <col min="2238" max="2238" width="10.5703125" customWidth="1"/>
    <col min="2239" max="2239" width="10.42578125" customWidth="1"/>
    <col min="2240" max="2240" width="9.5703125" customWidth="1"/>
    <col min="2241" max="2241" width="8.42578125" customWidth="1"/>
    <col min="2242" max="2242" width="9" customWidth="1"/>
    <col min="2243" max="2243" width="10.42578125" customWidth="1"/>
    <col min="2246" max="2246" width="10.28515625" customWidth="1"/>
    <col min="2490" max="2490" width="7" customWidth="1"/>
    <col min="2491" max="2491" width="30.140625" customWidth="1"/>
    <col min="2492" max="2492" width="6.28515625" customWidth="1"/>
    <col min="2493" max="2493" width="31.42578125" customWidth="1"/>
    <col min="2494" max="2494" width="10.5703125" customWidth="1"/>
    <col min="2495" max="2495" width="10.42578125" customWidth="1"/>
    <col min="2496" max="2496" width="9.5703125" customWidth="1"/>
    <col min="2497" max="2497" width="8.42578125" customWidth="1"/>
    <col min="2498" max="2498" width="9" customWidth="1"/>
    <col min="2499" max="2499" width="10.42578125" customWidth="1"/>
    <col min="2502" max="2502" width="10.28515625" customWidth="1"/>
    <col min="2746" max="2746" width="7" customWidth="1"/>
    <col min="2747" max="2747" width="30.140625" customWidth="1"/>
    <col min="2748" max="2748" width="6.28515625" customWidth="1"/>
    <col min="2749" max="2749" width="31.42578125" customWidth="1"/>
    <col min="2750" max="2750" width="10.5703125" customWidth="1"/>
    <col min="2751" max="2751" width="10.42578125" customWidth="1"/>
    <col min="2752" max="2752" width="9.5703125" customWidth="1"/>
    <col min="2753" max="2753" width="8.42578125" customWidth="1"/>
    <col min="2754" max="2754" width="9" customWidth="1"/>
    <col min="2755" max="2755" width="10.42578125" customWidth="1"/>
    <col min="2758" max="2758" width="10.28515625" customWidth="1"/>
    <col min="3002" max="3002" width="7" customWidth="1"/>
    <col min="3003" max="3003" width="30.140625" customWidth="1"/>
    <col min="3004" max="3004" width="6.28515625" customWidth="1"/>
    <col min="3005" max="3005" width="31.42578125" customWidth="1"/>
    <col min="3006" max="3006" width="10.5703125" customWidth="1"/>
    <col min="3007" max="3007" width="10.42578125" customWidth="1"/>
    <col min="3008" max="3008" width="9.5703125" customWidth="1"/>
    <col min="3009" max="3009" width="8.42578125" customWidth="1"/>
    <col min="3010" max="3010" width="9" customWidth="1"/>
    <col min="3011" max="3011" width="10.42578125" customWidth="1"/>
    <col min="3014" max="3014" width="10.28515625" customWidth="1"/>
    <col min="3258" max="3258" width="7" customWidth="1"/>
    <col min="3259" max="3259" width="30.140625" customWidth="1"/>
    <col min="3260" max="3260" width="6.28515625" customWidth="1"/>
    <col min="3261" max="3261" width="31.42578125" customWidth="1"/>
    <col min="3262" max="3262" width="10.5703125" customWidth="1"/>
    <col min="3263" max="3263" width="10.42578125" customWidth="1"/>
    <col min="3264" max="3264" width="9.5703125" customWidth="1"/>
    <col min="3265" max="3265" width="8.42578125" customWidth="1"/>
    <col min="3266" max="3266" width="9" customWidth="1"/>
    <col min="3267" max="3267" width="10.42578125" customWidth="1"/>
    <col min="3270" max="3270" width="10.28515625" customWidth="1"/>
    <col min="3514" max="3514" width="7" customWidth="1"/>
    <col min="3515" max="3515" width="30.140625" customWidth="1"/>
    <col min="3516" max="3516" width="6.28515625" customWidth="1"/>
    <col min="3517" max="3517" width="31.42578125" customWidth="1"/>
    <col min="3518" max="3518" width="10.5703125" customWidth="1"/>
    <col min="3519" max="3519" width="10.42578125" customWidth="1"/>
    <col min="3520" max="3520" width="9.5703125" customWidth="1"/>
    <col min="3521" max="3521" width="8.42578125" customWidth="1"/>
    <col min="3522" max="3522" width="9" customWidth="1"/>
    <col min="3523" max="3523" width="10.42578125" customWidth="1"/>
    <col min="3526" max="3526" width="10.28515625" customWidth="1"/>
    <col min="3770" max="3770" width="7" customWidth="1"/>
    <col min="3771" max="3771" width="30.140625" customWidth="1"/>
    <col min="3772" max="3772" width="6.28515625" customWidth="1"/>
    <col min="3773" max="3773" width="31.42578125" customWidth="1"/>
    <col min="3774" max="3774" width="10.5703125" customWidth="1"/>
    <col min="3775" max="3775" width="10.42578125" customWidth="1"/>
    <col min="3776" max="3776" width="9.5703125" customWidth="1"/>
    <col min="3777" max="3777" width="8.42578125" customWidth="1"/>
    <col min="3778" max="3778" width="9" customWidth="1"/>
    <col min="3779" max="3779" width="10.42578125" customWidth="1"/>
    <col min="3782" max="3782" width="10.28515625" customWidth="1"/>
    <col min="4026" max="4026" width="7" customWidth="1"/>
    <col min="4027" max="4027" width="30.140625" customWidth="1"/>
    <col min="4028" max="4028" width="6.28515625" customWidth="1"/>
    <col min="4029" max="4029" width="31.42578125" customWidth="1"/>
    <col min="4030" max="4030" width="10.5703125" customWidth="1"/>
    <col min="4031" max="4031" width="10.42578125" customWidth="1"/>
    <col min="4032" max="4032" width="9.5703125" customWidth="1"/>
    <col min="4033" max="4033" width="8.42578125" customWidth="1"/>
    <col min="4034" max="4034" width="9" customWidth="1"/>
    <col min="4035" max="4035" width="10.42578125" customWidth="1"/>
    <col min="4038" max="4038" width="10.28515625" customWidth="1"/>
    <col min="4282" max="4282" width="7" customWidth="1"/>
    <col min="4283" max="4283" width="30.140625" customWidth="1"/>
    <col min="4284" max="4284" width="6.28515625" customWidth="1"/>
    <col min="4285" max="4285" width="31.42578125" customWidth="1"/>
    <col min="4286" max="4286" width="10.5703125" customWidth="1"/>
    <col min="4287" max="4287" width="10.42578125" customWidth="1"/>
    <col min="4288" max="4288" width="9.5703125" customWidth="1"/>
    <col min="4289" max="4289" width="8.42578125" customWidth="1"/>
    <col min="4290" max="4290" width="9" customWidth="1"/>
    <col min="4291" max="4291" width="10.42578125" customWidth="1"/>
    <col min="4294" max="4294" width="10.28515625" customWidth="1"/>
    <col min="4538" max="4538" width="7" customWidth="1"/>
    <col min="4539" max="4539" width="30.140625" customWidth="1"/>
    <col min="4540" max="4540" width="6.28515625" customWidth="1"/>
    <col min="4541" max="4541" width="31.42578125" customWidth="1"/>
    <col min="4542" max="4542" width="10.5703125" customWidth="1"/>
    <col min="4543" max="4543" width="10.42578125" customWidth="1"/>
    <col min="4544" max="4544" width="9.5703125" customWidth="1"/>
    <col min="4545" max="4545" width="8.42578125" customWidth="1"/>
    <col min="4546" max="4546" width="9" customWidth="1"/>
    <col min="4547" max="4547" width="10.42578125" customWidth="1"/>
    <col min="4550" max="4550" width="10.28515625" customWidth="1"/>
    <col min="4794" max="4794" width="7" customWidth="1"/>
    <col min="4795" max="4795" width="30.140625" customWidth="1"/>
    <col min="4796" max="4796" width="6.28515625" customWidth="1"/>
    <col min="4797" max="4797" width="31.42578125" customWidth="1"/>
    <col min="4798" max="4798" width="10.5703125" customWidth="1"/>
    <col min="4799" max="4799" width="10.42578125" customWidth="1"/>
    <col min="4800" max="4800" width="9.5703125" customWidth="1"/>
    <col min="4801" max="4801" width="8.42578125" customWidth="1"/>
    <col min="4802" max="4802" width="9" customWidth="1"/>
    <col min="4803" max="4803" width="10.42578125" customWidth="1"/>
    <col min="4806" max="4806" width="10.28515625" customWidth="1"/>
    <col min="5050" max="5050" width="7" customWidth="1"/>
    <col min="5051" max="5051" width="30.140625" customWidth="1"/>
    <col min="5052" max="5052" width="6.28515625" customWidth="1"/>
    <col min="5053" max="5053" width="31.42578125" customWidth="1"/>
    <col min="5054" max="5054" width="10.5703125" customWidth="1"/>
    <col min="5055" max="5055" width="10.42578125" customWidth="1"/>
    <col min="5056" max="5056" width="9.5703125" customWidth="1"/>
    <col min="5057" max="5057" width="8.42578125" customWidth="1"/>
    <col min="5058" max="5058" width="9" customWidth="1"/>
    <col min="5059" max="5059" width="10.42578125" customWidth="1"/>
    <col min="5062" max="5062" width="10.28515625" customWidth="1"/>
    <col min="5306" max="5306" width="7" customWidth="1"/>
    <col min="5307" max="5307" width="30.140625" customWidth="1"/>
    <col min="5308" max="5308" width="6.28515625" customWidth="1"/>
    <col min="5309" max="5309" width="31.42578125" customWidth="1"/>
    <col min="5310" max="5310" width="10.5703125" customWidth="1"/>
    <col min="5311" max="5311" width="10.42578125" customWidth="1"/>
    <col min="5312" max="5312" width="9.5703125" customWidth="1"/>
    <col min="5313" max="5313" width="8.42578125" customWidth="1"/>
    <col min="5314" max="5314" width="9" customWidth="1"/>
    <col min="5315" max="5315" width="10.42578125" customWidth="1"/>
    <col min="5318" max="5318" width="10.28515625" customWidth="1"/>
    <col min="5562" max="5562" width="7" customWidth="1"/>
    <col min="5563" max="5563" width="30.140625" customWidth="1"/>
    <col min="5564" max="5564" width="6.28515625" customWidth="1"/>
    <col min="5565" max="5565" width="31.42578125" customWidth="1"/>
    <col min="5566" max="5566" width="10.5703125" customWidth="1"/>
    <col min="5567" max="5567" width="10.42578125" customWidth="1"/>
    <col min="5568" max="5568" width="9.5703125" customWidth="1"/>
    <col min="5569" max="5569" width="8.42578125" customWidth="1"/>
    <col min="5570" max="5570" width="9" customWidth="1"/>
    <col min="5571" max="5571" width="10.42578125" customWidth="1"/>
    <col min="5574" max="5574" width="10.28515625" customWidth="1"/>
    <col min="5818" max="5818" width="7" customWidth="1"/>
    <col min="5819" max="5819" width="30.140625" customWidth="1"/>
    <col min="5820" max="5820" width="6.28515625" customWidth="1"/>
    <col min="5821" max="5821" width="31.42578125" customWidth="1"/>
    <col min="5822" max="5822" width="10.5703125" customWidth="1"/>
    <col min="5823" max="5823" width="10.42578125" customWidth="1"/>
    <col min="5824" max="5824" width="9.5703125" customWidth="1"/>
    <col min="5825" max="5825" width="8.42578125" customWidth="1"/>
    <col min="5826" max="5826" width="9" customWidth="1"/>
    <col min="5827" max="5827" width="10.42578125" customWidth="1"/>
    <col min="5830" max="5830" width="10.28515625" customWidth="1"/>
    <col min="6074" max="6074" width="7" customWidth="1"/>
    <col min="6075" max="6075" width="30.140625" customWidth="1"/>
    <col min="6076" max="6076" width="6.28515625" customWidth="1"/>
    <col min="6077" max="6077" width="31.42578125" customWidth="1"/>
    <col min="6078" max="6078" width="10.5703125" customWidth="1"/>
    <col min="6079" max="6079" width="10.42578125" customWidth="1"/>
    <col min="6080" max="6080" width="9.5703125" customWidth="1"/>
    <col min="6081" max="6081" width="8.42578125" customWidth="1"/>
    <col min="6082" max="6082" width="9" customWidth="1"/>
    <col min="6083" max="6083" width="10.42578125" customWidth="1"/>
    <col min="6086" max="6086" width="10.28515625" customWidth="1"/>
    <col min="6330" max="6330" width="7" customWidth="1"/>
    <col min="6331" max="6331" width="30.140625" customWidth="1"/>
    <col min="6332" max="6332" width="6.28515625" customWidth="1"/>
    <col min="6333" max="6333" width="31.42578125" customWidth="1"/>
    <col min="6334" max="6334" width="10.5703125" customWidth="1"/>
    <col min="6335" max="6335" width="10.42578125" customWidth="1"/>
    <col min="6336" max="6336" width="9.5703125" customWidth="1"/>
    <col min="6337" max="6337" width="8.42578125" customWidth="1"/>
    <col min="6338" max="6338" width="9" customWidth="1"/>
    <col min="6339" max="6339" width="10.42578125" customWidth="1"/>
    <col min="6342" max="6342" width="10.28515625" customWidth="1"/>
    <col min="6586" max="6586" width="7" customWidth="1"/>
    <col min="6587" max="6587" width="30.140625" customWidth="1"/>
    <col min="6588" max="6588" width="6.28515625" customWidth="1"/>
    <col min="6589" max="6589" width="31.42578125" customWidth="1"/>
    <col min="6590" max="6590" width="10.5703125" customWidth="1"/>
    <col min="6591" max="6591" width="10.42578125" customWidth="1"/>
    <col min="6592" max="6592" width="9.5703125" customWidth="1"/>
    <col min="6593" max="6593" width="8.42578125" customWidth="1"/>
    <col min="6594" max="6594" width="9" customWidth="1"/>
    <col min="6595" max="6595" width="10.42578125" customWidth="1"/>
    <col min="6598" max="6598" width="10.28515625" customWidth="1"/>
    <col min="6842" max="6842" width="7" customWidth="1"/>
    <col min="6843" max="6843" width="30.140625" customWidth="1"/>
    <col min="6844" max="6844" width="6.28515625" customWidth="1"/>
    <col min="6845" max="6845" width="31.42578125" customWidth="1"/>
    <col min="6846" max="6846" width="10.5703125" customWidth="1"/>
    <col min="6847" max="6847" width="10.42578125" customWidth="1"/>
    <col min="6848" max="6848" width="9.5703125" customWidth="1"/>
    <col min="6849" max="6849" width="8.42578125" customWidth="1"/>
    <col min="6850" max="6850" width="9" customWidth="1"/>
    <col min="6851" max="6851" width="10.42578125" customWidth="1"/>
    <col min="6854" max="6854" width="10.28515625" customWidth="1"/>
    <col min="7098" max="7098" width="7" customWidth="1"/>
    <col min="7099" max="7099" width="30.140625" customWidth="1"/>
    <col min="7100" max="7100" width="6.28515625" customWidth="1"/>
    <col min="7101" max="7101" width="31.42578125" customWidth="1"/>
    <col min="7102" max="7102" width="10.5703125" customWidth="1"/>
    <col min="7103" max="7103" width="10.42578125" customWidth="1"/>
    <col min="7104" max="7104" width="9.5703125" customWidth="1"/>
    <col min="7105" max="7105" width="8.42578125" customWidth="1"/>
    <col min="7106" max="7106" width="9" customWidth="1"/>
    <col min="7107" max="7107" width="10.42578125" customWidth="1"/>
    <col min="7110" max="7110" width="10.28515625" customWidth="1"/>
    <col min="7354" max="7354" width="7" customWidth="1"/>
    <col min="7355" max="7355" width="30.140625" customWidth="1"/>
    <col min="7356" max="7356" width="6.28515625" customWidth="1"/>
    <col min="7357" max="7357" width="31.42578125" customWidth="1"/>
    <col min="7358" max="7358" width="10.5703125" customWidth="1"/>
    <col min="7359" max="7359" width="10.42578125" customWidth="1"/>
    <col min="7360" max="7360" width="9.5703125" customWidth="1"/>
    <col min="7361" max="7361" width="8.42578125" customWidth="1"/>
    <col min="7362" max="7362" width="9" customWidth="1"/>
    <col min="7363" max="7363" width="10.42578125" customWidth="1"/>
    <col min="7366" max="7366" width="10.28515625" customWidth="1"/>
    <col min="7610" max="7610" width="7" customWidth="1"/>
    <col min="7611" max="7611" width="30.140625" customWidth="1"/>
    <col min="7612" max="7612" width="6.28515625" customWidth="1"/>
    <col min="7613" max="7613" width="31.42578125" customWidth="1"/>
    <col min="7614" max="7614" width="10.5703125" customWidth="1"/>
    <col min="7615" max="7615" width="10.42578125" customWidth="1"/>
    <col min="7616" max="7616" width="9.5703125" customWidth="1"/>
    <col min="7617" max="7617" width="8.42578125" customWidth="1"/>
    <col min="7618" max="7618" width="9" customWidth="1"/>
    <col min="7619" max="7619" width="10.42578125" customWidth="1"/>
    <col min="7622" max="7622" width="10.28515625" customWidth="1"/>
    <col min="7866" max="7866" width="7" customWidth="1"/>
    <col min="7867" max="7867" width="30.140625" customWidth="1"/>
    <col min="7868" max="7868" width="6.28515625" customWidth="1"/>
    <col min="7869" max="7869" width="31.42578125" customWidth="1"/>
    <col min="7870" max="7870" width="10.5703125" customWidth="1"/>
    <col min="7871" max="7871" width="10.42578125" customWidth="1"/>
    <col min="7872" max="7872" width="9.5703125" customWidth="1"/>
    <col min="7873" max="7873" width="8.42578125" customWidth="1"/>
    <col min="7874" max="7874" width="9" customWidth="1"/>
    <col min="7875" max="7875" width="10.42578125" customWidth="1"/>
    <col min="7878" max="7878" width="10.28515625" customWidth="1"/>
    <col min="8122" max="8122" width="7" customWidth="1"/>
    <col min="8123" max="8123" width="30.140625" customWidth="1"/>
    <col min="8124" max="8124" width="6.28515625" customWidth="1"/>
    <col min="8125" max="8125" width="31.42578125" customWidth="1"/>
    <col min="8126" max="8126" width="10.5703125" customWidth="1"/>
    <col min="8127" max="8127" width="10.42578125" customWidth="1"/>
    <col min="8128" max="8128" width="9.5703125" customWidth="1"/>
    <col min="8129" max="8129" width="8.42578125" customWidth="1"/>
    <col min="8130" max="8130" width="9" customWidth="1"/>
    <col min="8131" max="8131" width="10.42578125" customWidth="1"/>
    <col min="8134" max="8134" width="10.28515625" customWidth="1"/>
    <col min="8378" max="8378" width="7" customWidth="1"/>
    <col min="8379" max="8379" width="30.140625" customWidth="1"/>
    <col min="8380" max="8380" width="6.28515625" customWidth="1"/>
    <col min="8381" max="8381" width="31.42578125" customWidth="1"/>
    <col min="8382" max="8382" width="10.5703125" customWidth="1"/>
    <col min="8383" max="8383" width="10.42578125" customWidth="1"/>
    <col min="8384" max="8384" width="9.5703125" customWidth="1"/>
    <col min="8385" max="8385" width="8.42578125" customWidth="1"/>
    <col min="8386" max="8386" width="9" customWidth="1"/>
    <col min="8387" max="8387" width="10.42578125" customWidth="1"/>
    <col min="8390" max="8390" width="10.28515625" customWidth="1"/>
    <col min="8634" max="8634" width="7" customWidth="1"/>
    <col min="8635" max="8635" width="30.140625" customWidth="1"/>
    <col min="8636" max="8636" width="6.28515625" customWidth="1"/>
    <col min="8637" max="8637" width="31.42578125" customWidth="1"/>
    <col min="8638" max="8638" width="10.5703125" customWidth="1"/>
    <col min="8639" max="8639" width="10.42578125" customWidth="1"/>
    <col min="8640" max="8640" width="9.5703125" customWidth="1"/>
    <col min="8641" max="8641" width="8.42578125" customWidth="1"/>
    <col min="8642" max="8642" width="9" customWidth="1"/>
    <col min="8643" max="8643" width="10.42578125" customWidth="1"/>
    <col min="8646" max="8646" width="10.28515625" customWidth="1"/>
    <col min="8890" max="8890" width="7" customWidth="1"/>
    <col min="8891" max="8891" width="30.140625" customWidth="1"/>
    <col min="8892" max="8892" width="6.28515625" customWidth="1"/>
    <col min="8893" max="8893" width="31.42578125" customWidth="1"/>
    <col min="8894" max="8894" width="10.5703125" customWidth="1"/>
    <col min="8895" max="8895" width="10.42578125" customWidth="1"/>
    <col min="8896" max="8896" width="9.5703125" customWidth="1"/>
    <col min="8897" max="8897" width="8.42578125" customWidth="1"/>
    <col min="8898" max="8898" width="9" customWidth="1"/>
    <col min="8899" max="8899" width="10.42578125" customWidth="1"/>
    <col min="8902" max="8902" width="10.28515625" customWidth="1"/>
    <col min="9146" max="9146" width="7" customWidth="1"/>
    <col min="9147" max="9147" width="30.140625" customWidth="1"/>
    <col min="9148" max="9148" width="6.28515625" customWidth="1"/>
    <col min="9149" max="9149" width="31.42578125" customWidth="1"/>
    <col min="9150" max="9150" width="10.5703125" customWidth="1"/>
    <col min="9151" max="9151" width="10.42578125" customWidth="1"/>
    <col min="9152" max="9152" width="9.5703125" customWidth="1"/>
    <col min="9153" max="9153" width="8.42578125" customWidth="1"/>
    <col min="9154" max="9154" width="9" customWidth="1"/>
    <col min="9155" max="9155" width="10.42578125" customWidth="1"/>
    <col min="9158" max="9158" width="10.28515625" customWidth="1"/>
    <col min="9402" max="9402" width="7" customWidth="1"/>
    <col min="9403" max="9403" width="30.140625" customWidth="1"/>
    <col min="9404" max="9404" width="6.28515625" customWidth="1"/>
    <col min="9405" max="9405" width="31.42578125" customWidth="1"/>
    <col min="9406" max="9406" width="10.5703125" customWidth="1"/>
    <col min="9407" max="9407" width="10.42578125" customWidth="1"/>
    <col min="9408" max="9408" width="9.5703125" customWidth="1"/>
    <col min="9409" max="9409" width="8.42578125" customWidth="1"/>
    <col min="9410" max="9410" width="9" customWidth="1"/>
    <col min="9411" max="9411" width="10.42578125" customWidth="1"/>
    <col min="9414" max="9414" width="10.28515625" customWidth="1"/>
    <col min="9658" max="9658" width="7" customWidth="1"/>
    <col min="9659" max="9659" width="30.140625" customWidth="1"/>
    <col min="9660" max="9660" width="6.28515625" customWidth="1"/>
    <col min="9661" max="9661" width="31.42578125" customWidth="1"/>
    <col min="9662" max="9662" width="10.5703125" customWidth="1"/>
    <col min="9663" max="9663" width="10.42578125" customWidth="1"/>
    <col min="9664" max="9664" width="9.5703125" customWidth="1"/>
    <col min="9665" max="9665" width="8.42578125" customWidth="1"/>
    <col min="9666" max="9666" width="9" customWidth="1"/>
    <col min="9667" max="9667" width="10.42578125" customWidth="1"/>
    <col min="9670" max="9670" width="10.28515625" customWidth="1"/>
    <col min="9914" max="9914" width="7" customWidth="1"/>
    <col min="9915" max="9915" width="30.140625" customWidth="1"/>
    <col min="9916" max="9916" width="6.28515625" customWidth="1"/>
    <col min="9917" max="9917" width="31.42578125" customWidth="1"/>
    <col min="9918" max="9918" width="10.5703125" customWidth="1"/>
    <col min="9919" max="9919" width="10.42578125" customWidth="1"/>
    <col min="9920" max="9920" width="9.5703125" customWidth="1"/>
    <col min="9921" max="9921" width="8.42578125" customWidth="1"/>
    <col min="9922" max="9922" width="9" customWidth="1"/>
    <col min="9923" max="9923" width="10.42578125" customWidth="1"/>
    <col min="9926" max="9926" width="10.28515625" customWidth="1"/>
    <col min="10170" max="10170" width="7" customWidth="1"/>
    <col min="10171" max="10171" width="30.140625" customWidth="1"/>
    <col min="10172" max="10172" width="6.28515625" customWidth="1"/>
    <col min="10173" max="10173" width="31.42578125" customWidth="1"/>
    <col min="10174" max="10174" width="10.5703125" customWidth="1"/>
    <col min="10175" max="10175" width="10.42578125" customWidth="1"/>
    <col min="10176" max="10176" width="9.5703125" customWidth="1"/>
    <col min="10177" max="10177" width="8.42578125" customWidth="1"/>
    <col min="10178" max="10178" width="9" customWidth="1"/>
    <col min="10179" max="10179" width="10.42578125" customWidth="1"/>
    <col min="10182" max="10182" width="10.28515625" customWidth="1"/>
    <col min="10426" max="10426" width="7" customWidth="1"/>
    <col min="10427" max="10427" width="30.140625" customWidth="1"/>
    <col min="10428" max="10428" width="6.28515625" customWidth="1"/>
    <col min="10429" max="10429" width="31.42578125" customWidth="1"/>
    <col min="10430" max="10430" width="10.5703125" customWidth="1"/>
    <col min="10431" max="10431" width="10.42578125" customWidth="1"/>
    <col min="10432" max="10432" width="9.5703125" customWidth="1"/>
    <col min="10433" max="10433" width="8.42578125" customWidth="1"/>
    <col min="10434" max="10434" width="9" customWidth="1"/>
    <col min="10435" max="10435" width="10.42578125" customWidth="1"/>
    <col min="10438" max="10438" width="10.28515625" customWidth="1"/>
    <col min="10682" max="10682" width="7" customWidth="1"/>
    <col min="10683" max="10683" width="30.140625" customWidth="1"/>
    <col min="10684" max="10684" width="6.28515625" customWidth="1"/>
    <col min="10685" max="10685" width="31.42578125" customWidth="1"/>
    <col min="10686" max="10686" width="10.5703125" customWidth="1"/>
    <col min="10687" max="10687" width="10.42578125" customWidth="1"/>
    <col min="10688" max="10688" width="9.5703125" customWidth="1"/>
    <col min="10689" max="10689" width="8.42578125" customWidth="1"/>
    <col min="10690" max="10690" width="9" customWidth="1"/>
    <col min="10691" max="10691" width="10.42578125" customWidth="1"/>
    <col min="10694" max="10694" width="10.28515625" customWidth="1"/>
    <col min="10938" max="10938" width="7" customWidth="1"/>
    <col min="10939" max="10939" width="30.140625" customWidth="1"/>
    <col min="10940" max="10940" width="6.28515625" customWidth="1"/>
    <col min="10941" max="10941" width="31.42578125" customWidth="1"/>
    <col min="10942" max="10942" width="10.5703125" customWidth="1"/>
    <col min="10943" max="10943" width="10.42578125" customWidth="1"/>
    <col min="10944" max="10944" width="9.5703125" customWidth="1"/>
    <col min="10945" max="10945" width="8.42578125" customWidth="1"/>
    <col min="10946" max="10946" width="9" customWidth="1"/>
    <col min="10947" max="10947" width="10.42578125" customWidth="1"/>
    <col min="10950" max="10950" width="10.28515625" customWidth="1"/>
    <col min="11194" max="11194" width="7" customWidth="1"/>
    <col min="11195" max="11195" width="30.140625" customWidth="1"/>
    <col min="11196" max="11196" width="6.28515625" customWidth="1"/>
    <col min="11197" max="11197" width="31.42578125" customWidth="1"/>
    <col min="11198" max="11198" width="10.5703125" customWidth="1"/>
    <col min="11199" max="11199" width="10.42578125" customWidth="1"/>
    <col min="11200" max="11200" width="9.5703125" customWidth="1"/>
    <col min="11201" max="11201" width="8.42578125" customWidth="1"/>
    <col min="11202" max="11202" width="9" customWidth="1"/>
    <col min="11203" max="11203" width="10.42578125" customWidth="1"/>
    <col min="11206" max="11206" width="10.28515625" customWidth="1"/>
    <col min="11450" max="11450" width="7" customWidth="1"/>
    <col min="11451" max="11451" width="30.140625" customWidth="1"/>
    <col min="11452" max="11452" width="6.28515625" customWidth="1"/>
    <col min="11453" max="11453" width="31.42578125" customWidth="1"/>
    <col min="11454" max="11454" width="10.5703125" customWidth="1"/>
    <col min="11455" max="11455" width="10.42578125" customWidth="1"/>
    <col min="11456" max="11456" width="9.5703125" customWidth="1"/>
    <col min="11457" max="11457" width="8.42578125" customWidth="1"/>
    <col min="11458" max="11458" width="9" customWidth="1"/>
    <col min="11459" max="11459" width="10.42578125" customWidth="1"/>
    <col min="11462" max="11462" width="10.28515625" customWidth="1"/>
    <col min="11706" max="11706" width="7" customWidth="1"/>
    <col min="11707" max="11707" width="30.140625" customWidth="1"/>
    <col min="11708" max="11708" width="6.28515625" customWidth="1"/>
    <col min="11709" max="11709" width="31.42578125" customWidth="1"/>
    <col min="11710" max="11710" width="10.5703125" customWidth="1"/>
    <col min="11711" max="11711" width="10.42578125" customWidth="1"/>
    <col min="11712" max="11712" width="9.5703125" customWidth="1"/>
    <col min="11713" max="11713" width="8.42578125" customWidth="1"/>
    <col min="11714" max="11714" width="9" customWidth="1"/>
    <col min="11715" max="11715" width="10.42578125" customWidth="1"/>
    <col min="11718" max="11718" width="10.28515625" customWidth="1"/>
    <col min="11962" max="11962" width="7" customWidth="1"/>
    <col min="11963" max="11963" width="30.140625" customWidth="1"/>
    <col min="11964" max="11964" width="6.28515625" customWidth="1"/>
    <col min="11965" max="11965" width="31.42578125" customWidth="1"/>
    <col min="11966" max="11966" width="10.5703125" customWidth="1"/>
    <col min="11967" max="11967" width="10.42578125" customWidth="1"/>
    <col min="11968" max="11968" width="9.5703125" customWidth="1"/>
    <col min="11969" max="11969" width="8.42578125" customWidth="1"/>
    <col min="11970" max="11970" width="9" customWidth="1"/>
    <col min="11971" max="11971" width="10.42578125" customWidth="1"/>
    <col min="11974" max="11974" width="10.28515625" customWidth="1"/>
    <col min="12218" max="12218" width="7" customWidth="1"/>
    <col min="12219" max="12219" width="30.140625" customWidth="1"/>
    <col min="12220" max="12220" width="6.28515625" customWidth="1"/>
    <col min="12221" max="12221" width="31.42578125" customWidth="1"/>
    <col min="12222" max="12222" width="10.5703125" customWidth="1"/>
    <col min="12223" max="12223" width="10.42578125" customWidth="1"/>
    <col min="12224" max="12224" width="9.5703125" customWidth="1"/>
    <col min="12225" max="12225" width="8.42578125" customWidth="1"/>
    <col min="12226" max="12226" width="9" customWidth="1"/>
    <col min="12227" max="12227" width="10.42578125" customWidth="1"/>
    <col min="12230" max="12230" width="10.28515625" customWidth="1"/>
    <col min="12474" max="12474" width="7" customWidth="1"/>
    <col min="12475" max="12475" width="30.140625" customWidth="1"/>
    <col min="12476" max="12476" width="6.28515625" customWidth="1"/>
    <col min="12477" max="12477" width="31.42578125" customWidth="1"/>
    <col min="12478" max="12478" width="10.5703125" customWidth="1"/>
    <col min="12479" max="12479" width="10.42578125" customWidth="1"/>
    <col min="12480" max="12480" width="9.5703125" customWidth="1"/>
    <col min="12481" max="12481" width="8.42578125" customWidth="1"/>
    <col min="12482" max="12482" width="9" customWidth="1"/>
    <col min="12483" max="12483" width="10.42578125" customWidth="1"/>
    <col min="12486" max="12486" width="10.28515625" customWidth="1"/>
    <col min="12730" max="12730" width="7" customWidth="1"/>
    <col min="12731" max="12731" width="30.140625" customWidth="1"/>
    <col min="12732" max="12732" width="6.28515625" customWidth="1"/>
    <col min="12733" max="12733" width="31.42578125" customWidth="1"/>
    <col min="12734" max="12734" width="10.5703125" customWidth="1"/>
    <col min="12735" max="12735" width="10.42578125" customWidth="1"/>
    <col min="12736" max="12736" width="9.5703125" customWidth="1"/>
    <col min="12737" max="12737" width="8.42578125" customWidth="1"/>
    <col min="12738" max="12738" width="9" customWidth="1"/>
    <col min="12739" max="12739" width="10.42578125" customWidth="1"/>
    <col min="12742" max="12742" width="10.28515625" customWidth="1"/>
    <col min="12986" max="12986" width="7" customWidth="1"/>
    <col min="12987" max="12987" width="30.140625" customWidth="1"/>
    <col min="12988" max="12988" width="6.28515625" customWidth="1"/>
    <col min="12989" max="12989" width="31.42578125" customWidth="1"/>
    <col min="12990" max="12990" width="10.5703125" customWidth="1"/>
    <col min="12991" max="12991" width="10.42578125" customWidth="1"/>
    <col min="12992" max="12992" width="9.5703125" customWidth="1"/>
    <col min="12993" max="12993" width="8.42578125" customWidth="1"/>
    <col min="12994" max="12994" width="9" customWidth="1"/>
    <col min="12995" max="12995" width="10.42578125" customWidth="1"/>
    <col min="12998" max="12998" width="10.28515625" customWidth="1"/>
    <col min="13242" max="13242" width="7" customWidth="1"/>
    <col min="13243" max="13243" width="30.140625" customWidth="1"/>
    <col min="13244" max="13244" width="6.28515625" customWidth="1"/>
    <col min="13245" max="13245" width="31.42578125" customWidth="1"/>
    <col min="13246" max="13246" width="10.5703125" customWidth="1"/>
    <col min="13247" max="13247" width="10.42578125" customWidth="1"/>
    <col min="13248" max="13248" width="9.5703125" customWidth="1"/>
    <col min="13249" max="13249" width="8.42578125" customWidth="1"/>
    <col min="13250" max="13250" width="9" customWidth="1"/>
    <col min="13251" max="13251" width="10.42578125" customWidth="1"/>
    <col min="13254" max="13254" width="10.28515625" customWidth="1"/>
    <col min="13498" max="13498" width="7" customWidth="1"/>
    <col min="13499" max="13499" width="30.140625" customWidth="1"/>
    <col min="13500" max="13500" width="6.28515625" customWidth="1"/>
    <col min="13501" max="13501" width="31.42578125" customWidth="1"/>
    <col min="13502" max="13502" width="10.5703125" customWidth="1"/>
    <col min="13503" max="13503" width="10.42578125" customWidth="1"/>
    <col min="13504" max="13504" width="9.5703125" customWidth="1"/>
    <col min="13505" max="13505" width="8.42578125" customWidth="1"/>
    <col min="13506" max="13506" width="9" customWidth="1"/>
    <col min="13507" max="13507" width="10.42578125" customWidth="1"/>
    <col min="13510" max="13510" width="10.28515625" customWidth="1"/>
    <col min="13754" max="13754" width="7" customWidth="1"/>
    <col min="13755" max="13755" width="30.140625" customWidth="1"/>
    <col min="13756" max="13756" width="6.28515625" customWidth="1"/>
    <col min="13757" max="13757" width="31.42578125" customWidth="1"/>
    <col min="13758" max="13758" width="10.5703125" customWidth="1"/>
    <col min="13759" max="13759" width="10.42578125" customWidth="1"/>
    <col min="13760" max="13760" width="9.5703125" customWidth="1"/>
    <col min="13761" max="13761" width="8.42578125" customWidth="1"/>
    <col min="13762" max="13762" width="9" customWidth="1"/>
    <col min="13763" max="13763" width="10.42578125" customWidth="1"/>
    <col min="13766" max="13766" width="10.28515625" customWidth="1"/>
    <col min="14010" max="14010" width="7" customWidth="1"/>
    <col min="14011" max="14011" width="30.140625" customWidth="1"/>
    <col min="14012" max="14012" width="6.28515625" customWidth="1"/>
    <col min="14013" max="14013" width="31.42578125" customWidth="1"/>
    <col min="14014" max="14014" width="10.5703125" customWidth="1"/>
    <col min="14015" max="14015" width="10.42578125" customWidth="1"/>
    <col min="14016" max="14016" width="9.5703125" customWidth="1"/>
    <col min="14017" max="14017" width="8.42578125" customWidth="1"/>
    <col min="14018" max="14018" width="9" customWidth="1"/>
    <col min="14019" max="14019" width="10.42578125" customWidth="1"/>
    <col min="14022" max="14022" width="10.28515625" customWidth="1"/>
    <col min="14266" max="14266" width="7" customWidth="1"/>
    <col min="14267" max="14267" width="30.140625" customWidth="1"/>
    <col min="14268" max="14268" width="6.28515625" customWidth="1"/>
    <col min="14269" max="14269" width="31.42578125" customWidth="1"/>
    <col min="14270" max="14270" width="10.5703125" customWidth="1"/>
    <col min="14271" max="14271" width="10.42578125" customWidth="1"/>
    <col min="14272" max="14272" width="9.5703125" customWidth="1"/>
    <col min="14273" max="14273" width="8.42578125" customWidth="1"/>
    <col min="14274" max="14274" width="9" customWidth="1"/>
    <col min="14275" max="14275" width="10.42578125" customWidth="1"/>
    <col min="14278" max="14278" width="10.28515625" customWidth="1"/>
    <col min="14522" max="14522" width="7" customWidth="1"/>
    <col min="14523" max="14523" width="30.140625" customWidth="1"/>
    <col min="14524" max="14524" width="6.28515625" customWidth="1"/>
    <col min="14525" max="14525" width="31.42578125" customWidth="1"/>
    <col min="14526" max="14526" width="10.5703125" customWidth="1"/>
    <col min="14527" max="14527" width="10.42578125" customWidth="1"/>
    <col min="14528" max="14528" width="9.5703125" customWidth="1"/>
    <col min="14529" max="14529" width="8.42578125" customWidth="1"/>
    <col min="14530" max="14530" width="9" customWidth="1"/>
    <col min="14531" max="14531" width="10.42578125" customWidth="1"/>
    <col min="14534" max="14534" width="10.28515625" customWidth="1"/>
    <col min="14778" max="14778" width="7" customWidth="1"/>
    <col min="14779" max="14779" width="30.140625" customWidth="1"/>
    <col min="14780" max="14780" width="6.28515625" customWidth="1"/>
    <col min="14781" max="14781" width="31.42578125" customWidth="1"/>
    <col min="14782" max="14782" width="10.5703125" customWidth="1"/>
    <col min="14783" max="14783" width="10.42578125" customWidth="1"/>
    <col min="14784" max="14784" width="9.5703125" customWidth="1"/>
    <col min="14785" max="14785" width="8.42578125" customWidth="1"/>
    <col min="14786" max="14786" width="9" customWidth="1"/>
    <col min="14787" max="14787" width="10.42578125" customWidth="1"/>
    <col min="14790" max="14790" width="10.28515625" customWidth="1"/>
    <col min="15034" max="15034" width="7" customWidth="1"/>
    <col min="15035" max="15035" width="30.140625" customWidth="1"/>
    <col min="15036" max="15036" width="6.28515625" customWidth="1"/>
    <col min="15037" max="15037" width="31.42578125" customWidth="1"/>
    <col min="15038" max="15038" width="10.5703125" customWidth="1"/>
    <col min="15039" max="15039" width="10.42578125" customWidth="1"/>
    <col min="15040" max="15040" width="9.5703125" customWidth="1"/>
    <col min="15041" max="15041" width="8.42578125" customWidth="1"/>
    <col min="15042" max="15042" width="9" customWidth="1"/>
    <col min="15043" max="15043" width="10.42578125" customWidth="1"/>
    <col min="15046" max="15046" width="10.28515625" customWidth="1"/>
    <col min="15290" max="15290" width="7" customWidth="1"/>
    <col min="15291" max="15291" width="30.140625" customWidth="1"/>
    <col min="15292" max="15292" width="6.28515625" customWidth="1"/>
    <col min="15293" max="15293" width="31.42578125" customWidth="1"/>
    <col min="15294" max="15294" width="10.5703125" customWidth="1"/>
    <col min="15295" max="15295" width="10.42578125" customWidth="1"/>
    <col min="15296" max="15296" width="9.5703125" customWidth="1"/>
    <col min="15297" max="15297" width="8.42578125" customWidth="1"/>
    <col min="15298" max="15298" width="9" customWidth="1"/>
    <col min="15299" max="15299" width="10.42578125" customWidth="1"/>
    <col min="15302" max="15302" width="10.28515625" customWidth="1"/>
    <col min="15546" max="15546" width="7" customWidth="1"/>
    <col min="15547" max="15547" width="30.140625" customWidth="1"/>
    <col min="15548" max="15548" width="6.28515625" customWidth="1"/>
    <col min="15549" max="15549" width="31.42578125" customWidth="1"/>
    <col min="15550" max="15550" width="10.5703125" customWidth="1"/>
    <col min="15551" max="15551" width="10.42578125" customWidth="1"/>
    <col min="15552" max="15552" width="9.5703125" customWidth="1"/>
    <col min="15553" max="15553" width="8.42578125" customWidth="1"/>
    <col min="15554" max="15554" width="9" customWidth="1"/>
    <col min="15555" max="15555" width="10.42578125" customWidth="1"/>
    <col min="15558" max="15558" width="10.28515625" customWidth="1"/>
    <col min="15802" max="15802" width="7" customWidth="1"/>
    <col min="15803" max="15803" width="30.140625" customWidth="1"/>
    <col min="15804" max="15804" width="6.28515625" customWidth="1"/>
    <col min="15805" max="15805" width="31.42578125" customWidth="1"/>
    <col min="15806" max="15806" width="10.5703125" customWidth="1"/>
    <col min="15807" max="15807" width="10.42578125" customWidth="1"/>
    <col min="15808" max="15808" width="9.5703125" customWidth="1"/>
    <col min="15809" max="15809" width="8.42578125" customWidth="1"/>
    <col min="15810" max="15810" width="9" customWidth="1"/>
    <col min="15811" max="15811" width="10.42578125" customWidth="1"/>
    <col min="15814" max="15814" width="10.28515625" customWidth="1"/>
    <col min="16058" max="16058" width="7" customWidth="1"/>
    <col min="16059" max="16059" width="30.140625" customWidth="1"/>
    <col min="16060" max="16060" width="6.28515625" customWidth="1"/>
    <col min="16061" max="16061" width="31.42578125" customWidth="1"/>
    <col min="16062" max="16062" width="10.5703125" customWidth="1"/>
    <col min="16063" max="16063" width="10.42578125" customWidth="1"/>
    <col min="16064" max="16064" width="9.5703125" customWidth="1"/>
    <col min="16065" max="16065" width="8.42578125" customWidth="1"/>
    <col min="16066" max="16066" width="9" customWidth="1"/>
    <col min="16067" max="16067" width="10.42578125" customWidth="1"/>
    <col min="16070" max="16070" width="10.285156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768" t="s">
        <v>875</v>
      </c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20" t="s">
        <v>4</v>
      </c>
      <c r="B3" s="820"/>
      <c r="C3" s="820"/>
      <c r="D3" s="820"/>
      <c r="E3" s="82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customHeight="1" x14ac:dyDescent="0.25">
      <c r="A6" s="96"/>
      <c r="B6" s="95"/>
      <c r="C6" s="95"/>
      <c r="D6" s="95"/>
      <c r="E6" s="96"/>
      <c r="F6" s="96"/>
      <c r="G6" s="96"/>
      <c r="H6" s="96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5" customHeight="1" thickBot="1" x14ac:dyDescent="0.3">
      <c r="A7" s="95"/>
      <c r="B7" s="6"/>
      <c r="D7" s="10"/>
      <c r="E7" s="6"/>
      <c r="F7" s="96"/>
      <c r="G7" s="96"/>
      <c r="H7" s="96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5" customHeight="1" thickBot="1" x14ac:dyDescent="0.25">
      <c r="A9" s="12" t="s">
        <v>808</v>
      </c>
      <c r="D9" s="12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">
      <c r="A12" s="243">
        <v>1</v>
      </c>
      <c r="B12" s="244">
        <v>3440</v>
      </c>
      <c r="C12" s="244">
        <v>600078078</v>
      </c>
      <c r="D12" s="244">
        <v>72743441</v>
      </c>
      <c r="E12" s="245" t="s">
        <v>86</v>
      </c>
      <c r="F12" s="244">
        <v>3111</v>
      </c>
      <c r="G12" s="246" t="s">
        <v>311</v>
      </c>
      <c r="H12" s="247" t="s">
        <v>277</v>
      </c>
      <c r="I12" s="455">
        <v>10876521</v>
      </c>
      <c r="J12" s="456">
        <v>7841300</v>
      </c>
      <c r="K12" s="456">
        <v>122000</v>
      </c>
      <c r="L12" s="456">
        <v>2691595</v>
      </c>
      <c r="M12" s="456">
        <v>156826</v>
      </c>
      <c r="N12" s="456">
        <v>64800</v>
      </c>
      <c r="O12" s="457">
        <v>17.094499999999996</v>
      </c>
      <c r="P12" s="458">
        <v>12.4</v>
      </c>
      <c r="Q12" s="482">
        <v>4.6944999999999997</v>
      </c>
      <c r="R12" s="462">
        <f t="shared" ref="R12:R14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10876521</v>
      </c>
      <c r="AV12" s="460">
        <f>J12+X12</f>
        <v>7841300</v>
      </c>
      <c r="AW12" s="460">
        <f>K12+AB12</f>
        <v>122000</v>
      </c>
      <c r="AX12" s="460">
        <f t="shared" ref="AX12:AY14" si="8">L12+AD12</f>
        <v>2691595</v>
      </c>
      <c r="AY12" s="460">
        <f t="shared" si="8"/>
        <v>156826</v>
      </c>
      <c r="AZ12" s="460">
        <f>N12+AH12</f>
        <v>64800</v>
      </c>
      <c r="BA12" s="461">
        <f>O12+AT12</f>
        <v>17.094499999999996</v>
      </c>
      <c r="BB12" s="461">
        <f t="shared" ref="BB12:BC14" si="9">P12+AR12</f>
        <v>12.4</v>
      </c>
      <c r="BC12" s="463">
        <f t="shared" si="9"/>
        <v>4.6944999999999997</v>
      </c>
    </row>
    <row r="13" spans="1:55" x14ac:dyDescent="0.2">
      <c r="A13" s="216">
        <v>1</v>
      </c>
      <c r="B13" s="217">
        <v>3440</v>
      </c>
      <c r="C13" s="217">
        <v>600078078</v>
      </c>
      <c r="D13" s="217">
        <v>72743441</v>
      </c>
      <c r="E13" s="215" t="s">
        <v>86</v>
      </c>
      <c r="F13" s="217">
        <v>3111</v>
      </c>
      <c r="G13" s="218" t="s">
        <v>312</v>
      </c>
      <c r="H13" s="219" t="s">
        <v>278</v>
      </c>
      <c r="I13" s="477">
        <v>1164727</v>
      </c>
      <c r="J13" s="472">
        <v>854549</v>
      </c>
      <c r="K13" s="472">
        <v>0</v>
      </c>
      <c r="L13" s="472">
        <v>288837</v>
      </c>
      <c r="M13" s="472">
        <v>17091</v>
      </c>
      <c r="N13" s="472">
        <v>4250</v>
      </c>
      <c r="O13" s="473">
        <v>2.67</v>
      </c>
      <c r="P13" s="474">
        <v>2.67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1500</v>
      </c>
      <c r="AG13" s="475">
        <v>0</v>
      </c>
      <c r="AH13" s="475">
        <f t="shared" si="5"/>
        <v>1500</v>
      </c>
      <c r="AI13" s="475">
        <f t="shared" si="6"/>
        <v>1500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 t="shared" ref="AU13:AU76" si="10">I13+AI13</f>
        <v>1166227</v>
      </c>
      <c r="AV13" s="475">
        <f t="shared" ref="AV13:AV76" si="11">J13+X13</f>
        <v>854549</v>
      </c>
      <c r="AW13" s="475">
        <f>K13+AB13</f>
        <v>0</v>
      </c>
      <c r="AX13" s="475">
        <f t="shared" si="8"/>
        <v>288837</v>
      </c>
      <c r="AY13" s="475">
        <f t="shared" si="8"/>
        <v>17091</v>
      </c>
      <c r="AZ13" s="475">
        <f t="shared" ref="AZ13:AZ76" si="12">N13+AH13</f>
        <v>5750</v>
      </c>
      <c r="BA13" s="476">
        <f t="shared" ref="BA13:BA76" si="13">O13+AT13</f>
        <v>2.67</v>
      </c>
      <c r="BB13" s="476">
        <f t="shared" si="9"/>
        <v>2.67</v>
      </c>
      <c r="BC13" s="478">
        <f t="shared" si="9"/>
        <v>0</v>
      </c>
    </row>
    <row r="14" spans="1:55" x14ac:dyDescent="0.2">
      <c r="A14" s="216">
        <v>1</v>
      </c>
      <c r="B14" s="217">
        <v>3440</v>
      </c>
      <c r="C14" s="217">
        <v>600078078</v>
      </c>
      <c r="D14" s="217">
        <v>72743441</v>
      </c>
      <c r="E14" s="215" t="s">
        <v>86</v>
      </c>
      <c r="F14" s="217">
        <v>3141</v>
      </c>
      <c r="G14" s="218" t="s">
        <v>315</v>
      </c>
      <c r="H14" s="219" t="s">
        <v>278</v>
      </c>
      <c r="I14" s="477">
        <v>1964027</v>
      </c>
      <c r="J14" s="472">
        <v>1362889</v>
      </c>
      <c r="K14" s="472">
        <v>78000</v>
      </c>
      <c r="L14" s="472">
        <v>487020</v>
      </c>
      <c r="M14" s="472">
        <v>27258</v>
      </c>
      <c r="N14" s="472">
        <v>8860</v>
      </c>
      <c r="O14" s="473">
        <v>4.3600000000000003</v>
      </c>
      <c r="P14" s="474">
        <v>0</v>
      </c>
      <c r="Q14" s="483">
        <v>4.3600000000000003</v>
      </c>
      <c r="R14" s="485">
        <f t="shared" si="0"/>
        <v>0</v>
      </c>
      <c r="S14" s="475">
        <v>0</v>
      </c>
      <c r="T14" s="475">
        <v>-16097</v>
      </c>
      <c r="U14" s="475">
        <v>0</v>
      </c>
      <c r="V14" s="475">
        <v>0</v>
      </c>
      <c r="W14" s="475">
        <v>0</v>
      </c>
      <c r="X14" s="475">
        <f>SUM(R14:W14)</f>
        <v>-16097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-16097</v>
      </c>
      <c r="AD14" s="70">
        <f t="shared" si="3"/>
        <v>-5441</v>
      </c>
      <c r="AE14" s="70">
        <f t="shared" si="4"/>
        <v>-322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-21860</v>
      </c>
      <c r="AJ14" s="476">
        <v>0</v>
      </c>
      <c r="AK14" s="476">
        <v>0</v>
      </c>
      <c r="AL14" s="476">
        <v>0</v>
      </c>
      <c r="AM14" s="476">
        <v>0</v>
      </c>
      <c r="AN14" s="476">
        <v>-0.06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-0.06</v>
      </c>
      <c r="AT14" s="478">
        <f t="shared" si="7"/>
        <v>-0.06</v>
      </c>
      <c r="AU14" s="484">
        <f t="shared" si="10"/>
        <v>1942167</v>
      </c>
      <c r="AV14" s="475">
        <f t="shared" si="11"/>
        <v>1346792</v>
      </c>
      <c r="AW14" s="475">
        <f>K14+AB14</f>
        <v>78000</v>
      </c>
      <c r="AX14" s="475">
        <f t="shared" si="8"/>
        <v>481579</v>
      </c>
      <c r="AY14" s="475">
        <f t="shared" si="8"/>
        <v>26936</v>
      </c>
      <c r="AZ14" s="475">
        <f t="shared" si="12"/>
        <v>8860</v>
      </c>
      <c r="BA14" s="476">
        <f t="shared" si="13"/>
        <v>4.3000000000000007</v>
      </c>
      <c r="BB14" s="476">
        <f t="shared" si="9"/>
        <v>0</v>
      </c>
      <c r="BC14" s="478">
        <f t="shared" si="9"/>
        <v>4.3000000000000007</v>
      </c>
    </row>
    <row r="15" spans="1:55" x14ac:dyDescent="0.2">
      <c r="A15" s="162">
        <v>1</v>
      </c>
      <c r="B15" s="18">
        <v>3440</v>
      </c>
      <c r="C15" s="18">
        <v>600078078</v>
      </c>
      <c r="D15" s="18">
        <v>72743441</v>
      </c>
      <c r="E15" s="171" t="s">
        <v>87</v>
      </c>
      <c r="F15" s="18"/>
      <c r="G15" s="161"/>
      <c r="H15" s="195"/>
      <c r="I15" s="528">
        <v>14005275</v>
      </c>
      <c r="J15" s="524">
        <v>10058738</v>
      </c>
      <c r="K15" s="524">
        <v>200000</v>
      </c>
      <c r="L15" s="524">
        <v>3467452</v>
      </c>
      <c r="M15" s="524">
        <v>201175</v>
      </c>
      <c r="N15" s="524">
        <v>77910</v>
      </c>
      <c r="O15" s="525">
        <v>24.124499999999998</v>
      </c>
      <c r="P15" s="525">
        <v>15.07</v>
      </c>
      <c r="Q15" s="530">
        <v>9.0545000000000009</v>
      </c>
      <c r="R15" s="528">
        <f t="shared" ref="R15:BC15" si="14">SUM(R12:R14)</f>
        <v>0</v>
      </c>
      <c r="S15" s="524">
        <f t="shared" si="14"/>
        <v>0</v>
      </c>
      <c r="T15" s="524">
        <f t="shared" si="14"/>
        <v>-16097</v>
      </c>
      <c r="U15" s="524">
        <f t="shared" si="14"/>
        <v>0</v>
      </c>
      <c r="V15" s="524">
        <f t="shared" si="14"/>
        <v>0</v>
      </c>
      <c r="W15" s="524">
        <f t="shared" si="14"/>
        <v>0</v>
      </c>
      <c r="X15" s="524">
        <f t="shared" si="14"/>
        <v>-16097</v>
      </c>
      <c r="Y15" s="524">
        <f t="shared" si="14"/>
        <v>0</v>
      </c>
      <c r="Z15" s="524">
        <f t="shared" si="14"/>
        <v>0</v>
      </c>
      <c r="AA15" s="524">
        <f t="shared" si="14"/>
        <v>0</v>
      </c>
      <c r="AB15" s="524">
        <f t="shared" si="14"/>
        <v>0</v>
      </c>
      <c r="AC15" s="524">
        <f t="shared" si="14"/>
        <v>-16097</v>
      </c>
      <c r="AD15" s="524">
        <f t="shared" si="14"/>
        <v>-5441</v>
      </c>
      <c r="AE15" s="524">
        <f t="shared" si="14"/>
        <v>-322</v>
      </c>
      <c r="AF15" s="524">
        <f t="shared" si="14"/>
        <v>1500</v>
      </c>
      <c r="AG15" s="524">
        <f t="shared" si="14"/>
        <v>0</v>
      </c>
      <c r="AH15" s="524">
        <f t="shared" si="14"/>
        <v>1500</v>
      </c>
      <c r="AI15" s="524">
        <f t="shared" si="14"/>
        <v>-20360</v>
      </c>
      <c r="AJ15" s="525">
        <f t="shared" si="14"/>
        <v>0</v>
      </c>
      <c r="AK15" s="525">
        <f t="shared" si="14"/>
        <v>0</v>
      </c>
      <c r="AL15" s="525">
        <f t="shared" si="14"/>
        <v>0</v>
      </c>
      <c r="AM15" s="525">
        <f t="shared" si="14"/>
        <v>0</v>
      </c>
      <c r="AN15" s="525">
        <f t="shared" si="14"/>
        <v>-0.06</v>
      </c>
      <c r="AO15" s="525">
        <f t="shared" si="14"/>
        <v>0</v>
      </c>
      <c r="AP15" s="525">
        <f t="shared" si="14"/>
        <v>0</v>
      </c>
      <c r="AQ15" s="525">
        <f t="shared" si="14"/>
        <v>0</v>
      </c>
      <c r="AR15" s="525">
        <f t="shared" si="14"/>
        <v>0</v>
      </c>
      <c r="AS15" s="525">
        <f t="shared" si="14"/>
        <v>-0.06</v>
      </c>
      <c r="AT15" s="41">
        <f t="shared" si="14"/>
        <v>-0.06</v>
      </c>
      <c r="AU15" s="532">
        <f t="shared" si="14"/>
        <v>13984915</v>
      </c>
      <c r="AV15" s="524">
        <f t="shared" si="14"/>
        <v>10042641</v>
      </c>
      <c r="AW15" s="524">
        <f t="shared" si="14"/>
        <v>200000</v>
      </c>
      <c r="AX15" s="524">
        <f t="shared" si="14"/>
        <v>3462011</v>
      </c>
      <c r="AY15" s="524">
        <f t="shared" si="14"/>
        <v>200853</v>
      </c>
      <c r="AZ15" s="524">
        <f t="shared" si="14"/>
        <v>79410</v>
      </c>
      <c r="BA15" s="525">
        <f t="shared" si="14"/>
        <v>24.064499999999999</v>
      </c>
      <c r="BB15" s="525">
        <f t="shared" si="14"/>
        <v>15.07</v>
      </c>
      <c r="BC15" s="41">
        <f t="shared" si="14"/>
        <v>8.9945000000000004</v>
      </c>
    </row>
    <row r="16" spans="1:55" x14ac:dyDescent="0.2">
      <c r="A16" s="216">
        <v>2</v>
      </c>
      <c r="B16" s="217">
        <v>3458</v>
      </c>
      <c r="C16" s="217">
        <v>600029069</v>
      </c>
      <c r="D16" s="217">
        <v>75121557</v>
      </c>
      <c r="E16" s="215" t="s">
        <v>88</v>
      </c>
      <c r="F16" s="217">
        <v>3233</v>
      </c>
      <c r="G16" s="218" t="s">
        <v>318</v>
      </c>
      <c r="H16" s="219" t="s">
        <v>278</v>
      </c>
      <c r="I16" s="477">
        <v>3476354</v>
      </c>
      <c r="J16" s="472">
        <v>2444208</v>
      </c>
      <c r="K16" s="472">
        <v>100000</v>
      </c>
      <c r="L16" s="472">
        <v>859942</v>
      </c>
      <c r="M16" s="472">
        <v>48884</v>
      </c>
      <c r="N16" s="472">
        <v>23320</v>
      </c>
      <c r="O16" s="473">
        <v>5.31</v>
      </c>
      <c r="P16" s="474">
        <v>3.56</v>
      </c>
      <c r="Q16" s="483">
        <v>1.75</v>
      </c>
      <c r="R16" s="485">
        <f t="shared" ref="R16" si="15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ref="AB16" si="16">SUM(Y16:AA16)</f>
        <v>0</v>
      </c>
      <c r="AC16" s="475">
        <f t="shared" ref="AC16" si="17">X16+AB16</f>
        <v>0</v>
      </c>
      <c r="AD16" s="70">
        <f t="shared" ref="AD16" si="18">ROUND((X16+Y16+Z16)*33.8%,0)</f>
        <v>0</v>
      </c>
      <c r="AE16" s="70">
        <f t="shared" ref="AE16" si="19">ROUND(X16*2%,0)</f>
        <v>0</v>
      </c>
      <c r="AF16" s="475">
        <v>0</v>
      </c>
      <c r="AG16" s="475">
        <v>0</v>
      </c>
      <c r="AH16" s="475">
        <f t="shared" ref="AH16" si="20">SUM(AF16:AG16)</f>
        <v>0</v>
      </c>
      <c r="AI16" s="475">
        <f t="shared" ref="AI16" si="21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" si="22">SUM(AR16:AS16)</f>
        <v>0</v>
      </c>
      <c r="AU16" s="484">
        <f t="shared" si="10"/>
        <v>3476354</v>
      </c>
      <c r="AV16" s="475">
        <f t="shared" si="11"/>
        <v>2444208</v>
      </c>
      <c r="AW16" s="475">
        <f>K16+AB16</f>
        <v>100000</v>
      </c>
      <c r="AX16" s="475">
        <f>L16+AD16</f>
        <v>859942</v>
      </c>
      <c r="AY16" s="475">
        <f>M16+AE16</f>
        <v>48884</v>
      </c>
      <c r="AZ16" s="475">
        <f t="shared" si="12"/>
        <v>23320</v>
      </c>
      <c r="BA16" s="476">
        <f t="shared" si="13"/>
        <v>5.31</v>
      </c>
      <c r="BB16" s="476">
        <f>P16+AR16</f>
        <v>3.56</v>
      </c>
      <c r="BC16" s="478">
        <f>Q16+AS16</f>
        <v>1.75</v>
      </c>
    </row>
    <row r="17" spans="1:55" x14ac:dyDescent="0.2">
      <c r="A17" s="162">
        <v>2</v>
      </c>
      <c r="B17" s="18">
        <v>3458</v>
      </c>
      <c r="C17" s="18">
        <v>600029069</v>
      </c>
      <c r="D17" s="18">
        <v>75121557</v>
      </c>
      <c r="E17" s="171" t="s">
        <v>89</v>
      </c>
      <c r="F17" s="18"/>
      <c r="G17" s="161"/>
      <c r="H17" s="195"/>
      <c r="I17" s="528">
        <v>3476354</v>
      </c>
      <c r="J17" s="524">
        <v>2444208</v>
      </c>
      <c r="K17" s="524">
        <v>100000</v>
      </c>
      <c r="L17" s="524">
        <v>859942</v>
      </c>
      <c r="M17" s="524">
        <v>48884</v>
      </c>
      <c r="N17" s="524">
        <v>23320</v>
      </c>
      <c r="O17" s="525">
        <v>5.31</v>
      </c>
      <c r="P17" s="525">
        <v>3.56</v>
      </c>
      <c r="Q17" s="530">
        <v>1.75</v>
      </c>
      <c r="R17" s="528">
        <f t="shared" ref="R17:BC17" si="23">SUM(R16)</f>
        <v>0</v>
      </c>
      <c r="S17" s="524">
        <f t="shared" si="23"/>
        <v>0</v>
      </c>
      <c r="T17" s="524">
        <f t="shared" si="23"/>
        <v>0</v>
      </c>
      <c r="U17" s="524">
        <f t="shared" si="23"/>
        <v>0</v>
      </c>
      <c r="V17" s="524">
        <f t="shared" si="23"/>
        <v>0</v>
      </c>
      <c r="W17" s="524">
        <f t="shared" si="23"/>
        <v>0</v>
      </c>
      <c r="X17" s="524">
        <f t="shared" si="23"/>
        <v>0</v>
      </c>
      <c r="Y17" s="524">
        <f t="shared" si="23"/>
        <v>0</v>
      </c>
      <c r="Z17" s="524">
        <f t="shared" si="23"/>
        <v>0</v>
      </c>
      <c r="AA17" s="524">
        <f t="shared" si="23"/>
        <v>0</v>
      </c>
      <c r="AB17" s="524">
        <f t="shared" si="23"/>
        <v>0</v>
      </c>
      <c r="AC17" s="524">
        <f t="shared" si="23"/>
        <v>0</v>
      </c>
      <c r="AD17" s="524">
        <f t="shared" si="23"/>
        <v>0</v>
      </c>
      <c r="AE17" s="524">
        <f t="shared" si="23"/>
        <v>0</v>
      </c>
      <c r="AF17" s="524">
        <f t="shared" si="23"/>
        <v>0</v>
      </c>
      <c r="AG17" s="524">
        <f t="shared" si="23"/>
        <v>0</v>
      </c>
      <c r="AH17" s="524">
        <f t="shared" si="23"/>
        <v>0</v>
      </c>
      <c r="AI17" s="524">
        <f t="shared" si="23"/>
        <v>0</v>
      </c>
      <c r="AJ17" s="525">
        <f t="shared" si="23"/>
        <v>0</v>
      </c>
      <c r="AK17" s="525">
        <f t="shared" si="23"/>
        <v>0</v>
      </c>
      <c r="AL17" s="525">
        <f t="shared" si="23"/>
        <v>0</v>
      </c>
      <c r="AM17" s="525">
        <f t="shared" si="23"/>
        <v>0</v>
      </c>
      <c r="AN17" s="525">
        <f t="shared" si="23"/>
        <v>0</v>
      </c>
      <c r="AO17" s="525">
        <f t="shared" si="23"/>
        <v>0</v>
      </c>
      <c r="AP17" s="525">
        <f t="shared" si="23"/>
        <v>0</v>
      </c>
      <c r="AQ17" s="525">
        <f t="shared" si="23"/>
        <v>0</v>
      </c>
      <c r="AR17" s="525">
        <f t="shared" si="23"/>
        <v>0</v>
      </c>
      <c r="AS17" s="525">
        <f t="shared" si="23"/>
        <v>0</v>
      </c>
      <c r="AT17" s="41">
        <f t="shared" si="23"/>
        <v>0</v>
      </c>
      <c r="AU17" s="532">
        <f t="shared" si="23"/>
        <v>3476354</v>
      </c>
      <c r="AV17" s="524">
        <f t="shared" si="23"/>
        <v>2444208</v>
      </c>
      <c r="AW17" s="524">
        <f t="shared" si="23"/>
        <v>100000</v>
      </c>
      <c r="AX17" s="524">
        <f t="shared" si="23"/>
        <v>859942</v>
      </c>
      <c r="AY17" s="524">
        <f t="shared" si="23"/>
        <v>48884</v>
      </c>
      <c r="AZ17" s="524">
        <f t="shared" si="23"/>
        <v>23320</v>
      </c>
      <c r="BA17" s="525">
        <f t="shared" si="23"/>
        <v>5.31</v>
      </c>
      <c r="BB17" s="525">
        <f t="shared" si="23"/>
        <v>3.56</v>
      </c>
      <c r="BC17" s="41">
        <f t="shared" si="23"/>
        <v>1.75</v>
      </c>
    </row>
    <row r="18" spans="1:55" x14ac:dyDescent="0.2">
      <c r="A18" s="216">
        <v>3</v>
      </c>
      <c r="B18" s="217">
        <v>3439</v>
      </c>
      <c r="C18" s="217">
        <v>600010473</v>
      </c>
      <c r="D18" s="217">
        <v>43256791</v>
      </c>
      <c r="E18" s="215" t="s">
        <v>802</v>
      </c>
      <c r="F18" s="217">
        <v>3113</v>
      </c>
      <c r="G18" s="218" t="s">
        <v>314</v>
      </c>
      <c r="H18" s="219" t="s">
        <v>277</v>
      </c>
      <c r="I18" s="477">
        <v>23689026</v>
      </c>
      <c r="J18" s="472">
        <v>16575432</v>
      </c>
      <c r="K18" s="472">
        <v>360000</v>
      </c>
      <c r="L18" s="472">
        <v>5724175</v>
      </c>
      <c r="M18" s="472">
        <v>331509</v>
      </c>
      <c r="N18" s="472">
        <v>697910</v>
      </c>
      <c r="O18" s="473">
        <v>32.65</v>
      </c>
      <c r="P18" s="474">
        <v>26.459999999999997</v>
      </c>
      <c r="Q18" s="483">
        <v>6.1899999999999986</v>
      </c>
      <c r="R18" s="485">
        <f t="shared" ref="R18:R22" si="24">Y18*-1</f>
        <v>0</v>
      </c>
      <c r="S18" s="475">
        <v>0</v>
      </c>
      <c r="T18" s="475">
        <v>-107595</v>
      </c>
      <c r="U18" s="475">
        <v>0</v>
      </c>
      <c r="V18" s="475">
        <v>0</v>
      </c>
      <c r="W18" s="475">
        <v>0</v>
      </c>
      <c r="X18" s="475">
        <f>SUM(R18:W18)</f>
        <v>-107595</v>
      </c>
      <c r="Y18" s="475">
        <v>0</v>
      </c>
      <c r="Z18" s="475">
        <v>0</v>
      </c>
      <c r="AA18" s="475">
        <v>0</v>
      </c>
      <c r="AB18" s="475">
        <f t="shared" ref="AB18:AB22" si="25">SUM(Y18:AA18)</f>
        <v>0</v>
      </c>
      <c r="AC18" s="475">
        <f t="shared" ref="AC18:AC22" si="26">X18+AB18</f>
        <v>-107595</v>
      </c>
      <c r="AD18" s="70">
        <f t="shared" ref="AD18:AD22" si="27">ROUND((X18+Y18+Z18)*33.8%,0)</f>
        <v>-36367</v>
      </c>
      <c r="AE18" s="70">
        <f t="shared" ref="AE18:AE22" si="28">ROUND(X18*2%,0)</f>
        <v>-2152</v>
      </c>
      <c r="AF18" s="475">
        <v>0</v>
      </c>
      <c r="AG18" s="475">
        <v>0</v>
      </c>
      <c r="AH18" s="475">
        <f t="shared" ref="AH18:AH22" si="29">SUM(AF18:AG18)</f>
        <v>0</v>
      </c>
      <c r="AI18" s="475">
        <f t="shared" ref="AI18:AI22" si="30">AC18+AD18+AE18+AH18</f>
        <v>-146114</v>
      </c>
      <c r="AJ18" s="476">
        <v>0</v>
      </c>
      <c r="AK18" s="476">
        <v>0</v>
      </c>
      <c r="AL18" s="476">
        <v>0</v>
      </c>
      <c r="AM18" s="476">
        <v>-0.2</v>
      </c>
      <c r="AN18" s="476">
        <v>0</v>
      </c>
      <c r="AO18" s="476">
        <v>0</v>
      </c>
      <c r="AP18" s="476">
        <v>0</v>
      </c>
      <c r="AQ18" s="476">
        <v>0</v>
      </c>
      <c r="AR18" s="476">
        <f>AJ18+AL18+AM18+AO18+AP18</f>
        <v>-0.2</v>
      </c>
      <c r="AS18" s="476">
        <f>AK18+AN18+AQ18</f>
        <v>0</v>
      </c>
      <c r="AT18" s="478">
        <f t="shared" ref="AT18:AT22" si="31">SUM(AR18:AS18)</f>
        <v>-0.2</v>
      </c>
      <c r="AU18" s="484">
        <f t="shared" si="10"/>
        <v>23542912</v>
      </c>
      <c r="AV18" s="475">
        <f t="shared" si="11"/>
        <v>16467837</v>
      </c>
      <c r="AW18" s="475">
        <f t="shared" ref="AW18:AW22" si="32">K18+AB18</f>
        <v>360000</v>
      </c>
      <c r="AX18" s="475">
        <f t="shared" ref="AX18:AY22" si="33">L18+AD18</f>
        <v>5687808</v>
      </c>
      <c r="AY18" s="475">
        <f t="shared" si="33"/>
        <v>329357</v>
      </c>
      <c r="AZ18" s="475">
        <f t="shared" si="12"/>
        <v>697910</v>
      </c>
      <c r="BA18" s="476">
        <f t="shared" si="13"/>
        <v>32.449999999999996</v>
      </c>
      <c r="BB18" s="476">
        <f t="shared" ref="BB18:BC22" si="34">P18+AR18</f>
        <v>26.259999999999998</v>
      </c>
      <c r="BC18" s="478">
        <f t="shared" si="34"/>
        <v>6.1899999999999986</v>
      </c>
    </row>
    <row r="19" spans="1:55" x14ac:dyDescent="0.2">
      <c r="A19" s="216">
        <v>3</v>
      </c>
      <c r="B19" s="217">
        <v>3439</v>
      </c>
      <c r="C19" s="217">
        <v>600010473</v>
      </c>
      <c r="D19" s="217">
        <v>43256791</v>
      </c>
      <c r="E19" s="215" t="s">
        <v>802</v>
      </c>
      <c r="F19" s="217">
        <v>3113</v>
      </c>
      <c r="G19" s="218" t="s">
        <v>312</v>
      </c>
      <c r="H19" s="219" t="s">
        <v>278</v>
      </c>
      <c r="I19" s="477">
        <v>5985838</v>
      </c>
      <c r="J19" s="472">
        <v>4403601</v>
      </c>
      <c r="K19" s="472">
        <v>0</v>
      </c>
      <c r="L19" s="472">
        <v>1488416</v>
      </c>
      <c r="M19" s="472">
        <v>88071</v>
      </c>
      <c r="N19" s="472">
        <v>5750</v>
      </c>
      <c r="O19" s="473">
        <v>12.25</v>
      </c>
      <c r="P19" s="474">
        <v>12.25</v>
      </c>
      <c r="Q19" s="483">
        <v>0</v>
      </c>
      <c r="R19" s="485">
        <f t="shared" si="24"/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>SUM(R19:W19)</f>
        <v>0</v>
      </c>
      <c r="Y19" s="475">
        <v>0</v>
      </c>
      <c r="Z19" s="475">
        <v>0</v>
      </c>
      <c r="AA19" s="475">
        <v>0</v>
      </c>
      <c r="AB19" s="475">
        <f t="shared" si="25"/>
        <v>0</v>
      </c>
      <c r="AC19" s="475">
        <f t="shared" si="26"/>
        <v>0</v>
      </c>
      <c r="AD19" s="70">
        <f t="shared" si="27"/>
        <v>0</v>
      </c>
      <c r="AE19" s="70">
        <f t="shared" si="28"/>
        <v>0</v>
      </c>
      <c r="AF19" s="475">
        <v>0</v>
      </c>
      <c r="AG19" s="475">
        <v>0</v>
      </c>
      <c r="AH19" s="475">
        <f t="shared" si="29"/>
        <v>0</v>
      </c>
      <c r="AI19" s="475">
        <f t="shared" si="30"/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31"/>
        <v>0</v>
      </c>
      <c r="AU19" s="484">
        <f t="shared" si="10"/>
        <v>5985838</v>
      </c>
      <c r="AV19" s="475">
        <f t="shared" si="11"/>
        <v>4403601</v>
      </c>
      <c r="AW19" s="475">
        <f t="shared" si="32"/>
        <v>0</v>
      </c>
      <c r="AX19" s="475">
        <f t="shared" si="33"/>
        <v>1488416</v>
      </c>
      <c r="AY19" s="475">
        <f t="shared" si="33"/>
        <v>88071</v>
      </c>
      <c r="AZ19" s="475">
        <f t="shared" si="12"/>
        <v>5750</v>
      </c>
      <c r="BA19" s="476">
        <f t="shared" si="13"/>
        <v>12.25</v>
      </c>
      <c r="BB19" s="476">
        <f t="shared" si="34"/>
        <v>12.25</v>
      </c>
      <c r="BC19" s="478">
        <f t="shared" si="34"/>
        <v>0</v>
      </c>
    </row>
    <row r="20" spans="1:55" x14ac:dyDescent="0.2">
      <c r="A20" s="216">
        <v>3</v>
      </c>
      <c r="B20" s="217">
        <v>3439</v>
      </c>
      <c r="C20" s="217">
        <v>600010473</v>
      </c>
      <c r="D20" s="217">
        <v>43256791</v>
      </c>
      <c r="E20" s="215" t="s">
        <v>802</v>
      </c>
      <c r="F20" s="217">
        <v>3143</v>
      </c>
      <c r="G20" s="218" t="s">
        <v>626</v>
      </c>
      <c r="H20" s="239" t="s">
        <v>277</v>
      </c>
      <c r="I20" s="477">
        <v>2110958</v>
      </c>
      <c r="J20" s="472">
        <v>1544608</v>
      </c>
      <c r="K20" s="472">
        <v>10000</v>
      </c>
      <c r="L20" s="472">
        <v>525458</v>
      </c>
      <c r="M20" s="472">
        <v>30892</v>
      </c>
      <c r="N20" s="472">
        <v>0</v>
      </c>
      <c r="O20" s="473">
        <v>3.2800000000000002</v>
      </c>
      <c r="P20" s="474">
        <v>3.2800000000000002</v>
      </c>
      <c r="Q20" s="483">
        <v>0</v>
      </c>
      <c r="R20" s="485">
        <f t="shared" si="24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5"/>
        <v>0</v>
      </c>
      <c r="AC20" s="475">
        <f t="shared" si="26"/>
        <v>0</v>
      </c>
      <c r="AD20" s="70">
        <f t="shared" si="27"/>
        <v>0</v>
      </c>
      <c r="AE20" s="70">
        <f t="shared" si="28"/>
        <v>0</v>
      </c>
      <c r="AF20" s="475">
        <v>0</v>
      </c>
      <c r="AG20" s="475">
        <v>0</v>
      </c>
      <c r="AH20" s="475">
        <f t="shared" si="29"/>
        <v>0</v>
      </c>
      <c r="AI20" s="475">
        <f t="shared" si="30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31"/>
        <v>0</v>
      </c>
      <c r="AU20" s="484">
        <f t="shared" si="10"/>
        <v>2110958</v>
      </c>
      <c r="AV20" s="475">
        <f t="shared" si="11"/>
        <v>1544608</v>
      </c>
      <c r="AW20" s="475">
        <f t="shared" si="32"/>
        <v>10000</v>
      </c>
      <c r="AX20" s="475">
        <f t="shared" si="33"/>
        <v>525458</v>
      </c>
      <c r="AY20" s="475">
        <f t="shared" si="33"/>
        <v>30892</v>
      </c>
      <c r="AZ20" s="475">
        <f t="shared" si="12"/>
        <v>0</v>
      </c>
      <c r="BA20" s="476">
        <f t="shared" si="13"/>
        <v>3.2800000000000002</v>
      </c>
      <c r="BB20" s="476">
        <f t="shared" si="34"/>
        <v>3.2800000000000002</v>
      </c>
      <c r="BC20" s="478">
        <f t="shared" si="34"/>
        <v>0</v>
      </c>
    </row>
    <row r="21" spans="1:55" x14ac:dyDescent="0.2">
      <c r="A21" s="216">
        <v>3</v>
      </c>
      <c r="B21" s="217">
        <v>3439</v>
      </c>
      <c r="C21" s="217">
        <v>600010473</v>
      </c>
      <c r="D21" s="217">
        <v>43256791</v>
      </c>
      <c r="E21" s="215" t="s">
        <v>802</v>
      </c>
      <c r="F21" s="217">
        <v>3143</v>
      </c>
      <c r="G21" s="218" t="s">
        <v>627</v>
      </c>
      <c r="H21" s="239" t="s">
        <v>278</v>
      </c>
      <c r="I21" s="477">
        <v>64260</v>
      </c>
      <c r="J21" s="472">
        <v>45442</v>
      </c>
      <c r="K21" s="472">
        <v>0</v>
      </c>
      <c r="L21" s="472">
        <v>15359</v>
      </c>
      <c r="M21" s="472">
        <v>909</v>
      </c>
      <c r="N21" s="472">
        <v>2550</v>
      </c>
      <c r="O21" s="473">
        <v>0.18</v>
      </c>
      <c r="P21" s="474">
        <v>0</v>
      </c>
      <c r="Q21" s="483">
        <v>0.18</v>
      </c>
      <c r="R21" s="485">
        <f t="shared" si="24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1"/>
        <v>0</v>
      </c>
      <c r="AU21" s="484">
        <f t="shared" si="10"/>
        <v>64260</v>
      </c>
      <c r="AV21" s="475">
        <f t="shared" si="11"/>
        <v>45442</v>
      </c>
      <c r="AW21" s="475">
        <f t="shared" si="32"/>
        <v>0</v>
      </c>
      <c r="AX21" s="475">
        <f t="shared" si="33"/>
        <v>15359</v>
      </c>
      <c r="AY21" s="475">
        <f t="shared" si="33"/>
        <v>909</v>
      </c>
      <c r="AZ21" s="475">
        <f t="shared" si="12"/>
        <v>2550</v>
      </c>
      <c r="BA21" s="476">
        <f t="shared" si="13"/>
        <v>0.18</v>
      </c>
      <c r="BB21" s="476">
        <f t="shared" si="34"/>
        <v>0</v>
      </c>
      <c r="BC21" s="478">
        <f t="shared" si="34"/>
        <v>0.18</v>
      </c>
    </row>
    <row r="22" spans="1:55" x14ac:dyDescent="0.2">
      <c r="A22" s="216">
        <v>3</v>
      </c>
      <c r="B22" s="217">
        <v>3439</v>
      </c>
      <c r="C22" s="217">
        <v>600010473</v>
      </c>
      <c r="D22" s="217">
        <v>43256791</v>
      </c>
      <c r="E22" s="215" t="s">
        <v>802</v>
      </c>
      <c r="F22" s="217">
        <v>3143</v>
      </c>
      <c r="G22" s="218" t="s">
        <v>317</v>
      </c>
      <c r="H22" s="219" t="s">
        <v>278</v>
      </c>
      <c r="I22" s="477">
        <v>257910</v>
      </c>
      <c r="J22" s="472">
        <v>159845</v>
      </c>
      <c r="K22" s="472">
        <v>30000</v>
      </c>
      <c r="L22" s="472">
        <v>64168</v>
      </c>
      <c r="M22" s="472">
        <v>3197</v>
      </c>
      <c r="N22" s="472">
        <v>700</v>
      </c>
      <c r="O22" s="473">
        <v>0.35</v>
      </c>
      <c r="P22" s="474">
        <v>0.27999999999999997</v>
      </c>
      <c r="Q22" s="483">
        <v>7.0000000000000007E-2</v>
      </c>
      <c r="R22" s="485">
        <f t="shared" si="24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25"/>
        <v>0</v>
      </c>
      <c r="AC22" s="475">
        <f t="shared" si="26"/>
        <v>0</v>
      </c>
      <c r="AD22" s="70">
        <f t="shared" si="27"/>
        <v>0</v>
      </c>
      <c r="AE22" s="70">
        <f t="shared" si="28"/>
        <v>0</v>
      </c>
      <c r="AF22" s="475">
        <v>0</v>
      </c>
      <c r="AG22" s="475">
        <v>0</v>
      </c>
      <c r="AH22" s="475">
        <f t="shared" si="29"/>
        <v>0</v>
      </c>
      <c r="AI22" s="475">
        <f t="shared" si="30"/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31"/>
        <v>0</v>
      </c>
      <c r="AU22" s="484">
        <f t="shared" si="10"/>
        <v>257910</v>
      </c>
      <c r="AV22" s="475">
        <f t="shared" si="11"/>
        <v>159845</v>
      </c>
      <c r="AW22" s="475">
        <f t="shared" si="32"/>
        <v>30000</v>
      </c>
      <c r="AX22" s="475">
        <f t="shared" si="33"/>
        <v>64168</v>
      </c>
      <c r="AY22" s="475">
        <f t="shared" si="33"/>
        <v>3197</v>
      </c>
      <c r="AZ22" s="475">
        <f t="shared" si="12"/>
        <v>700</v>
      </c>
      <c r="BA22" s="476">
        <f t="shared" si="13"/>
        <v>0.35</v>
      </c>
      <c r="BB22" s="476">
        <f t="shared" si="34"/>
        <v>0.27999999999999997</v>
      </c>
      <c r="BC22" s="478">
        <f t="shared" si="34"/>
        <v>7.0000000000000007E-2</v>
      </c>
    </row>
    <row r="23" spans="1:55" x14ac:dyDescent="0.2">
      <c r="A23" s="162">
        <v>3</v>
      </c>
      <c r="B23" s="18">
        <v>3439</v>
      </c>
      <c r="C23" s="18">
        <v>600010473</v>
      </c>
      <c r="D23" s="18">
        <v>43256791</v>
      </c>
      <c r="E23" s="171" t="s">
        <v>90</v>
      </c>
      <c r="F23" s="18"/>
      <c r="G23" s="161"/>
      <c r="H23" s="195"/>
      <c r="I23" s="529">
        <v>32107992</v>
      </c>
      <c r="J23" s="526">
        <v>22728928</v>
      </c>
      <c r="K23" s="526">
        <v>400000</v>
      </c>
      <c r="L23" s="526">
        <v>7817576</v>
      </c>
      <c r="M23" s="526">
        <v>454578</v>
      </c>
      <c r="N23" s="526">
        <v>706910</v>
      </c>
      <c r="O23" s="527">
        <v>48.71</v>
      </c>
      <c r="P23" s="527">
        <v>42.269999999999996</v>
      </c>
      <c r="Q23" s="531">
        <v>6.4399999999999986</v>
      </c>
      <c r="R23" s="529">
        <f t="shared" ref="R23:BC23" si="35">SUM(R18:R22)</f>
        <v>0</v>
      </c>
      <c r="S23" s="526">
        <f t="shared" si="35"/>
        <v>0</v>
      </c>
      <c r="T23" s="526">
        <f t="shared" si="35"/>
        <v>-107595</v>
      </c>
      <c r="U23" s="526">
        <f t="shared" si="35"/>
        <v>0</v>
      </c>
      <c r="V23" s="526">
        <f t="shared" si="35"/>
        <v>0</v>
      </c>
      <c r="W23" s="526">
        <f t="shared" si="35"/>
        <v>0</v>
      </c>
      <c r="X23" s="526">
        <f t="shared" si="35"/>
        <v>-107595</v>
      </c>
      <c r="Y23" s="526">
        <f t="shared" si="35"/>
        <v>0</v>
      </c>
      <c r="Z23" s="526">
        <f t="shared" si="35"/>
        <v>0</v>
      </c>
      <c r="AA23" s="526">
        <f t="shared" si="35"/>
        <v>0</v>
      </c>
      <c r="AB23" s="526">
        <f t="shared" si="35"/>
        <v>0</v>
      </c>
      <c r="AC23" s="526">
        <f t="shared" si="35"/>
        <v>-107595</v>
      </c>
      <c r="AD23" s="526">
        <f t="shared" si="35"/>
        <v>-36367</v>
      </c>
      <c r="AE23" s="526">
        <f t="shared" si="35"/>
        <v>-2152</v>
      </c>
      <c r="AF23" s="526">
        <f t="shared" si="35"/>
        <v>0</v>
      </c>
      <c r="AG23" s="526">
        <f t="shared" si="35"/>
        <v>0</v>
      </c>
      <c r="AH23" s="526">
        <f t="shared" si="35"/>
        <v>0</v>
      </c>
      <c r="AI23" s="526">
        <f t="shared" si="35"/>
        <v>-146114</v>
      </c>
      <c r="AJ23" s="527">
        <f t="shared" si="35"/>
        <v>0</v>
      </c>
      <c r="AK23" s="527">
        <f t="shared" si="35"/>
        <v>0</v>
      </c>
      <c r="AL23" s="527">
        <f t="shared" si="35"/>
        <v>0</v>
      </c>
      <c r="AM23" s="527">
        <f t="shared" si="35"/>
        <v>-0.2</v>
      </c>
      <c r="AN23" s="527">
        <f t="shared" si="35"/>
        <v>0</v>
      </c>
      <c r="AO23" s="527">
        <f t="shared" si="35"/>
        <v>0</v>
      </c>
      <c r="AP23" s="527">
        <f t="shared" si="35"/>
        <v>0</v>
      </c>
      <c r="AQ23" s="527">
        <f t="shared" si="35"/>
        <v>0</v>
      </c>
      <c r="AR23" s="527">
        <f t="shared" si="35"/>
        <v>-0.2</v>
      </c>
      <c r="AS23" s="527">
        <f t="shared" si="35"/>
        <v>0</v>
      </c>
      <c r="AT23" s="40">
        <f t="shared" si="35"/>
        <v>-0.2</v>
      </c>
      <c r="AU23" s="533">
        <f t="shared" si="35"/>
        <v>31961878</v>
      </c>
      <c r="AV23" s="526">
        <f t="shared" si="35"/>
        <v>22621333</v>
      </c>
      <c r="AW23" s="526">
        <f t="shared" si="35"/>
        <v>400000</v>
      </c>
      <c r="AX23" s="526">
        <f t="shared" si="35"/>
        <v>7781209</v>
      </c>
      <c r="AY23" s="526">
        <f t="shared" si="35"/>
        <v>452426</v>
      </c>
      <c r="AZ23" s="526">
        <f t="shared" si="35"/>
        <v>706910</v>
      </c>
      <c r="BA23" s="527">
        <f t="shared" si="35"/>
        <v>48.51</v>
      </c>
      <c r="BB23" s="527">
        <f t="shared" si="35"/>
        <v>42.07</v>
      </c>
      <c r="BC23" s="40">
        <f t="shared" si="35"/>
        <v>6.4399999999999986</v>
      </c>
    </row>
    <row r="24" spans="1:55" x14ac:dyDescent="0.2">
      <c r="A24" s="216">
        <v>4</v>
      </c>
      <c r="B24" s="217">
        <v>3438</v>
      </c>
      <c r="C24" s="217">
        <v>600078493</v>
      </c>
      <c r="D24" s="217">
        <v>43257089</v>
      </c>
      <c r="E24" s="215" t="s">
        <v>91</v>
      </c>
      <c r="F24" s="217">
        <v>3113</v>
      </c>
      <c r="G24" s="218" t="s">
        <v>314</v>
      </c>
      <c r="H24" s="219" t="s">
        <v>277</v>
      </c>
      <c r="I24" s="477">
        <v>28504935</v>
      </c>
      <c r="J24" s="472">
        <v>20512289</v>
      </c>
      <c r="K24" s="472">
        <v>61000</v>
      </c>
      <c r="L24" s="472">
        <v>6953771</v>
      </c>
      <c r="M24" s="472">
        <v>410245</v>
      </c>
      <c r="N24" s="472">
        <v>567630</v>
      </c>
      <c r="O24" s="473">
        <v>36.981899999999996</v>
      </c>
      <c r="P24" s="474">
        <v>28.789300000000001</v>
      </c>
      <c r="Q24" s="483">
        <v>8.1925999999999988</v>
      </c>
      <c r="R24" s="485">
        <f t="shared" ref="R24:R27" si="36">Y24*-1</f>
        <v>0</v>
      </c>
      <c r="S24" s="475">
        <v>0</v>
      </c>
      <c r="T24" s="475">
        <v>364238</v>
      </c>
      <c r="U24" s="475">
        <v>-28512</v>
      </c>
      <c r="V24" s="475">
        <v>0</v>
      </c>
      <c r="W24" s="475">
        <v>0</v>
      </c>
      <c r="X24" s="475">
        <f>SUM(R24:W24)</f>
        <v>335726</v>
      </c>
      <c r="Y24" s="475">
        <v>0</v>
      </c>
      <c r="Z24" s="475">
        <v>0</v>
      </c>
      <c r="AA24" s="475">
        <v>0</v>
      </c>
      <c r="AB24" s="475">
        <f t="shared" ref="AB24:AB27" si="37">SUM(Y24:AA24)</f>
        <v>0</v>
      </c>
      <c r="AC24" s="475">
        <f t="shared" ref="AC24:AC27" si="38">X24+AB24</f>
        <v>335726</v>
      </c>
      <c r="AD24" s="70">
        <f t="shared" ref="AD24:AD27" si="39">ROUND((X24+Y24+Z24)*33.8%,0)</f>
        <v>113475</v>
      </c>
      <c r="AE24" s="70">
        <f t="shared" ref="AE24:AE27" si="40">ROUND(X24*2%,0)</f>
        <v>6715</v>
      </c>
      <c r="AF24" s="475">
        <v>0</v>
      </c>
      <c r="AG24" s="475">
        <v>0</v>
      </c>
      <c r="AH24" s="475">
        <f t="shared" ref="AH24:AH27" si="41">SUM(AF24:AG24)</f>
        <v>0</v>
      </c>
      <c r="AI24" s="475">
        <f t="shared" ref="AI24:AI27" si="42">AC24+AD24+AE24+AH24</f>
        <v>455916</v>
      </c>
      <c r="AJ24" s="476">
        <v>0</v>
      </c>
      <c r="AK24" s="476">
        <v>0</v>
      </c>
      <c r="AL24" s="476">
        <v>0</v>
      </c>
      <c r="AM24" s="476">
        <v>0.59</v>
      </c>
      <c r="AN24" s="476">
        <v>0</v>
      </c>
      <c r="AO24" s="476">
        <v>-0.05</v>
      </c>
      <c r="AP24" s="476">
        <v>0</v>
      </c>
      <c r="AQ24" s="476">
        <v>0</v>
      </c>
      <c r="AR24" s="476">
        <f>AJ24+AL24+AM24+AO24+AP24</f>
        <v>0.53999999999999992</v>
      </c>
      <c r="AS24" s="476">
        <f>AK24+AN24+AQ24</f>
        <v>0</v>
      </c>
      <c r="AT24" s="478">
        <f t="shared" ref="AT24:AT27" si="43">SUM(AR24:AS24)</f>
        <v>0.53999999999999992</v>
      </c>
      <c r="AU24" s="484">
        <f t="shared" si="10"/>
        <v>28960851</v>
      </c>
      <c r="AV24" s="475">
        <f t="shared" si="11"/>
        <v>20848015</v>
      </c>
      <c r="AW24" s="475">
        <f t="shared" ref="AW24:AW27" si="44">K24+AB24</f>
        <v>61000</v>
      </c>
      <c r="AX24" s="475">
        <f t="shared" ref="AX24:AY27" si="45">L24+AD24</f>
        <v>7067246</v>
      </c>
      <c r="AY24" s="475">
        <f t="shared" si="45"/>
        <v>416960</v>
      </c>
      <c r="AZ24" s="475">
        <f t="shared" si="12"/>
        <v>567630</v>
      </c>
      <c r="BA24" s="476">
        <f t="shared" si="13"/>
        <v>37.521899999999995</v>
      </c>
      <c r="BB24" s="476">
        <f t="shared" ref="BB24:BC27" si="46">P24+AR24</f>
        <v>29.3293</v>
      </c>
      <c r="BC24" s="478">
        <f t="shared" si="46"/>
        <v>8.1925999999999988</v>
      </c>
    </row>
    <row r="25" spans="1:55" x14ac:dyDescent="0.2">
      <c r="A25" s="216">
        <v>4</v>
      </c>
      <c r="B25" s="217">
        <v>3438</v>
      </c>
      <c r="C25" s="217">
        <v>600078493</v>
      </c>
      <c r="D25" s="217">
        <v>43257089</v>
      </c>
      <c r="E25" s="215" t="s">
        <v>91</v>
      </c>
      <c r="F25" s="217">
        <v>3113</v>
      </c>
      <c r="G25" s="218" t="s">
        <v>312</v>
      </c>
      <c r="H25" s="219" t="s">
        <v>278</v>
      </c>
      <c r="I25" s="477">
        <v>3155190</v>
      </c>
      <c r="J25" s="472">
        <v>2316045</v>
      </c>
      <c r="K25" s="472">
        <v>0</v>
      </c>
      <c r="L25" s="472">
        <v>782824</v>
      </c>
      <c r="M25" s="472">
        <v>46321</v>
      </c>
      <c r="N25" s="472">
        <v>10000</v>
      </c>
      <c r="O25" s="473">
        <v>6.47</v>
      </c>
      <c r="P25" s="474">
        <v>6.47</v>
      </c>
      <c r="Q25" s="483">
        <v>0</v>
      </c>
      <c r="R25" s="485">
        <f t="shared" si="36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37"/>
        <v>0</v>
      </c>
      <c r="AC25" s="475">
        <f t="shared" si="38"/>
        <v>0</v>
      </c>
      <c r="AD25" s="70">
        <f t="shared" si="39"/>
        <v>0</v>
      </c>
      <c r="AE25" s="70">
        <f t="shared" si="40"/>
        <v>0</v>
      </c>
      <c r="AF25" s="475">
        <v>0</v>
      </c>
      <c r="AG25" s="475">
        <v>0</v>
      </c>
      <c r="AH25" s="475">
        <f t="shared" si="41"/>
        <v>0</v>
      </c>
      <c r="AI25" s="475">
        <f t="shared" si="42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43"/>
        <v>0</v>
      </c>
      <c r="AU25" s="484">
        <f t="shared" si="10"/>
        <v>3155190</v>
      </c>
      <c r="AV25" s="475">
        <f t="shared" si="11"/>
        <v>2316045</v>
      </c>
      <c r="AW25" s="475">
        <f t="shared" si="44"/>
        <v>0</v>
      </c>
      <c r="AX25" s="475">
        <f t="shared" si="45"/>
        <v>782824</v>
      </c>
      <c r="AY25" s="475">
        <f t="shared" si="45"/>
        <v>46321</v>
      </c>
      <c r="AZ25" s="475">
        <f t="shared" si="12"/>
        <v>10000</v>
      </c>
      <c r="BA25" s="476">
        <f t="shared" si="13"/>
        <v>6.47</v>
      </c>
      <c r="BB25" s="476">
        <f t="shared" si="46"/>
        <v>6.47</v>
      </c>
      <c r="BC25" s="478">
        <f t="shared" si="46"/>
        <v>0</v>
      </c>
    </row>
    <row r="26" spans="1:55" x14ac:dyDescent="0.2">
      <c r="A26" s="216">
        <v>4</v>
      </c>
      <c r="B26" s="217">
        <v>3438</v>
      </c>
      <c r="C26" s="217">
        <v>600078493</v>
      </c>
      <c r="D26" s="217">
        <v>43257089</v>
      </c>
      <c r="E26" s="215" t="s">
        <v>91</v>
      </c>
      <c r="F26" s="217">
        <v>3143</v>
      </c>
      <c r="G26" s="218" t="s">
        <v>626</v>
      </c>
      <c r="H26" s="239" t="s">
        <v>277</v>
      </c>
      <c r="I26" s="477">
        <v>1865670</v>
      </c>
      <c r="J26" s="472">
        <v>1373836</v>
      </c>
      <c r="K26" s="472">
        <v>0</v>
      </c>
      <c r="L26" s="472">
        <v>464357</v>
      </c>
      <c r="M26" s="472">
        <v>27477</v>
      </c>
      <c r="N26" s="472">
        <v>0</v>
      </c>
      <c r="O26" s="473">
        <v>2.6606999999999998</v>
      </c>
      <c r="P26" s="474">
        <v>2.6606999999999998</v>
      </c>
      <c r="Q26" s="483">
        <v>0</v>
      </c>
      <c r="R26" s="485">
        <f t="shared" si="36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37"/>
        <v>0</v>
      </c>
      <c r="AC26" s="475">
        <f t="shared" si="38"/>
        <v>0</v>
      </c>
      <c r="AD26" s="70">
        <f t="shared" si="39"/>
        <v>0</v>
      </c>
      <c r="AE26" s="70">
        <f t="shared" si="40"/>
        <v>0</v>
      </c>
      <c r="AF26" s="475">
        <v>0</v>
      </c>
      <c r="AG26" s="475">
        <v>0</v>
      </c>
      <c r="AH26" s="475">
        <f t="shared" si="41"/>
        <v>0</v>
      </c>
      <c r="AI26" s="475">
        <f t="shared" si="42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43"/>
        <v>0</v>
      </c>
      <c r="AU26" s="484">
        <f t="shared" si="10"/>
        <v>1865670</v>
      </c>
      <c r="AV26" s="475">
        <f t="shared" si="11"/>
        <v>1373836</v>
      </c>
      <c r="AW26" s="475">
        <f t="shared" si="44"/>
        <v>0</v>
      </c>
      <c r="AX26" s="475">
        <f t="shared" si="45"/>
        <v>464357</v>
      </c>
      <c r="AY26" s="475">
        <f t="shared" si="45"/>
        <v>27477</v>
      </c>
      <c r="AZ26" s="475">
        <f t="shared" si="12"/>
        <v>0</v>
      </c>
      <c r="BA26" s="476">
        <f t="shared" si="13"/>
        <v>2.6606999999999998</v>
      </c>
      <c r="BB26" s="476">
        <f t="shared" si="46"/>
        <v>2.6606999999999998</v>
      </c>
      <c r="BC26" s="478">
        <f t="shared" si="46"/>
        <v>0</v>
      </c>
    </row>
    <row r="27" spans="1:55" x14ac:dyDescent="0.2">
      <c r="A27" s="216">
        <v>4</v>
      </c>
      <c r="B27" s="217">
        <v>3438</v>
      </c>
      <c r="C27" s="217">
        <v>600078493</v>
      </c>
      <c r="D27" s="217">
        <v>43257089</v>
      </c>
      <c r="E27" s="215" t="s">
        <v>91</v>
      </c>
      <c r="F27" s="217">
        <v>3143</v>
      </c>
      <c r="G27" s="218" t="s">
        <v>627</v>
      </c>
      <c r="H27" s="239" t="s">
        <v>278</v>
      </c>
      <c r="I27" s="477">
        <v>65016</v>
      </c>
      <c r="J27" s="472">
        <v>45976</v>
      </c>
      <c r="K27" s="472">
        <v>0</v>
      </c>
      <c r="L27" s="472">
        <v>15540</v>
      </c>
      <c r="M27" s="472">
        <v>920</v>
      </c>
      <c r="N27" s="472">
        <v>2580</v>
      </c>
      <c r="O27" s="473">
        <v>0.18</v>
      </c>
      <c r="P27" s="474">
        <v>0</v>
      </c>
      <c r="Q27" s="483">
        <v>0.18</v>
      </c>
      <c r="R27" s="485">
        <f t="shared" si="36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>SUM(R27:W27)</f>
        <v>0</v>
      </c>
      <c r="Y27" s="475">
        <v>0</v>
      </c>
      <c r="Z27" s="475">
        <v>0</v>
      </c>
      <c r="AA27" s="475">
        <v>0</v>
      </c>
      <c r="AB27" s="475">
        <f t="shared" si="37"/>
        <v>0</v>
      </c>
      <c r="AC27" s="475">
        <f t="shared" si="38"/>
        <v>0</v>
      </c>
      <c r="AD27" s="70">
        <f t="shared" si="39"/>
        <v>0</v>
      </c>
      <c r="AE27" s="70">
        <f t="shared" si="40"/>
        <v>0</v>
      </c>
      <c r="AF27" s="475">
        <v>0</v>
      </c>
      <c r="AG27" s="475">
        <v>0</v>
      </c>
      <c r="AH27" s="475">
        <f t="shared" si="41"/>
        <v>0</v>
      </c>
      <c r="AI27" s="475">
        <f t="shared" si="42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0</v>
      </c>
      <c r="AT27" s="478">
        <f t="shared" si="43"/>
        <v>0</v>
      </c>
      <c r="AU27" s="484">
        <f t="shared" si="10"/>
        <v>65016</v>
      </c>
      <c r="AV27" s="475">
        <f t="shared" si="11"/>
        <v>45976</v>
      </c>
      <c r="AW27" s="475">
        <f t="shared" si="44"/>
        <v>0</v>
      </c>
      <c r="AX27" s="475">
        <f t="shared" si="45"/>
        <v>15540</v>
      </c>
      <c r="AY27" s="475">
        <f t="shared" si="45"/>
        <v>920</v>
      </c>
      <c r="AZ27" s="475">
        <f t="shared" si="12"/>
        <v>2580</v>
      </c>
      <c r="BA27" s="476">
        <f t="shared" si="13"/>
        <v>0.18</v>
      </c>
      <c r="BB27" s="476">
        <f t="shared" si="46"/>
        <v>0</v>
      </c>
      <c r="BC27" s="478">
        <f t="shared" si="46"/>
        <v>0.18</v>
      </c>
    </row>
    <row r="28" spans="1:55" x14ac:dyDescent="0.2">
      <c r="A28" s="162">
        <v>4</v>
      </c>
      <c r="B28" s="18">
        <v>3438</v>
      </c>
      <c r="C28" s="18">
        <v>600078493</v>
      </c>
      <c r="D28" s="18">
        <v>43257089</v>
      </c>
      <c r="E28" s="171" t="s">
        <v>92</v>
      </c>
      <c r="F28" s="18"/>
      <c r="G28" s="161"/>
      <c r="H28" s="195"/>
      <c r="I28" s="529">
        <v>33590811</v>
      </c>
      <c r="J28" s="526">
        <v>24248146</v>
      </c>
      <c r="K28" s="526">
        <v>61000</v>
      </c>
      <c r="L28" s="526">
        <v>8216492</v>
      </c>
      <c r="M28" s="526">
        <v>484963</v>
      </c>
      <c r="N28" s="526">
        <v>580210</v>
      </c>
      <c r="O28" s="527">
        <v>46.292599999999993</v>
      </c>
      <c r="P28" s="527">
        <v>37.92</v>
      </c>
      <c r="Q28" s="531">
        <v>8.3725999999999985</v>
      </c>
      <c r="R28" s="529">
        <f t="shared" ref="R28:BC28" si="47">SUM(R24:R27)</f>
        <v>0</v>
      </c>
      <c r="S28" s="526">
        <f t="shared" si="47"/>
        <v>0</v>
      </c>
      <c r="T28" s="526">
        <f t="shared" si="47"/>
        <v>364238</v>
      </c>
      <c r="U28" s="526">
        <f t="shared" si="47"/>
        <v>-28512</v>
      </c>
      <c r="V28" s="526">
        <f t="shared" si="47"/>
        <v>0</v>
      </c>
      <c r="W28" s="526">
        <f t="shared" si="47"/>
        <v>0</v>
      </c>
      <c r="X28" s="526">
        <f t="shared" si="47"/>
        <v>335726</v>
      </c>
      <c r="Y28" s="526">
        <f t="shared" si="47"/>
        <v>0</v>
      </c>
      <c r="Z28" s="526">
        <f t="shared" si="47"/>
        <v>0</v>
      </c>
      <c r="AA28" s="526">
        <f t="shared" si="47"/>
        <v>0</v>
      </c>
      <c r="AB28" s="526">
        <f t="shared" si="47"/>
        <v>0</v>
      </c>
      <c r="AC28" s="526">
        <f t="shared" si="47"/>
        <v>335726</v>
      </c>
      <c r="AD28" s="526">
        <f t="shared" si="47"/>
        <v>113475</v>
      </c>
      <c r="AE28" s="526">
        <f t="shared" si="47"/>
        <v>6715</v>
      </c>
      <c r="AF28" s="526">
        <f t="shared" si="47"/>
        <v>0</v>
      </c>
      <c r="AG28" s="526">
        <f t="shared" si="47"/>
        <v>0</v>
      </c>
      <c r="AH28" s="526">
        <f t="shared" si="47"/>
        <v>0</v>
      </c>
      <c r="AI28" s="526">
        <f t="shared" si="47"/>
        <v>455916</v>
      </c>
      <c r="AJ28" s="527">
        <f t="shared" si="47"/>
        <v>0</v>
      </c>
      <c r="AK28" s="527">
        <f t="shared" si="47"/>
        <v>0</v>
      </c>
      <c r="AL28" s="527">
        <f t="shared" si="47"/>
        <v>0</v>
      </c>
      <c r="AM28" s="527">
        <f t="shared" si="47"/>
        <v>0.59</v>
      </c>
      <c r="AN28" s="527">
        <f t="shared" si="47"/>
        <v>0</v>
      </c>
      <c r="AO28" s="527">
        <f t="shared" si="47"/>
        <v>-0.05</v>
      </c>
      <c r="AP28" s="527">
        <f t="shared" si="47"/>
        <v>0</v>
      </c>
      <c r="AQ28" s="527">
        <f t="shared" si="47"/>
        <v>0</v>
      </c>
      <c r="AR28" s="527">
        <f t="shared" si="47"/>
        <v>0.53999999999999992</v>
      </c>
      <c r="AS28" s="527">
        <f t="shared" si="47"/>
        <v>0</v>
      </c>
      <c r="AT28" s="40">
        <f t="shared" si="47"/>
        <v>0.53999999999999992</v>
      </c>
      <c r="AU28" s="533">
        <f t="shared" si="47"/>
        <v>34046727</v>
      </c>
      <c r="AV28" s="526">
        <f t="shared" si="47"/>
        <v>24583872</v>
      </c>
      <c r="AW28" s="526">
        <f t="shared" si="47"/>
        <v>61000</v>
      </c>
      <c r="AX28" s="526">
        <f t="shared" si="47"/>
        <v>8329967</v>
      </c>
      <c r="AY28" s="526">
        <f t="shared" si="47"/>
        <v>491678</v>
      </c>
      <c r="AZ28" s="526">
        <f t="shared" si="47"/>
        <v>580210</v>
      </c>
      <c r="BA28" s="527">
        <f t="shared" si="47"/>
        <v>46.832599999999992</v>
      </c>
      <c r="BB28" s="527">
        <f t="shared" si="47"/>
        <v>38.46</v>
      </c>
      <c r="BC28" s="40">
        <f t="shared" si="47"/>
        <v>8.3725999999999985</v>
      </c>
    </row>
    <row r="29" spans="1:55" s="3" customFormat="1" x14ac:dyDescent="0.2">
      <c r="A29" s="216">
        <v>5</v>
      </c>
      <c r="B29" s="217">
        <v>3459</v>
      </c>
      <c r="C29" s="217">
        <v>651040264</v>
      </c>
      <c r="D29" s="217">
        <v>75121531</v>
      </c>
      <c r="E29" s="215" t="s">
        <v>93</v>
      </c>
      <c r="F29" s="217">
        <v>3231</v>
      </c>
      <c r="G29" s="218" t="s">
        <v>316</v>
      </c>
      <c r="H29" s="239" t="s">
        <v>277</v>
      </c>
      <c r="I29" s="477">
        <v>14524357</v>
      </c>
      <c r="J29" s="472">
        <v>10465042</v>
      </c>
      <c r="K29" s="472">
        <v>200000</v>
      </c>
      <c r="L29" s="472">
        <v>3604784</v>
      </c>
      <c r="M29" s="472">
        <v>209301</v>
      </c>
      <c r="N29" s="472">
        <v>45230</v>
      </c>
      <c r="O29" s="473">
        <v>19.3322</v>
      </c>
      <c r="P29" s="474">
        <v>17.478199999999998</v>
      </c>
      <c r="Q29" s="483">
        <v>1.8540000000000001</v>
      </c>
      <c r="R29" s="485">
        <f t="shared" ref="R29" si="48">Y29*-1</f>
        <v>0</v>
      </c>
      <c r="S29" s="475">
        <v>0</v>
      </c>
      <c r="T29" s="475">
        <v>185215</v>
      </c>
      <c r="U29" s="475">
        <v>0</v>
      </c>
      <c r="V29" s="475">
        <v>0</v>
      </c>
      <c r="W29" s="475">
        <v>0</v>
      </c>
      <c r="X29" s="475">
        <f>SUM(R29:W29)</f>
        <v>185215</v>
      </c>
      <c r="Y29" s="475">
        <v>0</v>
      </c>
      <c r="Z29" s="475">
        <v>0</v>
      </c>
      <c r="AA29" s="475">
        <v>0</v>
      </c>
      <c r="AB29" s="475">
        <f t="shared" ref="AB29" si="49">SUM(Y29:AA29)</f>
        <v>0</v>
      </c>
      <c r="AC29" s="475">
        <f t="shared" ref="AC29" si="50">X29+AB29</f>
        <v>185215</v>
      </c>
      <c r="AD29" s="70">
        <f t="shared" ref="AD29" si="51">ROUND((X29+Y29+Z29)*33.8%,0)</f>
        <v>62603</v>
      </c>
      <c r="AE29" s="70">
        <f t="shared" ref="AE29" si="52">ROUND(X29*2%,0)</f>
        <v>3704</v>
      </c>
      <c r="AF29" s="475">
        <v>0</v>
      </c>
      <c r="AG29" s="475">
        <v>0</v>
      </c>
      <c r="AH29" s="475">
        <f t="shared" ref="AH29" si="53">SUM(AF29:AG29)</f>
        <v>0</v>
      </c>
      <c r="AI29" s="475">
        <f t="shared" ref="AI29" si="54">AC29+AD29+AE29+AH29</f>
        <v>251522</v>
      </c>
      <c r="AJ29" s="476">
        <v>0</v>
      </c>
      <c r="AK29" s="476">
        <v>0</v>
      </c>
      <c r="AL29" s="476">
        <v>0</v>
      </c>
      <c r="AM29" s="476">
        <v>0.33</v>
      </c>
      <c r="AN29" s="476">
        <v>0</v>
      </c>
      <c r="AO29" s="476">
        <v>0</v>
      </c>
      <c r="AP29" s="476">
        <v>0</v>
      </c>
      <c r="AQ29" s="476">
        <v>0</v>
      </c>
      <c r="AR29" s="476">
        <f>AJ29+AL29+AM29+AO29+AP29</f>
        <v>0.33</v>
      </c>
      <c r="AS29" s="476">
        <f>AK29+AN29+AQ29</f>
        <v>0</v>
      </c>
      <c r="AT29" s="478">
        <f t="shared" ref="AT29" si="55">SUM(AR29:AS29)</f>
        <v>0.33</v>
      </c>
      <c r="AU29" s="484">
        <f t="shared" si="10"/>
        <v>14775879</v>
      </c>
      <c r="AV29" s="475">
        <f t="shared" si="11"/>
        <v>10650257</v>
      </c>
      <c r="AW29" s="475">
        <f>K29+AB29</f>
        <v>200000</v>
      </c>
      <c r="AX29" s="475">
        <f>L29+AD29</f>
        <v>3667387</v>
      </c>
      <c r="AY29" s="475">
        <f>M29+AE29</f>
        <v>213005</v>
      </c>
      <c r="AZ29" s="475">
        <f t="shared" si="12"/>
        <v>45230</v>
      </c>
      <c r="BA29" s="476">
        <f t="shared" si="13"/>
        <v>19.662199999999999</v>
      </c>
      <c r="BB29" s="476">
        <f>P29+AR29</f>
        <v>17.808199999999996</v>
      </c>
      <c r="BC29" s="478">
        <f>Q29+AS29</f>
        <v>1.8540000000000001</v>
      </c>
    </row>
    <row r="30" spans="1:55" s="3" customFormat="1" x14ac:dyDescent="0.2">
      <c r="A30" s="162">
        <v>5</v>
      </c>
      <c r="B30" s="18">
        <v>3459</v>
      </c>
      <c r="C30" s="18">
        <v>651040264</v>
      </c>
      <c r="D30" s="18">
        <v>75121531</v>
      </c>
      <c r="E30" s="171" t="s">
        <v>94</v>
      </c>
      <c r="F30" s="18"/>
      <c r="G30" s="161"/>
      <c r="H30" s="195"/>
      <c r="I30" s="528">
        <v>14524357</v>
      </c>
      <c r="J30" s="524">
        <v>10465042</v>
      </c>
      <c r="K30" s="524">
        <v>200000</v>
      </c>
      <c r="L30" s="524">
        <v>3604784</v>
      </c>
      <c r="M30" s="524">
        <v>209301</v>
      </c>
      <c r="N30" s="524">
        <v>45230</v>
      </c>
      <c r="O30" s="525">
        <v>19.3322</v>
      </c>
      <c r="P30" s="525">
        <v>17.478199999999998</v>
      </c>
      <c r="Q30" s="530">
        <v>1.8540000000000001</v>
      </c>
      <c r="R30" s="528">
        <f t="shared" ref="R30:BC30" si="56">SUM(R29)</f>
        <v>0</v>
      </c>
      <c r="S30" s="524">
        <f t="shared" si="56"/>
        <v>0</v>
      </c>
      <c r="T30" s="524">
        <f t="shared" si="56"/>
        <v>185215</v>
      </c>
      <c r="U30" s="524">
        <f t="shared" si="56"/>
        <v>0</v>
      </c>
      <c r="V30" s="524">
        <f t="shared" si="56"/>
        <v>0</v>
      </c>
      <c r="W30" s="524">
        <f t="shared" si="56"/>
        <v>0</v>
      </c>
      <c r="X30" s="524">
        <f t="shared" si="56"/>
        <v>185215</v>
      </c>
      <c r="Y30" s="524">
        <f t="shared" si="56"/>
        <v>0</v>
      </c>
      <c r="Z30" s="524">
        <f t="shared" si="56"/>
        <v>0</v>
      </c>
      <c r="AA30" s="524">
        <f t="shared" si="56"/>
        <v>0</v>
      </c>
      <c r="AB30" s="524">
        <f t="shared" si="56"/>
        <v>0</v>
      </c>
      <c r="AC30" s="524">
        <f t="shared" si="56"/>
        <v>185215</v>
      </c>
      <c r="AD30" s="524">
        <f t="shared" si="56"/>
        <v>62603</v>
      </c>
      <c r="AE30" s="524">
        <f t="shared" si="56"/>
        <v>3704</v>
      </c>
      <c r="AF30" s="524">
        <f t="shared" si="56"/>
        <v>0</v>
      </c>
      <c r="AG30" s="524">
        <f t="shared" si="56"/>
        <v>0</v>
      </c>
      <c r="AH30" s="524">
        <f t="shared" si="56"/>
        <v>0</v>
      </c>
      <c r="AI30" s="524">
        <f t="shared" si="56"/>
        <v>251522</v>
      </c>
      <c r="AJ30" s="525">
        <f t="shared" si="56"/>
        <v>0</v>
      </c>
      <c r="AK30" s="525">
        <f t="shared" si="56"/>
        <v>0</v>
      </c>
      <c r="AL30" s="525">
        <f t="shared" si="56"/>
        <v>0</v>
      </c>
      <c r="AM30" s="525">
        <f t="shared" si="56"/>
        <v>0.33</v>
      </c>
      <c r="AN30" s="525">
        <f t="shared" si="56"/>
        <v>0</v>
      </c>
      <c r="AO30" s="525">
        <f t="shared" si="56"/>
        <v>0</v>
      </c>
      <c r="AP30" s="525">
        <f t="shared" si="56"/>
        <v>0</v>
      </c>
      <c r="AQ30" s="525">
        <f t="shared" si="56"/>
        <v>0</v>
      </c>
      <c r="AR30" s="525">
        <f t="shared" si="56"/>
        <v>0.33</v>
      </c>
      <c r="AS30" s="525">
        <f t="shared" si="56"/>
        <v>0</v>
      </c>
      <c r="AT30" s="41">
        <f t="shared" si="56"/>
        <v>0.33</v>
      </c>
      <c r="AU30" s="532">
        <f t="shared" si="56"/>
        <v>14775879</v>
      </c>
      <c r="AV30" s="524">
        <f t="shared" si="56"/>
        <v>10650257</v>
      </c>
      <c r="AW30" s="524">
        <f t="shared" si="56"/>
        <v>200000</v>
      </c>
      <c r="AX30" s="524">
        <f t="shared" si="56"/>
        <v>3667387</v>
      </c>
      <c r="AY30" s="524">
        <f t="shared" si="56"/>
        <v>213005</v>
      </c>
      <c r="AZ30" s="524">
        <f t="shared" si="56"/>
        <v>45230</v>
      </c>
      <c r="BA30" s="525">
        <f t="shared" si="56"/>
        <v>19.662199999999999</v>
      </c>
      <c r="BB30" s="525">
        <f t="shared" si="56"/>
        <v>17.808199999999996</v>
      </c>
      <c r="BC30" s="41">
        <f t="shared" si="56"/>
        <v>1.8540000000000001</v>
      </c>
    </row>
    <row r="31" spans="1:55" s="3" customFormat="1" x14ac:dyDescent="0.2">
      <c r="A31" s="216">
        <v>6</v>
      </c>
      <c r="B31" s="217">
        <v>3401</v>
      </c>
      <c r="C31" s="217">
        <v>650023404</v>
      </c>
      <c r="D31" s="217">
        <v>70981477</v>
      </c>
      <c r="E31" s="215" t="s">
        <v>95</v>
      </c>
      <c r="F31" s="217">
        <v>3111</v>
      </c>
      <c r="G31" s="218" t="s">
        <v>311</v>
      </c>
      <c r="H31" s="219" t="s">
        <v>277</v>
      </c>
      <c r="I31" s="477">
        <v>1605965</v>
      </c>
      <c r="J31" s="472">
        <v>1150011</v>
      </c>
      <c r="K31" s="472">
        <v>25000</v>
      </c>
      <c r="L31" s="472">
        <v>397154</v>
      </c>
      <c r="M31" s="472">
        <v>23000</v>
      </c>
      <c r="N31" s="472">
        <v>10800</v>
      </c>
      <c r="O31" s="473">
        <v>2.4109000000000003</v>
      </c>
      <c r="P31" s="474">
        <v>1.97</v>
      </c>
      <c r="Q31" s="483">
        <v>0.44089999999999996</v>
      </c>
      <c r="R31" s="485">
        <f t="shared" ref="R31:R36" si="57">Y31*-1</f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ref="X31:X36" si="58">SUM(R31:W31)</f>
        <v>0</v>
      </c>
      <c r="Y31" s="475">
        <v>0</v>
      </c>
      <c r="Z31" s="475">
        <v>0</v>
      </c>
      <c r="AA31" s="475">
        <v>0</v>
      </c>
      <c r="AB31" s="475">
        <f t="shared" ref="AB31:AB36" si="59">SUM(Y31:AA31)</f>
        <v>0</v>
      </c>
      <c r="AC31" s="475">
        <f t="shared" ref="AC31:AC36" si="60">X31+AB31</f>
        <v>0</v>
      </c>
      <c r="AD31" s="70">
        <f t="shared" ref="AD31:AD36" si="61">ROUND((X31+Y31+Z31)*33.8%,0)</f>
        <v>0</v>
      </c>
      <c r="AE31" s="70">
        <f t="shared" ref="AE31:AE36" si="62">ROUND(X31*2%,0)</f>
        <v>0</v>
      </c>
      <c r="AF31" s="475">
        <v>0</v>
      </c>
      <c r="AG31" s="475">
        <v>0</v>
      </c>
      <c r="AH31" s="475">
        <f t="shared" ref="AH31:AH36" si="63">SUM(AF31:AG31)</f>
        <v>0</v>
      </c>
      <c r="AI31" s="475">
        <f t="shared" ref="AI31:AI36" si="64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 t="shared" ref="AR31:AR36" si="65">AJ31+AL31+AM31+AO31+AP31</f>
        <v>0</v>
      </c>
      <c r="AS31" s="476">
        <f t="shared" ref="AS31:AS36" si="66">AK31+AN31+AQ31</f>
        <v>0</v>
      </c>
      <c r="AT31" s="478">
        <f t="shared" ref="AT31:AT36" si="67">SUM(AR31:AS31)</f>
        <v>0</v>
      </c>
      <c r="AU31" s="484">
        <f t="shared" si="10"/>
        <v>1605965</v>
      </c>
      <c r="AV31" s="475">
        <f t="shared" si="11"/>
        <v>1150011</v>
      </c>
      <c r="AW31" s="475">
        <f t="shared" ref="AW31:AW36" si="68">K31+AB31</f>
        <v>25000</v>
      </c>
      <c r="AX31" s="475">
        <f t="shared" ref="AX31:AY36" si="69">L31+AD31</f>
        <v>397154</v>
      </c>
      <c r="AY31" s="475">
        <f t="shared" si="69"/>
        <v>23000</v>
      </c>
      <c r="AZ31" s="475">
        <f t="shared" si="12"/>
        <v>10800</v>
      </c>
      <c r="BA31" s="476">
        <f t="shared" si="13"/>
        <v>2.4109000000000003</v>
      </c>
      <c r="BB31" s="476">
        <f t="shared" ref="BB31:BC36" si="70">P31+AR31</f>
        <v>1.97</v>
      </c>
      <c r="BC31" s="478">
        <f t="shared" si="70"/>
        <v>0.44089999999999996</v>
      </c>
    </row>
    <row r="32" spans="1:55" x14ac:dyDescent="0.2">
      <c r="A32" s="216">
        <v>6</v>
      </c>
      <c r="B32" s="217">
        <v>3401</v>
      </c>
      <c r="C32" s="217">
        <v>650023404</v>
      </c>
      <c r="D32" s="217">
        <v>70981477</v>
      </c>
      <c r="E32" s="215" t="s">
        <v>95</v>
      </c>
      <c r="F32" s="217">
        <v>3117</v>
      </c>
      <c r="G32" s="218" t="s">
        <v>314</v>
      </c>
      <c r="H32" s="219" t="s">
        <v>277</v>
      </c>
      <c r="I32" s="477">
        <v>3185723</v>
      </c>
      <c r="J32" s="472">
        <v>2271004</v>
      </c>
      <c r="K32" s="472">
        <v>30000</v>
      </c>
      <c r="L32" s="472">
        <v>777739</v>
      </c>
      <c r="M32" s="472">
        <v>45420</v>
      </c>
      <c r="N32" s="472">
        <v>61560</v>
      </c>
      <c r="O32" s="473">
        <v>4.6449000000000007</v>
      </c>
      <c r="P32" s="474">
        <v>2.9605000000000006</v>
      </c>
      <c r="Q32" s="483">
        <v>1.6843999999999999</v>
      </c>
      <c r="R32" s="485">
        <f t="shared" si="57"/>
        <v>0</v>
      </c>
      <c r="S32" s="475">
        <v>0</v>
      </c>
      <c r="T32" s="475">
        <v>84662</v>
      </c>
      <c r="U32" s="475">
        <v>0</v>
      </c>
      <c r="V32" s="475">
        <v>0</v>
      </c>
      <c r="W32" s="475">
        <v>0</v>
      </c>
      <c r="X32" s="475">
        <f t="shared" si="58"/>
        <v>84662</v>
      </c>
      <c r="Y32" s="475">
        <v>0</v>
      </c>
      <c r="Z32" s="475">
        <v>0</v>
      </c>
      <c r="AA32" s="475">
        <v>0</v>
      </c>
      <c r="AB32" s="475">
        <f t="shared" si="59"/>
        <v>0</v>
      </c>
      <c r="AC32" s="475">
        <f t="shared" si="60"/>
        <v>84662</v>
      </c>
      <c r="AD32" s="70">
        <f t="shared" si="61"/>
        <v>28616</v>
      </c>
      <c r="AE32" s="70">
        <f t="shared" si="62"/>
        <v>1693</v>
      </c>
      <c r="AF32" s="475">
        <v>0</v>
      </c>
      <c r="AG32" s="475">
        <v>0</v>
      </c>
      <c r="AH32" s="475">
        <f t="shared" si="63"/>
        <v>0</v>
      </c>
      <c r="AI32" s="475">
        <f t="shared" si="64"/>
        <v>114971</v>
      </c>
      <c r="AJ32" s="476">
        <v>0</v>
      </c>
      <c r="AK32" s="476">
        <v>0</v>
      </c>
      <c r="AL32" s="476">
        <v>0</v>
      </c>
      <c r="AM32" s="476">
        <v>0.2</v>
      </c>
      <c r="AN32" s="476">
        <v>0</v>
      </c>
      <c r="AO32" s="476">
        <v>0</v>
      </c>
      <c r="AP32" s="476">
        <v>0</v>
      </c>
      <c r="AQ32" s="476">
        <v>0</v>
      </c>
      <c r="AR32" s="476">
        <f t="shared" si="65"/>
        <v>0.2</v>
      </c>
      <c r="AS32" s="476">
        <f t="shared" si="66"/>
        <v>0</v>
      </c>
      <c r="AT32" s="478">
        <f t="shared" si="67"/>
        <v>0.2</v>
      </c>
      <c r="AU32" s="484">
        <f t="shared" si="10"/>
        <v>3300694</v>
      </c>
      <c r="AV32" s="475">
        <f t="shared" si="11"/>
        <v>2355666</v>
      </c>
      <c r="AW32" s="475">
        <f t="shared" si="68"/>
        <v>30000</v>
      </c>
      <c r="AX32" s="475">
        <f t="shared" si="69"/>
        <v>806355</v>
      </c>
      <c r="AY32" s="475">
        <f t="shared" si="69"/>
        <v>47113</v>
      </c>
      <c r="AZ32" s="475">
        <f t="shared" si="12"/>
        <v>61560</v>
      </c>
      <c r="BA32" s="476">
        <f t="shared" si="13"/>
        <v>4.8449000000000009</v>
      </c>
      <c r="BB32" s="476">
        <f t="shared" si="70"/>
        <v>3.1605000000000008</v>
      </c>
      <c r="BC32" s="478">
        <f t="shared" si="70"/>
        <v>1.6843999999999999</v>
      </c>
    </row>
    <row r="33" spans="1:55" x14ac:dyDescent="0.2">
      <c r="A33" s="216">
        <v>6</v>
      </c>
      <c r="B33" s="217">
        <v>3401</v>
      </c>
      <c r="C33" s="217">
        <v>650023404</v>
      </c>
      <c r="D33" s="217">
        <v>70981477</v>
      </c>
      <c r="E33" s="215" t="s">
        <v>95</v>
      </c>
      <c r="F33" s="217">
        <v>3117</v>
      </c>
      <c r="G33" s="218" t="s">
        <v>319</v>
      </c>
      <c r="H33" s="219" t="s">
        <v>278</v>
      </c>
      <c r="I33" s="477">
        <v>384272</v>
      </c>
      <c r="J33" s="472">
        <v>282969</v>
      </c>
      <c r="K33" s="472">
        <v>0</v>
      </c>
      <c r="L33" s="472">
        <v>95644</v>
      </c>
      <c r="M33" s="472">
        <v>5659</v>
      </c>
      <c r="N33" s="472">
        <v>0</v>
      </c>
      <c r="O33" s="473">
        <v>0.8</v>
      </c>
      <c r="P33" s="474">
        <v>0.8</v>
      </c>
      <c r="Q33" s="483">
        <v>0</v>
      </c>
      <c r="R33" s="485">
        <f t="shared" si="57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58"/>
        <v>0</v>
      </c>
      <c r="Y33" s="475">
        <v>0</v>
      </c>
      <c r="Z33" s="475">
        <v>0</v>
      </c>
      <c r="AA33" s="475">
        <v>0</v>
      </c>
      <c r="AB33" s="475">
        <f t="shared" si="59"/>
        <v>0</v>
      </c>
      <c r="AC33" s="475">
        <f t="shared" si="60"/>
        <v>0</v>
      </c>
      <c r="AD33" s="70">
        <f t="shared" si="61"/>
        <v>0</v>
      </c>
      <c r="AE33" s="70">
        <f t="shared" si="62"/>
        <v>0</v>
      </c>
      <c r="AF33" s="475">
        <v>0</v>
      </c>
      <c r="AG33" s="475">
        <v>0</v>
      </c>
      <c r="AH33" s="475">
        <f t="shared" si="63"/>
        <v>0</v>
      </c>
      <c r="AI33" s="475">
        <f t="shared" si="64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si="65"/>
        <v>0</v>
      </c>
      <c r="AS33" s="476">
        <f t="shared" si="66"/>
        <v>0</v>
      </c>
      <c r="AT33" s="478">
        <f t="shared" si="67"/>
        <v>0</v>
      </c>
      <c r="AU33" s="484">
        <f t="shared" si="10"/>
        <v>384272</v>
      </c>
      <c r="AV33" s="475">
        <f t="shared" si="11"/>
        <v>282969</v>
      </c>
      <c r="AW33" s="475">
        <f t="shared" si="68"/>
        <v>0</v>
      </c>
      <c r="AX33" s="475">
        <f t="shared" si="69"/>
        <v>95644</v>
      </c>
      <c r="AY33" s="475">
        <f t="shared" si="69"/>
        <v>5659</v>
      </c>
      <c r="AZ33" s="475">
        <f t="shared" si="12"/>
        <v>0</v>
      </c>
      <c r="BA33" s="476">
        <f t="shared" si="13"/>
        <v>0.8</v>
      </c>
      <c r="BB33" s="476">
        <f t="shared" si="70"/>
        <v>0.8</v>
      </c>
      <c r="BC33" s="478">
        <f t="shared" si="70"/>
        <v>0</v>
      </c>
    </row>
    <row r="34" spans="1:55" x14ac:dyDescent="0.2">
      <c r="A34" s="216">
        <v>6</v>
      </c>
      <c r="B34" s="217">
        <v>3401</v>
      </c>
      <c r="C34" s="217">
        <v>650023404</v>
      </c>
      <c r="D34" s="217">
        <v>70981477</v>
      </c>
      <c r="E34" s="215" t="s">
        <v>95</v>
      </c>
      <c r="F34" s="217">
        <v>3141</v>
      </c>
      <c r="G34" s="218" t="s">
        <v>315</v>
      </c>
      <c r="H34" s="219" t="s">
        <v>278</v>
      </c>
      <c r="I34" s="477">
        <v>821102</v>
      </c>
      <c r="J34" s="472">
        <v>602078</v>
      </c>
      <c r="K34" s="472">
        <v>0</v>
      </c>
      <c r="L34" s="472">
        <v>203502</v>
      </c>
      <c r="M34" s="472">
        <v>12042</v>
      </c>
      <c r="N34" s="472">
        <v>3480</v>
      </c>
      <c r="O34" s="473">
        <v>1.91</v>
      </c>
      <c r="P34" s="474">
        <v>0</v>
      </c>
      <c r="Q34" s="483">
        <v>1.91</v>
      </c>
      <c r="R34" s="485">
        <f t="shared" si="57"/>
        <v>0</v>
      </c>
      <c r="S34" s="475">
        <v>0</v>
      </c>
      <c r="T34" s="475">
        <v>-6449</v>
      </c>
      <c r="U34" s="475">
        <v>0</v>
      </c>
      <c r="V34" s="475">
        <v>0</v>
      </c>
      <c r="W34" s="475">
        <v>0</v>
      </c>
      <c r="X34" s="475">
        <f t="shared" si="58"/>
        <v>-6449</v>
      </c>
      <c r="Y34" s="475">
        <v>0</v>
      </c>
      <c r="Z34" s="475">
        <v>0</v>
      </c>
      <c r="AA34" s="475">
        <v>0</v>
      </c>
      <c r="AB34" s="475">
        <f t="shared" si="59"/>
        <v>0</v>
      </c>
      <c r="AC34" s="475">
        <f t="shared" si="60"/>
        <v>-6449</v>
      </c>
      <c r="AD34" s="70">
        <f t="shared" si="61"/>
        <v>-2180</v>
      </c>
      <c r="AE34" s="70">
        <f t="shared" si="62"/>
        <v>-129</v>
      </c>
      <c r="AF34" s="475">
        <v>0</v>
      </c>
      <c r="AG34" s="475">
        <v>0</v>
      </c>
      <c r="AH34" s="475">
        <f t="shared" si="63"/>
        <v>0</v>
      </c>
      <c r="AI34" s="475">
        <f t="shared" si="64"/>
        <v>-8758</v>
      </c>
      <c r="AJ34" s="476">
        <v>0</v>
      </c>
      <c r="AK34" s="476">
        <v>0</v>
      </c>
      <c r="AL34" s="476">
        <v>0</v>
      </c>
      <c r="AM34" s="476">
        <v>0</v>
      </c>
      <c r="AN34" s="476">
        <v>-0.02</v>
      </c>
      <c r="AO34" s="476">
        <v>0</v>
      </c>
      <c r="AP34" s="476">
        <v>0</v>
      </c>
      <c r="AQ34" s="476">
        <v>0</v>
      </c>
      <c r="AR34" s="476">
        <f t="shared" si="65"/>
        <v>0</v>
      </c>
      <c r="AS34" s="476">
        <f t="shared" si="66"/>
        <v>-0.02</v>
      </c>
      <c r="AT34" s="478">
        <f t="shared" si="67"/>
        <v>-0.02</v>
      </c>
      <c r="AU34" s="484">
        <f t="shared" si="10"/>
        <v>812344</v>
      </c>
      <c r="AV34" s="475">
        <f t="shared" si="11"/>
        <v>595629</v>
      </c>
      <c r="AW34" s="475">
        <f t="shared" si="68"/>
        <v>0</v>
      </c>
      <c r="AX34" s="475">
        <f t="shared" si="69"/>
        <v>201322</v>
      </c>
      <c r="AY34" s="475">
        <f t="shared" si="69"/>
        <v>11913</v>
      </c>
      <c r="AZ34" s="475">
        <f t="shared" si="12"/>
        <v>3480</v>
      </c>
      <c r="BA34" s="476">
        <f t="shared" si="13"/>
        <v>1.89</v>
      </c>
      <c r="BB34" s="476">
        <f t="shared" si="70"/>
        <v>0</v>
      </c>
      <c r="BC34" s="478">
        <f t="shared" si="70"/>
        <v>1.89</v>
      </c>
    </row>
    <row r="35" spans="1:55" x14ac:dyDescent="0.2">
      <c r="A35" s="216">
        <v>6</v>
      </c>
      <c r="B35" s="217">
        <v>3401</v>
      </c>
      <c r="C35" s="217">
        <v>650023404</v>
      </c>
      <c r="D35" s="217">
        <v>70981477</v>
      </c>
      <c r="E35" s="215" t="s">
        <v>95</v>
      </c>
      <c r="F35" s="217">
        <v>3143</v>
      </c>
      <c r="G35" s="218" t="s">
        <v>626</v>
      </c>
      <c r="H35" s="239" t="s">
        <v>277</v>
      </c>
      <c r="I35" s="477">
        <v>730860</v>
      </c>
      <c r="J35" s="472">
        <v>538188</v>
      </c>
      <c r="K35" s="472">
        <v>0</v>
      </c>
      <c r="L35" s="472">
        <v>181908</v>
      </c>
      <c r="M35" s="472">
        <v>10764</v>
      </c>
      <c r="N35" s="472">
        <v>0</v>
      </c>
      <c r="O35" s="473">
        <v>1</v>
      </c>
      <c r="P35" s="474">
        <v>1</v>
      </c>
      <c r="Q35" s="483">
        <v>0</v>
      </c>
      <c r="R35" s="485">
        <f t="shared" si="57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58"/>
        <v>0</v>
      </c>
      <c r="Y35" s="475">
        <v>0</v>
      </c>
      <c r="Z35" s="475">
        <v>0</v>
      </c>
      <c r="AA35" s="475">
        <v>0</v>
      </c>
      <c r="AB35" s="475">
        <f t="shared" si="59"/>
        <v>0</v>
      </c>
      <c r="AC35" s="475">
        <f t="shared" si="60"/>
        <v>0</v>
      </c>
      <c r="AD35" s="70">
        <f t="shared" si="61"/>
        <v>0</v>
      </c>
      <c r="AE35" s="70">
        <f t="shared" si="62"/>
        <v>0</v>
      </c>
      <c r="AF35" s="475">
        <v>0</v>
      </c>
      <c r="AG35" s="475">
        <v>0</v>
      </c>
      <c r="AH35" s="475">
        <f t="shared" si="63"/>
        <v>0</v>
      </c>
      <c r="AI35" s="475">
        <f t="shared" si="64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476">
        <f t="shared" si="65"/>
        <v>0</v>
      </c>
      <c r="AS35" s="476">
        <f t="shared" si="66"/>
        <v>0</v>
      </c>
      <c r="AT35" s="478">
        <f t="shared" si="67"/>
        <v>0</v>
      </c>
      <c r="AU35" s="484">
        <f t="shared" si="10"/>
        <v>730860</v>
      </c>
      <c r="AV35" s="475">
        <f t="shared" si="11"/>
        <v>538188</v>
      </c>
      <c r="AW35" s="475">
        <f t="shared" si="68"/>
        <v>0</v>
      </c>
      <c r="AX35" s="475">
        <f t="shared" si="69"/>
        <v>181908</v>
      </c>
      <c r="AY35" s="475">
        <f t="shared" si="69"/>
        <v>10764</v>
      </c>
      <c r="AZ35" s="475">
        <f t="shared" si="12"/>
        <v>0</v>
      </c>
      <c r="BA35" s="476">
        <f t="shared" si="13"/>
        <v>1</v>
      </c>
      <c r="BB35" s="476">
        <f t="shared" si="70"/>
        <v>1</v>
      </c>
      <c r="BC35" s="478">
        <f t="shared" si="70"/>
        <v>0</v>
      </c>
    </row>
    <row r="36" spans="1:55" x14ac:dyDescent="0.2">
      <c r="A36" s="216">
        <v>6</v>
      </c>
      <c r="B36" s="217">
        <v>3401</v>
      </c>
      <c r="C36" s="217">
        <v>650023404</v>
      </c>
      <c r="D36" s="217">
        <v>70981477</v>
      </c>
      <c r="E36" s="215" t="s">
        <v>95</v>
      </c>
      <c r="F36" s="217">
        <v>3143</v>
      </c>
      <c r="G36" s="218" t="s">
        <v>627</v>
      </c>
      <c r="H36" s="239" t="s">
        <v>278</v>
      </c>
      <c r="I36" s="477">
        <v>21924</v>
      </c>
      <c r="J36" s="472">
        <v>15504</v>
      </c>
      <c r="K36" s="472">
        <v>0</v>
      </c>
      <c r="L36" s="472">
        <v>5240</v>
      </c>
      <c r="M36" s="472">
        <v>310</v>
      </c>
      <c r="N36" s="472">
        <v>870</v>
      </c>
      <c r="O36" s="473">
        <v>0.06</v>
      </c>
      <c r="P36" s="474">
        <v>0</v>
      </c>
      <c r="Q36" s="483">
        <v>0.06</v>
      </c>
      <c r="R36" s="485">
        <f t="shared" si="57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58"/>
        <v>0</v>
      </c>
      <c r="Y36" s="475">
        <v>0</v>
      </c>
      <c r="Z36" s="475">
        <v>0</v>
      </c>
      <c r="AA36" s="475">
        <v>0</v>
      </c>
      <c r="AB36" s="475">
        <f t="shared" si="59"/>
        <v>0</v>
      </c>
      <c r="AC36" s="475">
        <f t="shared" si="60"/>
        <v>0</v>
      </c>
      <c r="AD36" s="70">
        <f t="shared" si="61"/>
        <v>0</v>
      </c>
      <c r="AE36" s="70">
        <f t="shared" si="62"/>
        <v>0</v>
      </c>
      <c r="AF36" s="475">
        <v>0</v>
      </c>
      <c r="AG36" s="475">
        <v>0</v>
      </c>
      <c r="AH36" s="475">
        <f t="shared" si="63"/>
        <v>0</v>
      </c>
      <c r="AI36" s="475">
        <f t="shared" si="64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si="65"/>
        <v>0</v>
      </c>
      <c r="AS36" s="476">
        <f t="shared" si="66"/>
        <v>0</v>
      </c>
      <c r="AT36" s="478">
        <f t="shared" si="67"/>
        <v>0</v>
      </c>
      <c r="AU36" s="484">
        <f t="shared" si="10"/>
        <v>21924</v>
      </c>
      <c r="AV36" s="475">
        <f t="shared" si="11"/>
        <v>15504</v>
      </c>
      <c r="AW36" s="475">
        <f t="shared" si="68"/>
        <v>0</v>
      </c>
      <c r="AX36" s="475">
        <f t="shared" si="69"/>
        <v>5240</v>
      </c>
      <c r="AY36" s="475">
        <f t="shared" si="69"/>
        <v>310</v>
      </c>
      <c r="AZ36" s="475">
        <f t="shared" si="12"/>
        <v>870</v>
      </c>
      <c r="BA36" s="476">
        <f t="shared" si="13"/>
        <v>0.06</v>
      </c>
      <c r="BB36" s="476">
        <f t="shared" si="70"/>
        <v>0</v>
      </c>
      <c r="BC36" s="478">
        <f t="shared" si="70"/>
        <v>0.06</v>
      </c>
    </row>
    <row r="37" spans="1:55" x14ac:dyDescent="0.2">
      <c r="A37" s="162">
        <v>6</v>
      </c>
      <c r="B37" s="18">
        <v>3401</v>
      </c>
      <c r="C37" s="18">
        <v>650023404</v>
      </c>
      <c r="D37" s="18">
        <v>70981477</v>
      </c>
      <c r="E37" s="171" t="s">
        <v>96</v>
      </c>
      <c r="F37" s="18"/>
      <c r="G37" s="161"/>
      <c r="H37" s="195"/>
      <c r="I37" s="528">
        <v>6749846</v>
      </c>
      <c r="J37" s="524">
        <v>4859754</v>
      </c>
      <c r="K37" s="524">
        <v>55000</v>
      </c>
      <c r="L37" s="524">
        <v>1661187</v>
      </c>
      <c r="M37" s="524">
        <v>97195</v>
      </c>
      <c r="N37" s="524">
        <v>76710</v>
      </c>
      <c r="O37" s="525">
        <v>10.825800000000001</v>
      </c>
      <c r="P37" s="525">
        <v>6.7305000000000001</v>
      </c>
      <c r="Q37" s="530">
        <v>4.0952999999999991</v>
      </c>
      <c r="R37" s="528">
        <f t="shared" ref="R37:BC37" si="71">SUM(R31:R36)</f>
        <v>0</v>
      </c>
      <c r="S37" s="524">
        <f t="shared" si="71"/>
        <v>0</v>
      </c>
      <c r="T37" s="524">
        <f t="shared" si="71"/>
        <v>78213</v>
      </c>
      <c r="U37" s="524">
        <f t="shared" si="71"/>
        <v>0</v>
      </c>
      <c r="V37" s="524">
        <f t="shared" si="71"/>
        <v>0</v>
      </c>
      <c r="W37" s="524">
        <f t="shared" si="71"/>
        <v>0</v>
      </c>
      <c r="X37" s="524">
        <f t="shared" si="71"/>
        <v>78213</v>
      </c>
      <c r="Y37" s="524">
        <f t="shared" si="71"/>
        <v>0</v>
      </c>
      <c r="Z37" s="524">
        <f t="shared" si="71"/>
        <v>0</v>
      </c>
      <c r="AA37" s="524">
        <f t="shared" si="71"/>
        <v>0</v>
      </c>
      <c r="AB37" s="524">
        <f t="shared" si="71"/>
        <v>0</v>
      </c>
      <c r="AC37" s="524">
        <f t="shared" si="71"/>
        <v>78213</v>
      </c>
      <c r="AD37" s="524">
        <f t="shared" si="71"/>
        <v>26436</v>
      </c>
      <c r="AE37" s="524">
        <f t="shared" si="71"/>
        <v>1564</v>
      </c>
      <c r="AF37" s="524">
        <f t="shared" si="71"/>
        <v>0</v>
      </c>
      <c r="AG37" s="524">
        <f t="shared" si="71"/>
        <v>0</v>
      </c>
      <c r="AH37" s="524">
        <f t="shared" si="71"/>
        <v>0</v>
      </c>
      <c r="AI37" s="524">
        <f t="shared" si="71"/>
        <v>106213</v>
      </c>
      <c r="AJ37" s="525">
        <f t="shared" si="71"/>
        <v>0</v>
      </c>
      <c r="AK37" s="525">
        <f t="shared" si="71"/>
        <v>0</v>
      </c>
      <c r="AL37" s="525">
        <f t="shared" si="71"/>
        <v>0</v>
      </c>
      <c r="AM37" s="525">
        <f t="shared" si="71"/>
        <v>0.2</v>
      </c>
      <c r="AN37" s="525">
        <f t="shared" si="71"/>
        <v>-0.02</v>
      </c>
      <c r="AO37" s="525">
        <f t="shared" si="71"/>
        <v>0</v>
      </c>
      <c r="AP37" s="525">
        <f t="shared" si="71"/>
        <v>0</v>
      </c>
      <c r="AQ37" s="525">
        <f t="shared" si="71"/>
        <v>0</v>
      </c>
      <c r="AR37" s="525">
        <f t="shared" si="71"/>
        <v>0.2</v>
      </c>
      <c r="AS37" s="525">
        <f t="shared" si="71"/>
        <v>-0.02</v>
      </c>
      <c r="AT37" s="41">
        <f t="shared" si="71"/>
        <v>0.18000000000000002</v>
      </c>
      <c r="AU37" s="532">
        <f t="shared" si="71"/>
        <v>6856059</v>
      </c>
      <c r="AV37" s="524">
        <f t="shared" si="71"/>
        <v>4937967</v>
      </c>
      <c r="AW37" s="524">
        <f t="shared" si="71"/>
        <v>55000</v>
      </c>
      <c r="AX37" s="524">
        <f t="shared" si="71"/>
        <v>1687623</v>
      </c>
      <c r="AY37" s="524">
        <f t="shared" si="71"/>
        <v>98759</v>
      </c>
      <c r="AZ37" s="524">
        <f t="shared" si="71"/>
        <v>76710</v>
      </c>
      <c r="BA37" s="525">
        <f t="shared" si="71"/>
        <v>11.005800000000002</v>
      </c>
      <c r="BB37" s="525">
        <f t="shared" si="71"/>
        <v>6.9305000000000003</v>
      </c>
      <c r="BC37" s="41">
        <f t="shared" si="71"/>
        <v>4.0752999999999995</v>
      </c>
    </row>
    <row r="38" spans="1:55" x14ac:dyDescent="0.2">
      <c r="A38" s="216">
        <v>7</v>
      </c>
      <c r="B38" s="217">
        <v>3404</v>
      </c>
      <c r="C38" s="217">
        <v>650023021</v>
      </c>
      <c r="D38" s="217">
        <v>70982597</v>
      </c>
      <c r="E38" s="215" t="s">
        <v>97</v>
      </c>
      <c r="F38" s="217">
        <v>3111</v>
      </c>
      <c r="G38" s="218" t="s">
        <v>311</v>
      </c>
      <c r="H38" s="219" t="s">
        <v>277</v>
      </c>
      <c r="I38" s="477">
        <v>6281031</v>
      </c>
      <c r="J38" s="472">
        <v>4578329</v>
      </c>
      <c r="K38" s="472">
        <v>20000</v>
      </c>
      <c r="L38" s="472">
        <v>1554235</v>
      </c>
      <c r="M38" s="472">
        <v>91567</v>
      </c>
      <c r="N38" s="472">
        <v>36900</v>
      </c>
      <c r="O38" s="473">
        <v>9.9405000000000001</v>
      </c>
      <c r="P38" s="474">
        <v>8.0968</v>
      </c>
      <c r="Q38" s="483">
        <v>1.8436999999999999</v>
      </c>
      <c r="R38" s="485">
        <f t="shared" ref="R38:R43" si="72">Y38*-1</f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ref="X38:X43" si="73">SUM(R38:W38)</f>
        <v>0</v>
      </c>
      <c r="Y38" s="475">
        <v>0</v>
      </c>
      <c r="Z38" s="475">
        <v>0</v>
      </c>
      <c r="AA38" s="475">
        <v>0</v>
      </c>
      <c r="AB38" s="475">
        <f t="shared" ref="AB38:AB43" si="74">SUM(Y38:AA38)</f>
        <v>0</v>
      </c>
      <c r="AC38" s="475">
        <f t="shared" ref="AC38:AC43" si="75">X38+AB38</f>
        <v>0</v>
      </c>
      <c r="AD38" s="70">
        <f t="shared" ref="AD38:AD43" si="76">ROUND((X38+Y38+Z38)*33.8%,0)</f>
        <v>0</v>
      </c>
      <c r="AE38" s="70">
        <f t="shared" ref="AE38:AE43" si="77">ROUND(X38*2%,0)</f>
        <v>0</v>
      </c>
      <c r="AF38" s="475">
        <v>0</v>
      </c>
      <c r="AG38" s="475">
        <v>0</v>
      </c>
      <c r="AH38" s="475">
        <f t="shared" ref="AH38:AH43" si="78">SUM(AF38:AG38)</f>
        <v>0</v>
      </c>
      <c r="AI38" s="475">
        <f t="shared" ref="AI38:AI43" si="79">AC38+AD38+AE38+AH38</f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 t="shared" ref="AR38:AR43" si="80">AJ38+AL38+AM38+AO38+AP38</f>
        <v>0</v>
      </c>
      <c r="AS38" s="476">
        <f t="shared" ref="AS38:AS43" si="81">AK38+AN38+AQ38</f>
        <v>0</v>
      </c>
      <c r="AT38" s="478">
        <f t="shared" ref="AT38:AT43" si="82">SUM(AR38:AS38)</f>
        <v>0</v>
      </c>
      <c r="AU38" s="484">
        <f t="shared" si="10"/>
        <v>6281031</v>
      </c>
      <c r="AV38" s="475">
        <f t="shared" si="11"/>
        <v>4578329</v>
      </c>
      <c r="AW38" s="475">
        <f t="shared" ref="AW38:AW43" si="83">K38+AB38</f>
        <v>20000</v>
      </c>
      <c r="AX38" s="475">
        <f t="shared" ref="AX38:AY43" si="84">L38+AD38</f>
        <v>1554235</v>
      </c>
      <c r="AY38" s="475">
        <f t="shared" si="84"/>
        <v>91567</v>
      </c>
      <c r="AZ38" s="475">
        <f t="shared" si="12"/>
        <v>36900</v>
      </c>
      <c r="BA38" s="476">
        <f t="shared" si="13"/>
        <v>9.9405000000000001</v>
      </c>
      <c r="BB38" s="476">
        <f t="shared" ref="BB38:BC43" si="85">P38+AR38</f>
        <v>8.0968</v>
      </c>
      <c r="BC38" s="478">
        <f t="shared" si="85"/>
        <v>1.8436999999999999</v>
      </c>
    </row>
    <row r="39" spans="1:55" x14ac:dyDescent="0.2">
      <c r="A39" s="216">
        <v>7</v>
      </c>
      <c r="B39" s="217">
        <v>3404</v>
      </c>
      <c r="C39" s="217">
        <v>650023021</v>
      </c>
      <c r="D39" s="217">
        <v>70982597</v>
      </c>
      <c r="E39" s="215" t="s">
        <v>97</v>
      </c>
      <c r="F39" s="217">
        <v>3113</v>
      </c>
      <c r="G39" s="218" t="s">
        <v>314</v>
      </c>
      <c r="H39" s="219" t="s">
        <v>277</v>
      </c>
      <c r="I39" s="477">
        <v>20020103</v>
      </c>
      <c r="J39" s="472">
        <v>14280581</v>
      </c>
      <c r="K39" s="472">
        <v>158800</v>
      </c>
      <c r="L39" s="472">
        <v>4880511</v>
      </c>
      <c r="M39" s="472">
        <v>285611</v>
      </c>
      <c r="N39" s="472">
        <v>414600</v>
      </c>
      <c r="O39" s="473">
        <v>27.722100000000001</v>
      </c>
      <c r="P39" s="474">
        <v>20.502500000000001</v>
      </c>
      <c r="Q39" s="483">
        <v>7.2195999999999998</v>
      </c>
      <c r="R39" s="485">
        <f t="shared" si="72"/>
        <v>0</v>
      </c>
      <c r="S39" s="475">
        <v>0</v>
      </c>
      <c r="T39" s="475">
        <v>69938</v>
      </c>
      <c r="U39" s="475">
        <v>23136</v>
      </c>
      <c r="V39" s="475">
        <v>0</v>
      </c>
      <c r="W39" s="475">
        <v>0</v>
      </c>
      <c r="X39" s="475">
        <f t="shared" si="73"/>
        <v>93074</v>
      </c>
      <c r="Y39" s="475">
        <v>0</v>
      </c>
      <c r="Z39" s="475">
        <v>0</v>
      </c>
      <c r="AA39" s="475">
        <v>0</v>
      </c>
      <c r="AB39" s="475">
        <f t="shared" si="74"/>
        <v>0</v>
      </c>
      <c r="AC39" s="475">
        <f t="shared" si="75"/>
        <v>93074</v>
      </c>
      <c r="AD39" s="70">
        <f t="shared" si="76"/>
        <v>31459</v>
      </c>
      <c r="AE39" s="70">
        <f t="shared" si="77"/>
        <v>1861</v>
      </c>
      <c r="AF39" s="475">
        <v>0</v>
      </c>
      <c r="AG39" s="475">
        <v>0</v>
      </c>
      <c r="AH39" s="475">
        <f t="shared" si="78"/>
        <v>0</v>
      </c>
      <c r="AI39" s="475">
        <f t="shared" si="79"/>
        <v>126394</v>
      </c>
      <c r="AJ39" s="476">
        <v>0</v>
      </c>
      <c r="AK39" s="476">
        <v>0</v>
      </c>
      <c r="AL39" s="476">
        <v>0</v>
      </c>
      <c r="AM39" s="476">
        <v>0.12</v>
      </c>
      <c r="AN39" s="476">
        <v>0</v>
      </c>
      <c r="AO39" s="476">
        <v>0.04</v>
      </c>
      <c r="AP39" s="476">
        <v>0</v>
      </c>
      <c r="AQ39" s="476">
        <v>0</v>
      </c>
      <c r="AR39" s="476">
        <f t="shared" si="80"/>
        <v>0.16</v>
      </c>
      <c r="AS39" s="476">
        <f t="shared" si="81"/>
        <v>0</v>
      </c>
      <c r="AT39" s="478">
        <f t="shared" si="82"/>
        <v>0.16</v>
      </c>
      <c r="AU39" s="484">
        <f t="shared" si="10"/>
        <v>20146497</v>
      </c>
      <c r="AV39" s="475">
        <f t="shared" si="11"/>
        <v>14373655</v>
      </c>
      <c r="AW39" s="475">
        <f t="shared" si="83"/>
        <v>158800</v>
      </c>
      <c r="AX39" s="475">
        <f t="shared" si="84"/>
        <v>4911970</v>
      </c>
      <c r="AY39" s="475">
        <f t="shared" si="84"/>
        <v>287472</v>
      </c>
      <c r="AZ39" s="475">
        <f t="shared" si="12"/>
        <v>414600</v>
      </c>
      <c r="BA39" s="476">
        <f t="shared" si="13"/>
        <v>27.882100000000001</v>
      </c>
      <c r="BB39" s="476">
        <f t="shared" si="85"/>
        <v>20.662500000000001</v>
      </c>
      <c r="BC39" s="478">
        <f t="shared" si="85"/>
        <v>7.2195999999999998</v>
      </c>
    </row>
    <row r="40" spans="1:55" x14ac:dyDescent="0.2">
      <c r="A40" s="216">
        <v>7</v>
      </c>
      <c r="B40" s="217">
        <v>3404</v>
      </c>
      <c r="C40" s="217">
        <v>650023021</v>
      </c>
      <c r="D40" s="217">
        <v>70982597</v>
      </c>
      <c r="E40" s="215" t="s">
        <v>97</v>
      </c>
      <c r="F40" s="217">
        <v>3113</v>
      </c>
      <c r="G40" s="218" t="s">
        <v>312</v>
      </c>
      <c r="H40" s="219" t="s">
        <v>278</v>
      </c>
      <c r="I40" s="477">
        <v>4360257</v>
      </c>
      <c r="J40" s="472">
        <v>3201404</v>
      </c>
      <c r="K40" s="472">
        <v>0</v>
      </c>
      <c r="L40" s="472">
        <v>1082075</v>
      </c>
      <c r="M40" s="472">
        <v>64028</v>
      </c>
      <c r="N40" s="472">
        <v>12750</v>
      </c>
      <c r="O40" s="473">
        <v>9.25</v>
      </c>
      <c r="P40" s="474">
        <v>9.25</v>
      </c>
      <c r="Q40" s="483">
        <v>0</v>
      </c>
      <c r="R40" s="485">
        <f t="shared" si="72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73"/>
        <v>0</v>
      </c>
      <c r="Y40" s="475">
        <v>0</v>
      </c>
      <c r="Z40" s="475">
        <v>0</v>
      </c>
      <c r="AA40" s="475">
        <v>0</v>
      </c>
      <c r="AB40" s="475">
        <f t="shared" si="74"/>
        <v>0</v>
      </c>
      <c r="AC40" s="475">
        <f t="shared" si="75"/>
        <v>0</v>
      </c>
      <c r="AD40" s="70">
        <f t="shared" si="76"/>
        <v>0</v>
      </c>
      <c r="AE40" s="70">
        <f t="shared" si="77"/>
        <v>0</v>
      </c>
      <c r="AF40" s="475">
        <v>0</v>
      </c>
      <c r="AG40" s="475">
        <v>0</v>
      </c>
      <c r="AH40" s="475">
        <f t="shared" si="78"/>
        <v>0</v>
      </c>
      <c r="AI40" s="475">
        <f t="shared" si="79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 t="shared" si="80"/>
        <v>0</v>
      </c>
      <c r="AS40" s="476">
        <f t="shared" si="81"/>
        <v>0</v>
      </c>
      <c r="AT40" s="478">
        <f t="shared" si="82"/>
        <v>0</v>
      </c>
      <c r="AU40" s="484">
        <f t="shared" si="10"/>
        <v>4360257</v>
      </c>
      <c r="AV40" s="475">
        <f t="shared" si="11"/>
        <v>3201404</v>
      </c>
      <c r="AW40" s="475">
        <f t="shared" si="83"/>
        <v>0</v>
      </c>
      <c r="AX40" s="475">
        <f t="shared" si="84"/>
        <v>1082075</v>
      </c>
      <c r="AY40" s="475">
        <f t="shared" si="84"/>
        <v>64028</v>
      </c>
      <c r="AZ40" s="475">
        <f t="shared" si="12"/>
        <v>12750</v>
      </c>
      <c r="BA40" s="476">
        <f t="shared" si="13"/>
        <v>9.25</v>
      </c>
      <c r="BB40" s="476">
        <f t="shared" si="85"/>
        <v>9.25</v>
      </c>
      <c r="BC40" s="478">
        <f t="shared" si="85"/>
        <v>0</v>
      </c>
    </row>
    <row r="41" spans="1:55" x14ac:dyDescent="0.2">
      <c r="A41" s="216">
        <v>7</v>
      </c>
      <c r="B41" s="217">
        <v>3404</v>
      </c>
      <c r="C41" s="217">
        <v>650023021</v>
      </c>
      <c r="D41" s="217">
        <v>70982597</v>
      </c>
      <c r="E41" s="215" t="s">
        <v>97</v>
      </c>
      <c r="F41" s="217">
        <v>3141</v>
      </c>
      <c r="G41" s="218" t="s">
        <v>315</v>
      </c>
      <c r="H41" s="219" t="s">
        <v>278</v>
      </c>
      <c r="I41" s="477">
        <v>2701757</v>
      </c>
      <c r="J41" s="472">
        <v>1974758</v>
      </c>
      <c r="K41" s="472">
        <v>0</v>
      </c>
      <c r="L41" s="472">
        <v>667468</v>
      </c>
      <c r="M41" s="472">
        <v>39495</v>
      </c>
      <c r="N41" s="472">
        <v>20036</v>
      </c>
      <c r="O41" s="473">
        <v>6.22</v>
      </c>
      <c r="P41" s="474">
        <v>0</v>
      </c>
      <c r="Q41" s="483">
        <v>6.22</v>
      </c>
      <c r="R41" s="485">
        <f t="shared" si="72"/>
        <v>0</v>
      </c>
      <c r="S41" s="475">
        <v>0</v>
      </c>
      <c r="T41" s="475">
        <v>-64685</v>
      </c>
      <c r="U41" s="475">
        <v>0</v>
      </c>
      <c r="V41" s="475">
        <v>0</v>
      </c>
      <c r="W41" s="475">
        <v>0</v>
      </c>
      <c r="X41" s="475">
        <f t="shared" si="73"/>
        <v>-64685</v>
      </c>
      <c r="Y41" s="475">
        <v>0</v>
      </c>
      <c r="Z41" s="475">
        <v>0</v>
      </c>
      <c r="AA41" s="475">
        <v>0</v>
      </c>
      <c r="AB41" s="475">
        <f t="shared" si="74"/>
        <v>0</v>
      </c>
      <c r="AC41" s="475">
        <f t="shared" si="75"/>
        <v>-64685</v>
      </c>
      <c r="AD41" s="70">
        <f t="shared" si="76"/>
        <v>-21864</v>
      </c>
      <c r="AE41" s="70">
        <f t="shared" si="77"/>
        <v>-1294</v>
      </c>
      <c r="AF41" s="475">
        <v>0</v>
      </c>
      <c r="AG41" s="475">
        <v>0</v>
      </c>
      <c r="AH41" s="475">
        <f t="shared" si="78"/>
        <v>0</v>
      </c>
      <c r="AI41" s="475">
        <f t="shared" si="79"/>
        <v>-87843</v>
      </c>
      <c r="AJ41" s="476">
        <v>0</v>
      </c>
      <c r="AK41" s="476">
        <v>0</v>
      </c>
      <c r="AL41" s="476">
        <v>0</v>
      </c>
      <c r="AM41" s="476">
        <v>0</v>
      </c>
      <c r="AN41" s="476">
        <v>-0.21</v>
      </c>
      <c r="AO41" s="476">
        <v>0</v>
      </c>
      <c r="AP41" s="476">
        <v>0</v>
      </c>
      <c r="AQ41" s="476">
        <v>0</v>
      </c>
      <c r="AR41" s="476">
        <f t="shared" si="80"/>
        <v>0</v>
      </c>
      <c r="AS41" s="476">
        <f t="shared" si="81"/>
        <v>-0.21</v>
      </c>
      <c r="AT41" s="478">
        <f t="shared" si="82"/>
        <v>-0.21</v>
      </c>
      <c r="AU41" s="484">
        <f t="shared" si="10"/>
        <v>2613914</v>
      </c>
      <c r="AV41" s="475">
        <f t="shared" si="11"/>
        <v>1910073</v>
      </c>
      <c r="AW41" s="475">
        <f t="shared" si="83"/>
        <v>0</v>
      </c>
      <c r="AX41" s="475">
        <f t="shared" si="84"/>
        <v>645604</v>
      </c>
      <c r="AY41" s="475">
        <f t="shared" si="84"/>
        <v>38201</v>
      </c>
      <c r="AZ41" s="475">
        <f t="shared" si="12"/>
        <v>20036</v>
      </c>
      <c r="BA41" s="476">
        <f t="shared" si="13"/>
        <v>6.01</v>
      </c>
      <c r="BB41" s="476">
        <f t="shared" si="85"/>
        <v>0</v>
      </c>
      <c r="BC41" s="478">
        <f t="shared" si="85"/>
        <v>6.01</v>
      </c>
    </row>
    <row r="42" spans="1:55" s="3" customFormat="1" x14ac:dyDescent="0.2">
      <c r="A42" s="216">
        <v>7</v>
      </c>
      <c r="B42" s="217">
        <v>3404</v>
      </c>
      <c r="C42" s="217">
        <v>650023021</v>
      </c>
      <c r="D42" s="217">
        <v>70982597</v>
      </c>
      <c r="E42" s="215" t="s">
        <v>97</v>
      </c>
      <c r="F42" s="217">
        <v>3143</v>
      </c>
      <c r="G42" s="218" t="s">
        <v>626</v>
      </c>
      <c r="H42" s="239" t="s">
        <v>277</v>
      </c>
      <c r="I42" s="477">
        <v>1392147</v>
      </c>
      <c r="J42" s="472">
        <v>1025145</v>
      </c>
      <c r="K42" s="472">
        <v>0</v>
      </c>
      <c r="L42" s="472">
        <v>346499</v>
      </c>
      <c r="M42" s="472">
        <v>20503</v>
      </c>
      <c r="N42" s="472">
        <v>0</v>
      </c>
      <c r="O42" s="473">
        <v>2</v>
      </c>
      <c r="P42" s="474">
        <v>2</v>
      </c>
      <c r="Q42" s="483">
        <v>0</v>
      </c>
      <c r="R42" s="485">
        <f t="shared" si="72"/>
        <v>0</v>
      </c>
      <c r="S42" s="475">
        <v>0</v>
      </c>
      <c r="T42" s="475">
        <v>146936</v>
      </c>
      <c r="U42" s="475">
        <v>0</v>
      </c>
      <c r="V42" s="475">
        <v>0</v>
      </c>
      <c r="W42" s="475">
        <v>0</v>
      </c>
      <c r="X42" s="475">
        <f t="shared" si="73"/>
        <v>146936</v>
      </c>
      <c r="Y42" s="475">
        <v>0</v>
      </c>
      <c r="Z42" s="475">
        <v>0</v>
      </c>
      <c r="AA42" s="475">
        <v>0</v>
      </c>
      <c r="AB42" s="475">
        <f t="shared" si="74"/>
        <v>0</v>
      </c>
      <c r="AC42" s="475">
        <f t="shared" si="75"/>
        <v>146936</v>
      </c>
      <c r="AD42" s="70">
        <f t="shared" si="76"/>
        <v>49664</v>
      </c>
      <c r="AE42" s="70">
        <f t="shared" si="77"/>
        <v>2939</v>
      </c>
      <c r="AF42" s="475">
        <v>0</v>
      </c>
      <c r="AG42" s="475">
        <v>0</v>
      </c>
      <c r="AH42" s="475">
        <f t="shared" si="78"/>
        <v>0</v>
      </c>
      <c r="AI42" s="475">
        <f t="shared" si="79"/>
        <v>199539</v>
      </c>
      <c r="AJ42" s="476">
        <v>0</v>
      </c>
      <c r="AK42" s="476">
        <v>0</v>
      </c>
      <c r="AL42" s="476">
        <v>0</v>
      </c>
      <c r="AM42" s="476">
        <v>0.28999999999999998</v>
      </c>
      <c r="AN42" s="476">
        <v>0</v>
      </c>
      <c r="AO42" s="476">
        <v>0</v>
      </c>
      <c r="AP42" s="476">
        <v>0</v>
      </c>
      <c r="AQ42" s="476">
        <v>0</v>
      </c>
      <c r="AR42" s="476">
        <f t="shared" si="80"/>
        <v>0.28999999999999998</v>
      </c>
      <c r="AS42" s="476">
        <f t="shared" si="81"/>
        <v>0</v>
      </c>
      <c r="AT42" s="478">
        <f t="shared" si="82"/>
        <v>0.28999999999999998</v>
      </c>
      <c r="AU42" s="484">
        <f t="shared" si="10"/>
        <v>1591686</v>
      </c>
      <c r="AV42" s="475">
        <f t="shared" si="11"/>
        <v>1172081</v>
      </c>
      <c r="AW42" s="475">
        <f t="shared" si="83"/>
        <v>0</v>
      </c>
      <c r="AX42" s="475">
        <f t="shared" si="84"/>
        <v>396163</v>
      </c>
      <c r="AY42" s="475">
        <f t="shared" si="84"/>
        <v>23442</v>
      </c>
      <c r="AZ42" s="475">
        <f t="shared" si="12"/>
        <v>0</v>
      </c>
      <c r="BA42" s="476">
        <f t="shared" si="13"/>
        <v>2.29</v>
      </c>
      <c r="BB42" s="476">
        <f t="shared" si="85"/>
        <v>2.29</v>
      </c>
      <c r="BC42" s="478">
        <f t="shared" si="85"/>
        <v>0</v>
      </c>
    </row>
    <row r="43" spans="1:55" s="3" customFormat="1" x14ac:dyDescent="0.2">
      <c r="A43" s="216">
        <v>7</v>
      </c>
      <c r="B43" s="217">
        <v>3404</v>
      </c>
      <c r="C43" s="217">
        <v>650023021</v>
      </c>
      <c r="D43" s="217">
        <v>70982597</v>
      </c>
      <c r="E43" s="215" t="s">
        <v>97</v>
      </c>
      <c r="F43" s="217">
        <v>3143</v>
      </c>
      <c r="G43" s="218" t="s">
        <v>627</v>
      </c>
      <c r="H43" s="239" t="s">
        <v>278</v>
      </c>
      <c r="I43" s="477">
        <v>45361</v>
      </c>
      <c r="J43" s="472">
        <v>32077</v>
      </c>
      <c r="K43" s="472">
        <v>0</v>
      </c>
      <c r="L43" s="472">
        <v>10842</v>
      </c>
      <c r="M43" s="472">
        <v>642</v>
      </c>
      <c r="N43" s="472">
        <v>1800</v>
      </c>
      <c r="O43" s="473">
        <v>0.13</v>
      </c>
      <c r="P43" s="474">
        <v>0</v>
      </c>
      <c r="Q43" s="483">
        <v>0.13</v>
      </c>
      <c r="R43" s="485">
        <f t="shared" si="72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73"/>
        <v>0</v>
      </c>
      <c r="Y43" s="475">
        <v>0</v>
      </c>
      <c r="Z43" s="475">
        <v>0</v>
      </c>
      <c r="AA43" s="475">
        <v>0</v>
      </c>
      <c r="AB43" s="475">
        <f t="shared" si="74"/>
        <v>0</v>
      </c>
      <c r="AC43" s="475">
        <f t="shared" si="75"/>
        <v>0</v>
      </c>
      <c r="AD43" s="70">
        <f t="shared" si="76"/>
        <v>0</v>
      </c>
      <c r="AE43" s="70">
        <f t="shared" si="77"/>
        <v>0</v>
      </c>
      <c r="AF43" s="475">
        <v>0</v>
      </c>
      <c r="AG43" s="475">
        <v>0</v>
      </c>
      <c r="AH43" s="475">
        <f t="shared" si="78"/>
        <v>0</v>
      </c>
      <c r="AI43" s="475">
        <f t="shared" si="79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si="80"/>
        <v>0</v>
      </c>
      <c r="AS43" s="476">
        <f t="shared" si="81"/>
        <v>0</v>
      </c>
      <c r="AT43" s="478">
        <f t="shared" si="82"/>
        <v>0</v>
      </c>
      <c r="AU43" s="484">
        <f t="shared" si="10"/>
        <v>45361</v>
      </c>
      <c r="AV43" s="475">
        <f t="shared" si="11"/>
        <v>32077</v>
      </c>
      <c r="AW43" s="475">
        <f t="shared" si="83"/>
        <v>0</v>
      </c>
      <c r="AX43" s="475">
        <f t="shared" si="84"/>
        <v>10842</v>
      </c>
      <c r="AY43" s="475">
        <f t="shared" si="84"/>
        <v>642</v>
      </c>
      <c r="AZ43" s="475">
        <f t="shared" si="12"/>
        <v>1800</v>
      </c>
      <c r="BA43" s="476">
        <f t="shared" si="13"/>
        <v>0.13</v>
      </c>
      <c r="BB43" s="476">
        <f t="shared" si="85"/>
        <v>0</v>
      </c>
      <c r="BC43" s="478">
        <f t="shared" si="85"/>
        <v>0.13</v>
      </c>
    </row>
    <row r="44" spans="1:55" x14ac:dyDescent="0.2">
      <c r="A44" s="162">
        <v>7</v>
      </c>
      <c r="B44" s="18">
        <v>3404</v>
      </c>
      <c r="C44" s="18">
        <v>650023021</v>
      </c>
      <c r="D44" s="18">
        <v>70982597</v>
      </c>
      <c r="E44" s="171" t="s">
        <v>98</v>
      </c>
      <c r="F44" s="18"/>
      <c r="G44" s="161"/>
      <c r="H44" s="195"/>
      <c r="I44" s="528">
        <v>34800656</v>
      </c>
      <c r="J44" s="524">
        <v>25092294</v>
      </c>
      <c r="K44" s="524">
        <v>178800</v>
      </c>
      <c r="L44" s="524">
        <v>8541630</v>
      </c>
      <c r="M44" s="524">
        <v>501846</v>
      </c>
      <c r="N44" s="524">
        <v>486086</v>
      </c>
      <c r="O44" s="525">
        <v>55.262599999999999</v>
      </c>
      <c r="P44" s="525">
        <v>39.849299999999999</v>
      </c>
      <c r="Q44" s="530">
        <v>15.413300000000001</v>
      </c>
      <c r="R44" s="528">
        <f t="shared" ref="R44:BC44" si="86">SUM(R38:R43)</f>
        <v>0</v>
      </c>
      <c r="S44" s="524">
        <f t="shared" si="86"/>
        <v>0</v>
      </c>
      <c r="T44" s="524">
        <f t="shared" si="86"/>
        <v>152189</v>
      </c>
      <c r="U44" s="524">
        <f t="shared" si="86"/>
        <v>23136</v>
      </c>
      <c r="V44" s="524">
        <f t="shared" si="86"/>
        <v>0</v>
      </c>
      <c r="W44" s="524">
        <f t="shared" si="86"/>
        <v>0</v>
      </c>
      <c r="X44" s="524">
        <f t="shared" si="86"/>
        <v>175325</v>
      </c>
      <c r="Y44" s="524">
        <f t="shared" si="86"/>
        <v>0</v>
      </c>
      <c r="Z44" s="524">
        <f t="shared" si="86"/>
        <v>0</v>
      </c>
      <c r="AA44" s="524">
        <f t="shared" si="86"/>
        <v>0</v>
      </c>
      <c r="AB44" s="524">
        <f t="shared" si="86"/>
        <v>0</v>
      </c>
      <c r="AC44" s="524">
        <f t="shared" si="86"/>
        <v>175325</v>
      </c>
      <c r="AD44" s="524">
        <f t="shared" si="86"/>
        <v>59259</v>
      </c>
      <c r="AE44" s="524">
        <f t="shared" si="86"/>
        <v>3506</v>
      </c>
      <c r="AF44" s="524">
        <f t="shared" si="86"/>
        <v>0</v>
      </c>
      <c r="AG44" s="524">
        <f t="shared" si="86"/>
        <v>0</v>
      </c>
      <c r="AH44" s="524">
        <f t="shared" si="86"/>
        <v>0</v>
      </c>
      <c r="AI44" s="524">
        <f t="shared" si="86"/>
        <v>238090</v>
      </c>
      <c r="AJ44" s="525">
        <f t="shared" si="86"/>
        <v>0</v>
      </c>
      <c r="AK44" s="525">
        <f t="shared" si="86"/>
        <v>0</v>
      </c>
      <c r="AL44" s="525">
        <f t="shared" si="86"/>
        <v>0</v>
      </c>
      <c r="AM44" s="525">
        <f t="shared" si="86"/>
        <v>0.41</v>
      </c>
      <c r="AN44" s="525">
        <f t="shared" si="86"/>
        <v>-0.21</v>
      </c>
      <c r="AO44" s="525">
        <f t="shared" si="86"/>
        <v>0.04</v>
      </c>
      <c r="AP44" s="525">
        <f t="shared" si="86"/>
        <v>0</v>
      </c>
      <c r="AQ44" s="525">
        <f t="shared" si="86"/>
        <v>0</v>
      </c>
      <c r="AR44" s="525">
        <f t="shared" si="86"/>
        <v>0.44999999999999996</v>
      </c>
      <c r="AS44" s="525">
        <f t="shared" si="86"/>
        <v>-0.21</v>
      </c>
      <c r="AT44" s="41">
        <f t="shared" si="86"/>
        <v>0.24</v>
      </c>
      <c r="AU44" s="532">
        <f t="shared" si="86"/>
        <v>35038746</v>
      </c>
      <c r="AV44" s="524">
        <f t="shared" si="86"/>
        <v>25267619</v>
      </c>
      <c r="AW44" s="524">
        <f t="shared" si="86"/>
        <v>178800</v>
      </c>
      <c r="AX44" s="524">
        <f t="shared" si="86"/>
        <v>8600889</v>
      </c>
      <c r="AY44" s="524">
        <f t="shared" si="86"/>
        <v>505352</v>
      </c>
      <c r="AZ44" s="524">
        <f t="shared" si="86"/>
        <v>486086</v>
      </c>
      <c r="BA44" s="525">
        <f t="shared" si="86"/>
        <v>55.502600000000001</v>
      </c>
      <c r="BB44" s="525">
        <f t="shared" si="86"/>
        <v>40.299300000000002</v>
      </c>
      <c r="BC44" s="41">
        <f t="shared" si="86"/>
        <v>15.2033</v>
      </c>
    </row>
    <row r="45" spans="1:55" x14ac:dyDescent="0.2">
      <c r="A45" s="216">
        <v>8</v>
      </c>
      <c r="B45" s="217">
        <v>3477</v>
      </c>
      <c r="C45" s="217">
        <v>600098451</v>
      </c>
      <c r="D45" s="217">
        <v>70695491</v>
      </c>
      <c r="E45" s="215" t="s">
        <v>99</v>
      </c>
      <c r="F45" s="217">
        <v>3111</v>
      </c>
      <c r="G45" s="218" t="s">
        <v>311</v>
      </c>
      <c r="H45" s="219" t="s">
        <v>277</v>
      </c>
      <c r="I45" s="477">
        <v>4075846</v>
      </c>
      <c r="J45" s="472">
        <v>2985454</v>
      </c>
      <c r="K45" s="472">
        <v>0</v>
      </c>
      <c r="L45" s="472">
        <v>1009083</v>
      </c>
      <c r="M45" s="472">
        <v>59709</v>
      </c>
      <c r="N45" s="472">
        <v>21600</v>
      </c>
      <c r="O45" s="473">
        <v>6.9842000000000004</v>
      </c>
      <c r="P45" s="474">
        <v>5</v>
      </c>
      <c r="Q45" s="483">
        <v>1.9842</v>
      </c>
      <c r="R45" s="485">
        <f t="shared" ref="R45:R47" si="87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ref="AB45:AB47" si="88">SUM(Y45:AA45)</f>
        <v>0</v>
      </c>
      <c r="AC45" s="475">
        <f t="shared" ref="AC45:AC47" si="89">X45+AB45</f>
        <v>0</v>
      </c>
      <c r="AD45" s="70">
        <f t="shared" ref="AD45:AD47" si="90">ROUND((X45+Y45+Z45)*33.8%,0)</f>
        <v>0</v>
      </c>
      <c r="AE45" s="70">
        <f t="shared" ref="AE45:AE47" si="91">ROUND(X45*2%,0)</f>
        <v>0</v>
      </c>
      <c r="AF45" s="475">
        <v>0</v>
      </c>
      <c r="AG45" s="475">
        <v>0</v>
      </c>
      <c r="AH45" s="475">
        <f t="shared" ref="AH45:AH47" si="92">SUM(AF45:AG45)</f>
        <v>0</v>
      </c>
      <c r="AI45" s="475">
        <f t="shared" ref="AI45:AI47" si="93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:AT47" si="94">SUM(AR45:AS45)</f>
        <v>0</v>
      </c>
      <c r="AU45" s="484">
        <f t="shared" si="10"/>
        <v>4075846</v>
      </c>
      <c r="AV45" s="475">
        <f t="shared" si="11"/>
        <v>2985454</v>
      </c>
      <c r="AW45" s="475">
        <f t="shared" ref="AW45:AW47" si="95">K45+AB45</f>
        <v>0</v>
      </c>
      <c r="AX45" s="475">
        <f t="shared" ref="AX45:AY47" si="96">L45+AD45</f>
        <v>1009083</v>
      </c>
      <c r="AY45" s="475">
        <f t="shared" si="96"/>
        <v>59709</v>
      </c>
      <c r="AZ45" s="475">
        <f t="shared" si="12"/>
        <v>21600</v>
      </c>
      <c r="BA45" s="476">
        <f t="shared" si="13"/>
        <v>6.9842000000000004</v>
      </c>
      <c r="BB45" s="476">
        <f t="shared" ref="BB45:BC47" si="97">P45+AR45</f>
        <v>5</v>
      </c>
      <c r="BC45" s="478">
        <f t="shared" si="97"/>
        <v>1.9842</v>
      </c>
    </row>
    <row r="46" spans="1:55" x14ac:dyDescent="0.2">
      <c r="A46" s="216">
        <v>8</v>
      </c>
      <c r="B46" s="217">
        <v>3477</v>
      </c>
      <c r="C46" s="217">
        <v>600098451</v>
      </c>
      <c r="D46" s="217">
        <v>70695491</v>
      </c>
      <c r="E46" s="215" t="s">
        <v>99</v>
      </c>
      <c r="F46" s="217">
        <v>3111</v>
      </c>
      <c r="G46" s="218" t="s">
        <v>312</v>
      </c>
      <c r="H46" s="219" t="s">
        <v>278</v>
      </c>
      <c r="I46" s="477">
        <v>470470</v>
      </c>
      <c r="J46" s="472">
        <v>346443</v>
      </c>
      <c r="K46" s="472">
        <v>0</v>
      </c>
      <c r="L46" s="472">
        <v>117098</v>
      </c>
      <c r="M46" s="472">
        <v>6929</v>
      </c>
      <c r="N46" s="472">
        <v>0</v>
      </c>
      <c r="O46" s="473">
        <v>1</v>
      </c>
      <c r="P46" s="474">
        <v>1</v>
      </c>
      <c r="Q46" s="483">
        <v>0</v>
      </c>
      <c r="R46" s="485">
        <f t="shared" si="87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88"/>
        <v>0</v>
      </c>
      <c r="AC46" s="475">
        <f t="shared" si="89"/>
        <v>0</v>
      </c>
      <c r="AD46" s="70">
        <f t="shared" si="90"/>
        <v>0</v>
      </c>
      <c r="AE46" s="70">
        <f t="shared" si="91"/>
        <v>0</v>
      </c>
      <c r="AF46" s="475">
        <v>0</v>
      </c>
      <c r="AG46" s="475">
        <v>0</v>
      </c>
      <c r="AH46" s="475">
        <f t="shared" si="92"/>
        <v>0</v>
      </c>
      <c r="AI46" s="475">
        <f t="shared" si="93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94"/>
        <v>0</v>
      </c>
      <c r="AU46" s="484">
        <f t="shared" si="10"/>
        <v>470470</v>
      </c>
      <c r="AV46" s="475">
        <f t="shared" si="11"/>
        <v>346443</v>
      </c>
      <c r="AW46" s="475">
        <f t="shared" si="95"/>
        <v>0</v>
      </c>
      <c r="AX46" s="475">
        <f t="shared" si="96"/>
        <v>117098</v>
      </c>
      <c r="AY46" s="475">
        <f t="shared" si="96"/>
        <v>6929</v>
      </c>
      <c r="AZ46" s="475">
        <f t="shared" si="12"/>
        <v>0</v>
      </c>
      <c r="BA46" s="476">
        <f t="shared" si="13"/>
        <v>1</v>
      </c>
      <c r="BB46" s="476">
        <f t="shared" si="97"/>
        <v>1</v>
      </c>
      <c r="BC46" s="478">
        <f t="shared" si="97"/>
        <v>0</v>
      </c>
    </row>
    <row r="47" spans="1:55" x14ac:dyDescent="0.2">
      <c r="A47" s="216">
        <v>8</v>
      </c>
      <c r="B47" s="217">
        <v>3477</v>
      </c>
      <c r="C47" s="217">
        <v>600098451</v>
      </c>
      <c r="D47" s="217">
        <v>70695491</v>
      </c>
      <c r="E47" s="215" t="s">
        <v>99</v>
      </c>
      <c r="F47" s="217">
        <v>3141</v>
      </c>
      <c r="G47" s="218" t="s">
        <v>315</v>
      </c>
      <c r="H47" s="219" t="s">
        <v>278</v>
      </c>
      <c r="I47" s="477">
        <v>668757</v>
      </c>
      <c r="J47" s="472">
        <v>490407</v>
      </c>
      <c r="K47" s="472">
        <v>0</v>
      </c>
      <c r="L47" s="472">
        <v>165758</v>
      </c>
      <c r="M47" s="472">
        <v>9808</v>
      </c>
      <c r="N47" s="472">
        <v>2784</v>
      </c>
      <c r="O47" s="473">
        <v>1.54</v>
      </c>
      <c r="P47" s="474">
        <v>0</v>
      </c>
      <c r="Q47" s="483">
        <v>1.54</v>
      </c>
      <c r="R47" s="485">
        <f t="shared" si="87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si="88"/>
        <v>0</v>
      </c>
      <c r="AC47" s="475">
        <f t="shared" si="89"/>
        <v>0</v>
      </c>
      <c r="AD47" s="70">
        <f t="shared" si="90"/>
        <v>0</v>
      </c>
      <c r="AE47" s="70">
        <f t="shared" si="91"/>
        <v>0</v>
      </c>
      <c r="AF47" s="475">
        <v>0</v>
      </c>
      <c r="AG47" s="475">
        <v>0</v>
      </c>
      <c r="AH47" s="475">
        <f t="shared" si="92"/>
        <v>0</v>
      </c>
      <c r="AI47" s="475">
        <f t="shared" si="93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si="94"/>
        <v>0</v>
      </c>
      <c r="AU47" s="484">
        <f t="shared" si="10"/>
        <v>668757</v>
      </c>
      <c r="AV47" s="475">
        <f t="shared" si="11"/>
        <v>490407</v>
      </c>
      <c r="AW47" s="475">
        <f t="shared" si="95"/>
        <v>0</v>
      </c>
      <c r="AX47" s="475">
        <f t="shared" si="96"/>
        <v>165758</v>
      </c>
      <c r="AY47" s="475">
        <f t="shared" si="96"/>
        <v>9808</v>
      </c>
      <c r="AZ47" s="475">
        <f t="shared" si="12"/>
        <v>2784</v>
      </c>
      <c r="BA47" s="476">
        <f t="shared" si="13"/>
        <v>1.54</v>
      </c>
      <c r="BB47" s="476">
        <f t="shared" si="97"/>
        <v>0</v>
      </c>
      <c r="BC47" s="478">
        <f t="shared" si="97"/>
        <v>1.54</v>
      </c>
    </row>
    <row r="48" spans="1:55" x14ac:dyDescent="0.2">
      <c r="A48" s="162">
        <v>8</v>
      </c>
      <c r="B48" s="18">
        <v>3477</v>
      </c>
      <c r="C48" s="18">
        <v>600098451</v>
      </c>
      <c r="D48" s="18">
        <v>70695491</v>
      </c>
      <c r="E48" s="171" t="s">
        <v>100</v>
      </c>
      <c r="F48" s="18"/>
      <c r="G48" s="161"/>
      <c r="H48" s="195"/>
      <c r="I48" s="529">
        <v>5215073</v>
      </c>
      <c r="J48" s="526">
        <v>3822304</v>
      </c>
      <c r="K48" s="526">
        <v>0</v>
      </c>
      <c r="L48" s="526">
        <v>1291939</v>
      </c>
      <c r="M48" s="526">
        <v>76446</v>
      </c>
      <c r="N48" s="526">
        <v>24384</v>
      </c>
      <c r="O48" s="527">
        <v>9.5242000000000004</v>
      </c>
      <c r="P48" s="527">
        <v>6</v>
      </c>
      <c r="Q48" s="531">
        <v>3.5242</v>
      </c>
      <c r="R48" s="529">
        <f t="shared" ref="R48:BC48" si="98">SUM(R45:R47)</f>
        <v>0</v>
      </c>
      <c r="S48" s="526">
        <f t="shared" si="98"/>
        <v>0</v>
      </c>
      <c r="T48" s="526">
        <f t="shared" si="98"/>
        <v>0</v>
      </c>
      <c r="U48" s="526">
        <f t="shared" si="98"/>
        <v>0</v>
      </c>
      <c r="V48" s="526">
        <f t="shared" si="98"/>
        <v>0</v>
      </c>
      <c r="W48" s="526">
        <f t="shared" si="98"/>
        <v>0</v>
      </c>
      <c r="X48" s="526">
        <f t="shared" si="98"/>
        <v>0</v>
      </c>
      <c r="Y48" s="526">
        <f t="shared" si="98"/>
        <v>0</v>
      </c>
      <c r="Z48" s="526">
        <f t="shared" si="98"/>
        <v>0</v>
      </c>
      <c r="AA48" s="526">
        <f t="shared" si="98"/>
        <v>0</v>
      </c>
      <c r="AB48" s="526">
        <f t="shared" si="98"/>
        <v>0</v>
      </c>
      <c r="AC48" s="526">
        <f t="shared" si="98"/>
        <v>0</v>
      </c>
      <c r="AD48" s="526">
        <f t="shared" si="98"/>
        <v>0</v>
      </c>
      <c r="AE48" s="526">
        <f t="shared" si="98"/>
        <v>0</v>
      </c>
      <c r="AF48" s="526">
        <f t="shared" si="98"/>
        <v>0</v>
      </c>
      <c r="AG48" s="526">
        <f t="shared" si="98"/>
        <v>0</v>
      </c>
      <c r="AH48" s="526">
        <f t="shared" si="98"/>
        <v>0</v>
      </c>
      <c r="AI48" s="526">
        <f t="shared" si="98"/>
        <v>0</v>
      </c>
      <c r="AJ48" s="527">
        <f t="shared" si="98"/>
        <v>0</v>
      </c>
      <c r="AK48" s="527">
        <f t="shared" si="98"/>
        <v>0</v>
      </c>
      <c r="AL48" s="527">
        <f t="shared" si="98"/>
        <v>0</v>
      </c>
      <c r="AM48" s="527">
        <f t="shared" si="98"/>
        <v>0</v>
      </c>
      <c r="AN48" s="527">
        <f t="shared" si="98"/>
        <v>0</v>
      </c>
      <c r="AO48" s="527">
        <f t="shared" si="98"/>
        <v>0</v>
      </c>
      <c r="AP48" s="527">
        <f t="shared" si="98"/>
        <v>0</v>
      </c>
      <c r="AQ48" s="527">
        <f t="shared" si="98"/>
        <v>0</v>
      </c>
      <c r="AR48" s="527">
        <f t="shared" si="98"/>
        <v>0</v>
      </c>
      <c r="AS48" s="527">
        <f t="shared" si="98"/>
        <v>0</v>
      </c>
      <c r="AT48" s="40">
        <f t="shared" si="98"/>
        <v>0</v>
      </c>
      <c r="AU48" s="533">
        <f t="shared" si="98"/>
        <v>5215073</v>
      </c>
      <c r="AV48" s="526">
        <f t="shared" si="98"/>
        <v>3822304</v>
      </c>
      <c r="AW48" s="526">
        <f t="shared" si="98"/>
        <v>0</v>
      </c>
      <c r="AX48" s="526">
        <f t="shared" si="98"/>
        <v>1291939</v>
      </c>
      <c r="AY48" s="526">
        <f t="shared" si="98"/>
        <v>76446</v>
      </c>
      <c r="AZ48" s="526">
        <f t="shared" si="98"/>
        <v>24384</v>
      </c>
      <c r="BA48" s="527">
        <f t="shared" si="98"/>
        <v>9.5242000000000004</v>
      </c>
      <c r="BB48" s="527">
        <f t="shared" si="98"/>
        <v>6</v>
      </c>
      <c r="BC48" s="40">
        <f t="shared" si="98"/>
        <v>3.5242</v>
      </c>
    </row>
    <row r="49" spans="1:55" x14ac:dyDescent="0.2">
      <c r="A49" s="216">
        <v>9</v>
      </c>
      <c r="B49" s="217">
        <v>3476</v>
      </c>
      <c r="C49" s="217">
        <v>600099164</v>
      </c>
      <c r="D49" s="217">
        <v>854808</v>
      </c>
      <c r="E49" s="215" t="s">
        <v>101</v>
      </c>
      <c r="F49" s="217">
        <v>3113</v>
      </c>
      <c r="G49" s="218" t="s">
        <v>314</v>
      </c>
      <c r="H49" s="219" t="s">
        <v>277</v>
      </c>
      <c r="I49" s="477">
        <v>10892011</v>
      </c>
      <c r="J49" s="472">
        <v>7879846</v>
      </c>
      <c r="K49" s="472">
        <v>0</v>
      </c>
      <c r="L49" s="472">
        <v>2663388</v>
      </c>
      <c r="M49" s="472">
        <v>157597</v>
      </c>
      <c r="N49" s="472">
        <v>191180</v>
      </c>
      <c r="O49" s="473">
        <v>15.2742</v>
      </c>
      <c r="P49" s="474">
        <v>11.545400000000001</v>
      </c>
      <c r="Q49" s="483">
        <v>3.7287999999999997</v>
      </c>
      <c r="R49" s="485">
        <f t="shared" ref="R49:R53" si="99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ref="AB49:AB53" si="100">SUM(Y49:AA49)</f>
        <v>0</v>
      </c>
      <c r="AC49" s="475">
        <f t="shared" ref="AC49:AC53" si="101">X49+AB49</f>
        <v>0</v>
      </c>
      <c r="AD49" s="70">
        <f t="shared" ref="AD49:AD53" si="102">ROUND((X49+Y49+Z49)*33.8%,0)</f>
        <v>0</v>
      </c>
      <c r="AE49" s="70">
        <f t="shared" ref="AE49:AE53" si="103">ROUND(X49*2%,0)</f>
        <v>0</v>
      </c>
      <c r="AF49" s="475">
        <v>0</v>
      </c>
      <c r="AG49" s="475">
        <v>0</v>
      </c>
      <c r="AH49" s="475">
        <f t="shared" ref="AH49:AH53" si="104">SUM(AF49:AG49)</f>
        <v>0</v>
      </c>
      <c r="AI49" s="475">
        <f t="shared" ref="AI49:AI53" si="105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3" si="106">SUM(AR49:AS49)</f>
        <v>0</v>
      </c>
      <c r="AU49" s="484">
        <f t="shared" si="10"/>
        <v>10892011</v>
      </c>
      <c r="AV49" s="475">
        <f t="shared" si="11"/>
        <v>7879846</v>
      </c>
      <c r="AW49" s="475">
        <f t="shared" ref="AW49:AW53" si="107">K49+AB49</f>
        <v>0</v>
      </c>
      <c r="AX49" s="475">
        <f t="shared" ref="AX49:AY53" si="108">L49+AD49</f>
        <v>2663388</v>
      </c>
      <c r="AY49" s="475">
        <f t="shared" si="108"/>
        <v>157597</v>
      </c>
      <c r="AZ49" s="475">
        <f t="shared" si="12"/>
        <v>191180</v>
      </c>
      <c r="BA49" s="476">
        <f t="shared" si="13"/>
        <v>15.2742</v>
      </c>
      <c r="BB49" s="476">
        <f t="shared" ref="BB49:BC53" si="109">P49+AR49</f>
        <v>11.545400000000001</v>
      </c>
      <c r="BC49" s="478">
        <f t="shared" si="109"/>
        <v>3.7287999999999997</v>
      </c>
    </row>
    <row r="50" spans="1:55" x14ac:dyDescent="0.2">
      <c r="A50" s="216">
        <v>9</v>
      </c>
      <c r="B50" s="217">
        <v>3476</v>
      </c>
      <c r="C50" s="217">
        <v>600099164</v>
      </c>
      <c r="D50" s="217">
        <v>854808</v>
      </c>
      <c r="E50" s="215" t="s">
        <v>101</v>
      </c>
      <c r="F50" s="217">
        <v>3113</v>
      </c>
      <c r="G50" s="218" t="s">
        <v>312</v>
      </c>
      <c r="H50" s="219" t="s">
        <v>278</v>
      </c>
      <c r="I50" s="477">
        <v>440143</v>
      </c>
      <c r="J50" s="472">
        <v>324111</v>
      </c>
      <c r="K50" s="472">
        <v>0</v>
      </c>
      <c r="L50" s="472">
        <v>109550</v>
      </c>
      <c r="M50" s="472">
        <v>6482</v>
      </c>
      <c r="N50" s="472">
        <v>0</v>
      </c>
      <c r="O50" s="473">
        <v>1.05</v>
      </c>
      <c r="P50" s="474">
        <v>1.05</v>
      </c>
      <c r="Q50" s="483">
        <v>0</v>
      </c>
      <c r="R50" s="485">
        <f t="shared" si="99"/>
        <v>0</v>
      </c>
      <c r="S50" s="475">
        <v>42994</v>
      </c>
      <c r="T50" s="475">
        <v>0</v>
      </c>
      <c r="U50" s="475">
        <v>0</v>
      </c>
      <c r="V50" s="475">
        <v>0</v>
      </c>
      <c r="W50" s="475">
        <v>0</v>
      </c>
      <c r="X50" s="475">
        <f>SUM(R50:W50)</f>
        <v>42994</v>
      </c>
      <c r="Y50" s="475">
        <v>0</v>
      </c>
      <c r="Z50" s="475">
        <v>0</v>
      </c>
      <c r="AA50" s="475">
        <v>0</v>
      </c>
      <c r="AB50" s="475">
        <f t="shared" si="100"/>
        <v>0</v>
      </c>
      <c r="AC50" s="475">
        <f t="shared" si="101"/>
        <v>42994</v>
      </c>
      <c r="AD50" s="70">
        <f t="shared" si="102"/>
        <v>14532</v>
      </c>
      <c r="AE50" s="70">
        <f t="shared" si="103"/>
        <v>860</v>
      </c>
      <c r="AF50" s="475">
        <v>0</v>
      </c>
      <c r="AG50" s="475">
        <v>0</v>
      </c>
      <c r="AH50" s="475">
        <f t="shared" si="104"/>
        <v>0</v>
      </c>
      <c r="AI50" s="475">
        <f t="shared" si="105"/>
        <v>58386</v>
      </c>
      <c r="AJ50" s="476">
        <v>0</v>
      </c>
      <c r="AK50" s="476">
        <v>0</v>
      </c>
      <c r="AL50" s="476">
        <v>-0.04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>AJ50+AL50+AM50+AO50+AP50</f>
        <v>-0.04</v>
      </c>
      <c r="AS50" s="476">
        <f>AK50+AN50+AQ50</f>
        <v>0</v>
      </c>
      <c r="AT50" s="478">
        <f t="shared" si="106"/>
        <v>-0.04</v>
      </c>
      <c r="AU50" s="484">
        <f t="shared" si="10"/>
        <v>498529</v>
      </c>
      <c r="AV50" s="475">
        <f t="shared" si="11"/>
        <v>367105</v>
      </c>
      <c r="AW50" s="475">
        <f t="shared" si="107"/>
        <v>0</v>
      </c>
      <c r="AX50" s="475">
        <f t="shared" si="108"/>
        <v>124082</v>
      </c>
      <c r="AY50" s="475">
        <f t="shared" si="108"/>
        <v>7342</v>
      </c>
      <c r="AZ50" s="475">
        <f t="shared" si="12"/>
        <v>0</v>
      </c>
      <c r="BA50" s="476">
        <f t="shared" si="13"/>
        <v>1.01</v>
      </c>
      <c r="BB50" s="476">
        <f t="shared" si="109"/>
        <v>1.01</v>
      </c>
      <c r="BC50" s="478">
        <f t="shared" si="109"/>
        <v>0</v>
      </c>
    </row>
    <row r="51" spans="1:55" x14ac:dyDescent="0.2">
      <c r="A51" s="216">
        <v>9</v>
      </c>
      <c r="B51" s="217">
        <v>3476</v>
      </c>
      <c r="C51" s="217">
        <v>600099164</v>
      </c>
      <c r="D51" s="217">
        <v>854808</v>
      </c>
      <c r="E51" s="215" t="s">
        <v>101</v>
      </c>
      <c r="F51" s="217">
        <v>3141</v>
      </c>
      <c r="G51" s="218" t="s">
        <v>315</v>
      </c>
      <c r="H51" s="219" t="s">
        <v>278</v>
      </c>
      <c r="I51" s="477">
        <v>963247</v>
      </c>
      <c r="J51" s="472">
        <v>704529</v>
      </c>
      <c r="K51" s="472">
        <v>0</v>
      </c>
      <c r="L51" s="472">
        <v>238131</v>
      </c>
      <c r="M51" s="472">
        <v>14091</v>
      </c>
      <c r="N51" s="472">
        <v>6496</v>
      </c>
      <c r="O51" s="473">
        <v>2.2200000000000002</v>
      </c>
      <c r="P51" s="474">
        <v>0</v>
      </c>
      <c r="Q51" s="483">
        <v>2.2200000000000002</v>
      </c>
      <c r="R51" s="485">
        <f t="shared" si="99"/>
        <v>0</v>
      </c>
      <c r="S51" s="475">
        <v>0</v>
      </c>
      <c r="T51" s="475">
        <v>-8089</v>
      </c>
      <c r="U51" s="475">
        <v>0</v>
      </c>
      <c r="V51" s="475">
        <v>0</v>
      </c>
      <c r="W51" s="475">
        <v>0</v>
      </c>
      <c r="X51" s="475">
        <f>SUM(R51:W51)</f>
        <v>-8089</v>
      </c>
      <c r="Y51" s="475">
        <v>0</v>
      </c>
      <c r="Z51" s="475">
        <v>0</v>
      </c>
      <c r="AA51" s="475">
        <v>0</v>
      </c>
      <c r="AB51" s="475">
        <f t="shared" si="100"/>
        <v>0</v>
      </c>
      <c r="AC51" s="475">
        <f t="shared" si="101"/>
        <v>-8089</v>
      </c>
      <c r="AD51" s="70">
        <f t="shared" si="102"/>
        <v>-2734</v>
      </c>
      <c r="AE51" s="70">
        <f t="shared" si="103"/>
        <v>-162</v>
      </c>
      <c r="AF51" s="475">
        <v>0</v>
      </c>
      <c r="AG51" s="475">
        <v>0</v>
      </c>
      <c r="AH51" s="475">
        <f t="shared" si="104"/>
        <v>0</v>
      </c>
      <c r="AI51" s="475">
        <f t="shared" si="105"/>
        <v>-10985</v>
      </c>
      <c r="AJ51" s="476">
        <v>0</v>
      </c>
      <c r="AK51" s="476">
        <v>0</v>
      </c>
      <c r="AL51" s="476">
        <v>0</v>
      </c>
      <c r="AM51" s="476">
        <v>0</v>
      </c>
      <c r="AN51" s="476">
        <v>-0.03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-0.03</v>
      </c>
      <c r="AT51" s="478">
        <f t="shared" si="106"/>
        <v>-0.03</v>
      </c>
      <c r="AU51" s="484">
        <f t="shared" si="10"/>
        <v>952262</v>
      </c>
      <c r="AV51" s="475">
        <f t="shared" si="11"/>
        <v>696440</v>
      </c>
      <c r="AW51" s="475">
        <f t="shared" si="107"/>
        <v>0</v>
      </c>
      <c r="AX51" s="475">
        <f t="shared" si="108"/>
        <v>235397</v>
      </c>
      <c r="AY51" s="475">
        <f t="shared" si="108"/>
        <v>13929</v>
      </c>
      <c r="AZ51" s="475">
        <f t="shared" si="12"/>
        <v>6496</v>
      </c>
      <c r="BA51" s="476">
        <f t="shared" si="13"/>
        <v>2.1900000000000004</v>
      </c>
      <c r="BB51" s="476">
        <f t="shared" si="109"/>
        <v>0</v>
      </c>
      <c r="BC51" s="478">
        <f t="shared" si="109"/>
        <v>2.1900000000000004</v>
      </c>
    </row>
    <row r="52" spans="1:55" x14ac:dyDescent="0.2">
      <c r="A52" s="216">
        <v>9</v>
      </c>
      <c r="B52" s="217">
        <v>3476</v>
      </c>
      <c r="C52" s="217">
        <v>600099164</v>
      </c>
      <c r="D52" s="217">
        <v>854808</v>
      </c>
      <c r="E52" s="215" t="s">
        <v>101</v>
      </c>
      <c r="F52" s="217">
        <v>3143</v>
      </c>
      <c r="G52" s="218" t="s">
        <v>626</v>
      </c>
      <c r="H52" s="239" t="s">
        <v>277</v>
      </c>
      <c r="I52" s="477">
        <v>601007</v>
      </c>
      <c r="J52" s="472">
        <v>442568</v>
      </c>
      <c r="K52" s="472">
        <v>0</v>
      </c>
      <c r="L52" s="472">
        <v>149588</v>
      </c>
      <c r="M52" s="472">
        <v>8851</v>
      </c>
      <c r="N52" s="472">
        <v>0</v>
      </c>
      <c r="O52" s="473">
        <v>0.89280000000000004</v>
      </c>
      <c r="P52" s="474">
        <v>0.89280000000000004</v>
      </c>
      <c r="Q52" s="483">
        <v>0</v>
      </c>
      <c r="R52" s="485">
        <f t="shared" si="99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00"/>
        <v>0</v>
      </c>
      <c r="AC52" s="475">
        <f t="shared" si="101"/>
        <v>0</v>
      </c>
      <c r="AD52" s="70">
        <f t="shared" si="102"/>
        <v>0</v>
      </c>
      <c r="AE52" s="70">
        <f t="shared" si="103"/>
        <v>0</v>
      </c>
      <c r="AF52" s="475">
        <v>0</v>
      </c>
      <c r="AG52" s="475">
        <v>0</v>
      </c>
      <c r="AH52" s="475">
        <f t="shared" si="104"/>
        <v>0</v>
      </c>
      <c r="AI52" s="475">
        <f t="shared" si="105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06"/>
        <v>0</v>
      </c>
      <c r="AU52" s="484">
        <f t="shared" si="10"/>
        <v>601007</v>
      </c>
      <c r="AV52" s="475">
        <f t="shared" si="11"/>
        <v>442568</v>
      </c>
      <c r="AW52" s="475">
        <f t="shared" si="107"/>
        <v>0</v>
      </c>
      <c r="AX52" s="475">
        <f t="shared" si="108"/>
        <v>149588</v>
      </c>
      <c r="AY52" s="475">
        <f t="shared" si="108"/>
        <v>8851</v>
      </c>
      <c r="AZ52" s="475">
        <f t="shared" si="12"/>
        <v>0</v>
      </c>
      <c r="BA52" s="476">
        <f t="shared" si="13"/>
        <v>0.89280000000000004</v>
      </c>
      <c r="BB52" s="476">
        <f t="shared" si="109"/>
        <v>0.89280000000000004</v>
      </c>
      <c r="BC52" s="478">
        <f t="shared" si="109"/>
        <v>0</v>
      </c>
    </row>
    <row r="53" spans="1:55" x14ac:dyDescent="0.2">
      <c r="A53" s="216">
        <v>9</v>
      </c>
      <c r="B53" s="217">
        <v>3476</v>
      </c>
      <c r="C53" s="217">
        <v>600099164</v>
      </c>
      <c r="D53" s="217">
        <v>854808</v>
      </c>
      <c r="E53" s="215" t="s">
        <v>101</v>
      </c>
      <c r="F53" s="217">
        <v>3143</v>
      </c>
      <c r="G53" s="218" t="s">
        <v>627</v>
      </c>
      <c r="H53" s="239" t="s">
        <v>278</v>
      </c>
      <c r="I53" s="477">
        <v>21924</v>
      </c>
      <c r="J53" s="472">
        <v>15504</v>
      </c>
      <c r="K53" s="472">
        <v>0</v>
      </c>
      <c r="L53" s="472">
        <v>5240</v>
      </c>
      <c r="M53" s="472">
        <v>310</v>
      </c>
      <c r="N53" s="472">
        <v>870</v>
      </c>
      <c r="O53" s="473">
        <v>0.06</v>
      </c>
      <c r="P53" s="474">
        <v>0</v>
      </c>
      <c r="Q53" s="483">
        <v>0.06</v>
      </c>
      <c r="R53" s="485">
        <f t="shared" si="99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si="100"/>
        <v>0</v>
      </c>
      <c r="AC53" s="475">
        <f t="shared" si="101"/>
        <v>0</v>
      </c>
      <c r="AD53" s="70">
        <f t="shared" si="102"/>
        <v>0</v>
      </c>
      <c r="AE53" s="70">
        <f t="shared" si="103"/>
        <v>0</v>
      </c>
      <c r="AF53" s="475">
        <v>0</v>
      </c>
      <c r="AG53" s="475">
        <v>0</v>
      </c>
      <c r="AH53" s="475">
        <f t="shared" si="104"/>
        <v>0</v>
      </c>
      <c r="AI53" s="475">
        <f t="shared" si="105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si="106"/>
        <v>0</v>
      </c>
      <c r="AU53" s="484">
        <f t="shared" si="10"/>
        <v>21924</v>
      </c>
      <c r="AV53" s="475">
        <f t="shared" si="11"/>
        <v>15504</v>
      </c>
      <c r="AW53" s="475">
        <f t="shared" si="107"/>
        <v>0</v>
      </c>
      <c r="AX53" s="475">
        <f t="shared" si="108"/>
        <v>5240</v>
      </c>
      <c r="AY53" s="475">
        <f t="shared" si="108"/>
        <v>310</v>
      </c>
      <c r="AZ53" s="475">
        <f t="shared" si="12"/>
        <v>870</v>
      </c>
      <c r="BA53" s="476">
        <f t="shared" si="13"/>
        <v>0.06</v>
      </c>
      <c r="BB53" s="476">
        <f t="shared" si="109"/>
        <v>0</v>
      </c>
      <c r="BC53" s="478">
        <f t="shared" si="109"/>
        <v>0.06</v>
      </c>
    </row>
    <row r="54" spans="1:55" x14ac:dyDescent="0.2">
      <c r="A54" s="162">
        <v>9</v>
      </c>
      <c r="B54" s="18">
        <v>3476</v>
      </c>
      <c r="C54" s="18">
        <v>600099164</v>
      </c>
      <c r="D54" s="18">
        <v>854808</v>
      </c>
      <c r="E54" s="171" t="s">
        <v>102</v>
      </c>
      <c r="F54" s="18"/>
      <c r="G54" s="161"/>
      <c r="H54" s="195"/>
      <c r="I54" s="528">
        <v>12918332</v>
      </c>
      <c r="J54" s="524">
        <v>9366558</v>
      </c>
      <c r="K54" s="524">
        <v>0</v>
      </c>
      <c r="L54" s="524">
        <v>3165897</v>
      </c>
      <c r="M54" s="524">
        <v>187331</v>
      </c>
      <c r="N54" s="524">
        <v>198546</v>
      </c>
      <c r="O54" s="525">
        <v>19.497</v>
      </c>
      <c r="P54" s="525">
        <v>13.488200000000001</v>
      </c>
      <c r="Q54" s="530">
        <v>6.0087999999999999</v>
      </c>
      <c r="R54" s="528">
        <f t="shared" ref="R54:BC54" si="110">SUM(R49:R53)</f>
        <v>0</v>
      </c>
      <c r="S54" s="524">
        <f t="shared" si="110"/>
        <v>42994</v>
      </c>
      <c r="T54" s="524">
        <f t="shared" si="110"/>
        <v>-8089</v>
      </c>
      <c r="U54" s="524">
        <f t="shared" si="110"/>
        <v>0</v>
      </c>
      <c r="V54" s="524">
        <f t="shared" si="110"/>
        <v>0</v>
      </c>
      <c r="W54" s="524">
        <f t="shared" si="110"/>
        <v>0</v>
      </c>
      <c r="X54" s="524">
        <f t="shared" si="110"/>
        <v>34905</v>
      </c>
      <c r="Y54" s="524">
        <f t="shared" si="110"/>
        <v>0</v>
      </c>
      <c r="Z54" s="524">
        <f t="shared" si="110"/>
        <v>0</v>
      </c>
      <c r="AA54" s="524">
        <f t="shared" si="110"/>
        <v>0</v>
      </c>
      <c r="AB54" s="524">
        <f t="shared" si="110"/>
        <v>0</v>
      </c>
      <c r="AC54" s="524">
        <f t="shared" si="110"/>
        <v>34905</v>
      </c>
      <c r="AD54" s="524">
        <f t="shared" si="110"/>
        <v>11798</v>
      </c>
      <c r="AE54" s="524">
        <f t="shared" si="110"/>
        <v>698</v>
      </c>
      <c r="AF54" s="524">
        <f t="shared" si="110"/>
        <v>0</v>
      </c>
      <c r="AG54" s="524">
        <f t="shared" si="110"/>
        <v>0</v>
      </c>
      <c r="AH54" s="524">
        <f t="shared" si="110"/>
        <v>0</v>
      </c>
      <c r="AI54" s="524">
        <f t="shared" si="110"/>
        <v>47401</v>
      </c>
      <c r="AJ54" s="525">
        <f t="shared" si="110"/>
        <v>0</v>
      </c>
      <c r="AK54" s="525">
        <f t="shared" si="110"/>
        <v>0</v>
      </c>
      <c r="AL54" s="525">
        <f t="shared" si="110"/>
        <v>-0.04</v>
      </c>
      <c r="AM54" s="525">
        <f t="shared" si="110"/>
        <v>0</v>
      </c>
      <c r="AN54" s="525">
        <f t="shared" si="110"/>
        <v>-0.03</v>
      </c>
      <c r="AO54" s="525">
        <f t="shared" si="110"/>
        <v>0</v>
      </c>
      <c r="AP54" s="525">
        <f t="shared" si="110"/>
        <v>0</v>
      </c>
      <c r="AQ54" s="525">
        <f t="shared" si="110"/>
        <v>0</v>
      </c>
      <c r="AR54" s="525">
        <f t="shared" si="110"/>
        <v>-0.04</v>
      </c>
      <c r="AS54" s="525">
        <f t="shared" si="110"/>
        <v>-0.03</v>
      </c>
      <c r="AT54" s="41">
        <f t="shared" si="110"/>
        <v>-7.0000000000000007E-2</v>
      </c>
      <c r="AU54" s="532">
        <f t="shared" si="110"/>
        <v>12965733</v>
      </c>
      <c r="AV54" s="524">
        <f t="shared" si="110"/>
        <v>9401463</v>
      </c>
      <c r="AW54" s="524">
        <f t="shared" si="110"/>
        <v>0</v>
      </c>
      <c r="AX54" s="524">
        <f t="shared" si="110"/>
        <v>3177695</v>
      </c>
      <c r="AY54" s="524">
        <f t="shared" si="110"/>
        <v>188029</v>
      </c>
      <c r="AZ54" s="524">
        <f t="shared" si="110"/>
        <v>198546</v>
      </c>
      <c r="BA54" s="525">
        <f t="shared" si="110"/>
        <v>19.427000000000003</v>
      </c>
      <c r="BB54" s="525">
        <f t="shared" si="110"/>
        <v>13.4482</v>
      </c>
      <c r="BC54" s="41">
        <f t="shared" si="110"/>
        <v>5.9787999999999997</v>
      </c>
    </row>
    <row r="55" spans="1:55" x14ac:dyDescent="0.2">
      <c r="A55" s="216">
        <v>10</v>
      </c>
      <c r="B55" s="217">
        <v>3424</v>
      </c>
      <c r="C55" s="217">
        <v>650040384</v>
      </c>
      <c r="D55" s="217">
        <v>72744561</v>
      </c>
      <c r="E55" s="215" t="s">
        <v>103</v>
      </c>
      <c r="F55" s="217">
        <v>3111</v>
      </c>
      <c r="G55" s="218" t="s">
        <v>311</v>
      </c>
      <c r="H55" s="219" t="s">
        <v>277</v>
      </c>
      <c r="I55" s="477">
        <v>1429774</v>
      </c>
      <c r="J55" s="472">
        <v>1046225</v>
      </c>
      <c r="K55" s="472">
        <v>0</v>
      </c>
      <c r="L55" s="472">
        <v>353624</v>
      </c>
      <c r="M55" s="472">
        <v>20925</v>
      </c>
      <c r="N55" s="472">
        <v>9000</v>
      </c>
      <c r="O55" s="473">
        <v>2.4609000000000001</v>
      </c>
      <c r="P55" s="474">
        <v>2</v>
      </c>
      <c r="Q55" s="483">
        <v>0.46089999999999998</v>
      </c>
      <c r="R55" s="485">
        <f t="shared" ref="R55:R60" si="111">Y55*-1</f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ref="X55:X60" si="112">SUM(R55:W55)</f>
        <v>0</v>
      </c>
      <c r="Y55" s="475">
        <v>0</v>
      </c>
      <c r="Z55" s="475">
        <v>0</v>
      </c>
      <c r="AA55" s="475">
        <v>0</v>
      </c>
      <c r="AB55" s="475">
        <f t="shared" ref="AB55:AB60" si="113">SUM(Y55:AA55)</f>
        <v>0</v>
      </c>
      <c r="AC55" s="475">
        <f t="shared" ref="AC55:AC60" si="114">X55+AB55</f>
        <v>0</v>
      </c>
      <c r="AD55" s="70">
        <f t="shared" ref="AD55:AD60" si="115">ROUND((X55+Y55+Z55)*33.8%,0)</f>
        <v>0</v>
      </c>
      <c r="AE55" s="70">
        <f t="shared" ref="AE55:AE60" si="116">ROUND(X55*2%,0)</f>
        <v>0</v>
      </c>
      <c r="AF55" s="475">
        <v>0</v>
      </c>
      <c r="AG55" s="475">
        <v>0</v>
      </c>
      <c r="AH55" s="475">
        <f t="shared" ref="AH55:AH60" si="117">SUM(AF55:AG55)</f>
        <v>0</v>
      </c>
      <c r="AI55" s="475">
        <f t="shared" ref="AI55:AI60" si="118">AC55+AD55+AE55+AH55</f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 t="shared" ref="AR55:AR60" si="119">AJ55+AL55+AM55+AO55+AP55</f>
        <v>0</v>
      </c>
      <c r="AS55" s="476">
        <f t="shared" ref="AS55:AS60" si="120">AK55+AN55+AQ55</f>
        <v>0</v>
      </c>
      <c r="AT55" s="478">
        <f t="shared" ref="AT55:AT60" si="121">SUM(AR55:AS55)</f>
        <v>0</v>
      </c>
      <c r="AU55" s="484">
        <f t="shared" si="10"/>
        <v>1429774</v>
      </c>
      <c r="AV55" s="475">
        <f t="shared" si="11"/>
        <v>1046225</v>
      </c>
      <c r="AW55" s="475">
        <f t="shared" ref="AW55:AW60" si="122">K55+AB55</f>
        <v>0</v>
      </c>
      <c r="AX55" s="475">
        <f t="shared" ref="AX55:AY60" si="123">L55+AD55</f>
        <v>353624</v>
      </c>
      <c r="AY55" s="475">
        <f t="shared" si="123"/>
        <v>20925</v>
      </c>
      <c r="AZ55" s="475">
        <f t="shared" si="12"/>
        <v>9000</v>
      </c>
      <c r="BA55" s="476">
        <f t="shared" si="13"/>
        <v>2.4609000000000001</v>
      </c>
      <c r="BB55" s="476">
        <f t="shared" ref="BB55:BC60" si="124">P55+AR55</f>
        <v>2</v>
      </c>
      <c r="BC55" s="478">
        <f t="shared" si="124"/>
        <v>0.46089999999999998</v>
      </c>
    </row>
    <row r="56" spans="1:55" x14ac:dyDescent="0.2">
      <c r="A56" s="216">
        <v>10</v>
      </c>
      <c r="B56" s="217">
        <v>3424</v>
      </c>
      <c r="C56" s="217">
        <v>650040384</v>
      </c>
      <c r="D56" s="217">
        <v>72744561</v>
      </c>
      <c r="E56" s="215" t="s">
        <v>103</v>
      </c>
      <c r="F56" s="217">
        <v>3117</v>
      </c>
      <c r="G56" s="218" t="s">
        <v>314</v>
      </c>
      <c r="H56" s="219" t="s">
        <v>277</v>
      </c>
      <c r="I56" s="477">
        <v>2923386</v>
      </c>
      <c r="J56" s="472">
        <v>2075638</v>
      </c>
      <c r="K56" s="472">
        <v>45000</v>
      </c>
      <c r="L56" s="472">
        <v>716776</v>
      </c>
      <c r="M56" s="472">
        <v>41512</v>
      </c>
      <c r="N56" s="472">
        <v>44460</v>
      </c>
      <c r="O56" s="473">
        <v>4.0350999999999999</v>
      </c>
      <c r="P56" s="474">
        <v>2.7726999999999999</v>
      </c>
      <c r="Q56" s="483">
        <v>1.2623999999999997</v>
      </c>
      <c r="R56" s="485">
        <f t="shared" si="111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12"/>
        <v>0</v>
      </c>
      <c r="Y56" s="475">
        <v>0</v>
      </c>
      <c r="Z56" s="475">
        <v>0</v>
      </c>
      <c r="AA56" s="475">
        <v>0</v>
      </c>
      <c r="AB56" s="475">
        <f t="shared" si="113"/>
        <v>0</v>
      </c>
      <c r="AC56" s="475">
        <f t="shared" si="114"/>
        <v>0</v>
      </c>
      <c r="AD56" s="70">
        <f t="shared" si="115"/>
        <v>0</v>
      </c>
      <c r="AE56" s="70">
        <f t="shared" si="116"/>
        <v>0</v>
      </c>
      <c r="AF56" s="475">
        <v>0</v>
      </c>
      <c r="AG56" s="475">
        <v>0</v>
      </c>
      <c r="AH56" s="475">
        <f t="shared" si="117"/>
        <v>0</v>
      </c>
      <c r="AI56" s="475">
        <f t="shared" si="118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 t="shared" si="119"/>
        <v>0</v>
      </c>
      <c r="AS56" s="476">
        <f t="shared" si="120"/>
        <v>0</v>
      </c>
      <c r="AT56" s="478">
        <f t="shared" si="121"/>
        <v>0</v>
      </c>
      <c r="AU56" s="484">
        <f t="shared" si="10"/>
        <v>2923386</v>
      </c>
      <c r="AV56" s="475">
        <f t="shared" si="11"/>
        <v>2075638</v>
      </c>
      <c r="AW56" s="475">
        <f t="shared" si="122"/>
        <v>45000</v>
      </c>
      <c r="AX56" s="475">
        <f t="shared" si="123"/>
        <v>716776</v>
      </c>
      <c r="AY56" s="475">
        <f t="shared" si="123"/>
        <v>41512</v>
      </c>
      <c r="AZ56" s="475">
        <f t="shared" si="12"/>
        <v>44460</v>
      </c>
      <c r="BA56" s="476">
        <f t="shared" si="13"/>
        <v>4.0350999999999999</v>
      </c>
      <c r="BB56" s="476">
        <f t="shared" si="124"/>
        <v>2.7726999999999999</v>
      </c>
      <c r="BC56" s="478">
        <f t="shared" si="124"/>
        <v>1.2623999999999997</v>
      </c>
    </row>
    <row r="57" spans="1:55" x14ac:dyDescent="0.2">
      <c r="A57" s="216">
        <v>10</v>
      </c>
      <c r="B57" s="217">
        <v>3424</v>
      </c>
      <c r="C57" s="217">
        <v>650040384</v>
      </c>
      <c r="D57" s="217">
        <v>72744561</v>
      </c>
      <c r="E57" s="215" t="s">
        <v>103</v>
      </c>
      <c r="F57" s="217">
        <v>3117</v>
      </c>
      <c r="G57" s="218" t="s">
        <v>312</v>
      </c>
      <c r="H57" s="219" t="s">
        <v>278</v>
      </c>
      <c r="I57" s="477">
        <v>257018</v>
      </c>
      <c r="J57" s="472">
        <v>189262</v>
      </c>
      <c r="K57" s="472">
        <v>0</v>
      </c>
      <c r="L57" s="472">
        <v>63971</v>
      </c>
      <c r="M57" s="472">
        <v>3785</v>
      </c>
      <c r="N57" s="472">
        <v>0</v>
      </c>
      <c r="O57" s="473">
        <v>0.54</v>
      </c>
      <c r="P57" s="474">
        <v>0.54</v>
      </c>
      <c r="Q57" s="483">
        <v>0</v>
      </c>
      <c r="R57" s="485">
        <f t="shared" si="111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12"/>
        <v>0</v>
      </c>
      <c r="Y57" s="475">
        <v>0</v>
      </c>
      <c r="Z57" s="475">
        <v>0</v>
      </c>
      <c r="AA57" s="475">
        <v>0</v>
      </c>
      <c r="AB57" s="475">
        <f t="shared" si="113"/>
        <v>0</v>
      </c>
      <c r="AC57" s="475">
        <f t="shared" si="114"/>
        <v>0</v>
      </c>
      <c r="AD57" s="70">
        <f t="shared" si="115"/>
        <v>0</v>
      </c>
      <c r="AE57" s="70">
        <f t="shared" si="116"/>
        <v>0</v>
      </c>
      <c r="AF57" s="475">
        <v>0</v>
      </c>
      <c r="AG57" s="475">
        <v>0</v>
      </c>
      <c r="AH57" s="475">
        <f t="shared" si="117"/>
        <v>0</v>
      </c>
      <c r="AI57" s="475">
        <f t="shared" si="118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si="119"/>
        <v>0</v>
      </c>
      <c r="AS57" s="476">
        <f t="shared" si="120"/>
        <v>0</v>
      </c>
      <c r="AT57" s="478">
        <f t="shared" si="121"/>
        <v>0</v>
      </c>
      <c r="AU57" s="484">
        <f t="shared" si="10"/>
        <v>257018</v>
      </c>
      <c r="AV57" s="475">
        <f t="shared" si="11"/>
        <v>189262</v>
      </c>
      <c r="AW57" s="475">
        <f t="shared" si="122"/>
        <v>0</v>
      </c>
      <c r="AX57" s="475">
        <f t="shared" si="123"/>
        <v>63971</v>
      </c>
      <c r="AY57" s="475">
        <f t="shared" si="123"/>
        <v>3785</v>
      </c>
      <c r="AZ57" s="475">
        <f t="shared" si="12"/>
        <v>0</v>
      </c>
      <c r="BA57" s="476">
        <f t="shared" si="13"/>
        <v>0.54</v>
      </c>
      <c r="BB57" s="476">
        <f t="shared" si="124"/>
        <v>0.54</v>
      </c>
      <c r="BC57" s="478">
        <f t="shared" si="124"/>
        <v>0</v>
      </c>
    </row>
    <row r="58" spans="1:55" x14ac:dyDescent="0.2">
      <c r="A58" s="216">
        <v>10</v>
      </c>
      <c r="B58" s="217">
        <v>3424</v>
      </c>
      <c r="C58" s="217">
        <v>650040384</v>
      </c>
      <c r="D58" s="217">
        <v>72744561</v>
      </c>
      <c r="E58" s="215" t="s">
        <v>103</v>
      </c>
      <c r="F58" s="217">
        <v>3141</v>
      </c>
      <c r="G58" s="218" t="s">
        <v>315</v>
      </c>
      <c r="H58" s="219" t="s">
        <v>278</v>
      </c>
      <c r="I58" s="477">
        <v>680093</v>
      </c>
      <c r="J58" s="472">
        <v>498453</v>
      </c>
      <c r="K58" s="472">
        <v>0</v>
      </c>
      <c r="L58" s="472">
        <v>168477</v>
      </c>
      <c r="M58" s="472">
        <v>9969</v>
      </c>
      <c r="N58" s="472">
        <v>3194</v>
      </c>
      <c r="O58" s="473">
        <v>1.57</v>
      </c>
      <c r="P58" s="474">
        <v>0</v>
      </c>
      <c r="Q58" s="483">
        <v>1.57</v>
      </c>
      <c r="R58" s="485">
        <f t="shared" si="111"/>
        <v>0</v>
      </c>
      <c r="S58" s="475">
        <v>0</v>
      </c>
      <c r="T58" s="475">
        <v>-894</v>
      </c>
      <c r="U58" s="475">
        <v>0</v>
      </c>
      <c r="V58" s="475">
        <v>0</v>
      </c>
      <c r="W58" s="475">
        <v>0</v>
      </c>
      <c r="X58" s="475">
        <f t="shared" si="112"/>
        <v>-894</v>
      </c>
      <c r="Y58" s="475">
        <v>0</v>
      </c>
      <c r="Z58" s="475">
        <v>0</v>
      </c>
      <c r="AA58" s="475">
        <v>0</v>
      </c>
      <c r="AB58" s="475">
        <f t="shared" si="113"/>
        <v>0</v>
      </c>
      <c r="AC58" s="475">
        <f t="shared" si="114"/>
        <v>-894</v>
      </c>
      <c r="AD58" s="70">
        <f t="shared" si="115"/>
        <v>-302</v>
      </c>
      <c r="AE58" s="70">
        <f t="shared" si="116"/>
        <v>-18</v>
      </c>
      <c r="AF58" s="475">
        <v>0</v>
      </c>
      <c r="AG58" s="475">
        <v>0</v>
      </c>
      <c r="AH58" s="475">
        <f t="shared" si="117"/>
        <v>0</v>
      </c>
      <c r="AI58" s="475">
        <f t="shared" si="118"/>
        <v>-1214</v>
      </c>
      <c r="AJ58" s="476">
        <v>0</v>
      </c>
      <c r="AK58" s="476">
        <v>0</v>
      </c>
      <c r="AL58" s="476">
        <v>0</v>
      </c>
      <c r="AM58" s="476">
        <v>0</v>
      </c>
      <c r="AN58" s="476">
        <v>-0.01</v>
      </c>
      <c r="AO58" s="476">
        <v>0</v>
      </c>
      <c r="AP58" s="476">
        <v>0</v>
      </c>
      <c r="AQ58" s="476">
        <v>0</v>
      </c>
      <c r="AR58" s="476">
        <f t="shared" si="119"/>
        <v>0</v>
      </c>
      <c r="AS58" s="476">
        <f t="shared" si="120"/>
        <v>-0.01</v>
      </c>
      <c r="AT58" s="478">
        <f t="shared" si="121"/>
        <v>-0.01</v>
      </c>
      <c r="AU58" s="484">
        <f t="shared" si="10"/>
        <v>678879</v>
      </c>
      <c r="AV58" s="475">
        <f t="shared" si="11"/>
        <v>497559</v>
      </c>
      <c r="AW58" s="475">
        <f t="shared" si="122"/>
        <v>0</v>
      </c>
      <c r="AX58" s="475">
        <f t="shared" si="123"/>
        <v>168175</v>
      </c>
      <c r="AY58" s="475">
        <f t="shared" si="123"/>
        <v>9951</v>
      </c>
      <c r="AZ58" s="475">
        <f t="shared" si="12"/>
        <v>3194</v>
      </c>
      <c r="BA58" s="476">
        <f t="shared" si="13"/>
        <v>1.56</v>
      </c>
      <c r="BB58" s="476">
        <f t="shared" si="124"/>
        <v>0</v>
      </c>
      <c r="BC58" s="478">
        <f t="shared" si="124"/>
        <v>1.56</v>
      </c>
    </row>
    <row r="59" spans="1:55" x14ac:dyDescent="0.2">
      <c r="A59" s="216">
        <v>10</v>
      </c>
      <c r="B59" s="217">
        <v>3424</v>
      </c>
      <c r="C59" s="217">
        <v>650040384</v>
      </c>
      <c r="D59" s="217">
        <v>72744561</v>
      </c>
      <c r="E59" s="215" t="s">
        <v>103</v>
      </c>
      <c r="F59" s="217">
        <v>3143</v>
      </c>
      <c r="G59" s="218" t="s">
        <v>626</v>
      </c>
      <c r="H59" s="239" t="s">
        <v>277</v>
      </c>
      <c r="I59" s="477">
        <v>595149</v>
      </c>
      <c r="J59" s="472">
        <v>438254</v>
      </c>
      <c r="K59" s="472">
        <v>0</v>
      </c>
      <c r="L59" s="472">
        <v>148130</v>
      </c>
      <c r="M59" s="472">
        <v>8765</v>
      </c>
      <c r="N59" s="472">
        <v>0</v>
      </c>
      <c r="O59" s="473">
        <v>0.86199999999999999</v>
      </c>
      <c r="P59" s="474">
        <v>0.86199999999999999</v>
      </c>
      <c r="Q59" s="483">
        <v>0</v>
      </c>
      <c r="R59" s="485">
        <f t="shared" si="111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12"/>
        <v>0</v>
      </c>
      <c r="Y59" s="475">
        <v>0</v>
      </c>
      <c r="Z59" s="475">
        <v>0</v>
      </c>
      <c r="AA59" s="475">
        <v>0</v>
      </c>
      <c r="AB59" s="475">
        <f t="shared" si="113"/>
        <v>0</v>
      </c>
      <c r="AC59" s="475">
        <f t="shared" si="114"/>
        <v>0</v>
      </c>
      <c r="AD59" s="70">
        <f t="shared" si="115"/>
        <v>0</v>
      </c>
      <c r="AE59" s="70">
        <f t="shared" si="116"/>
        <v>0</v>
      </c>
      <c r="AF59" s="475">
        <v>0</v>
      </c>
      <c r="AG59" s="475">
        <v>0</v>
      </c>
      <c r="AH59" s="475">
        <f t="shared" si="117"/>
        <v>0</v>
      </c>
      <c r="AI59" s="475">
        <f t="shared" si="118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19"/>
        <v>0</v>
      </c>
      <c r="AS59" s="476">
        <f t="shared" si="120"/>
        <v>0</v>
      </c>
      <c r="AT59" s="478">
        <f t="shared" si="121"/>
        <v>0</v>
      </c>
      <c r="AU59" s="484">
        <f t="shared" si="10"/>
        <v>595149</v>
      </c>
      <c r="AV59" s="475">
        <f t="shared" si="11"/>
        <v>438254</v>
      </c>
      <c r="AW59" s="475">
        <f t="shared" si="122"/>
        <v>0</v>
      </c>
      <c r="AX59" s="475">
        <f t="shared" si="123"/>
        <v>148130</v>
      </c>
      <c r="AY59" s="475">
        <f t="shared" si="123"/>
        <v>8765</v>
      </c>
      <c r="AZ59" s="475">
        <f t="shared" si="12"/>
        <v>0</v>
      </c>
      <c r="BA59" s="476">
        <f t="shared" si="13"/>
        <v>0.86199999999999999</v>
      </c>
      <c r="BB59" s="476">
        <f t="shared" si="124"/>
        <v>0.86199999999999999</v>
      </c>
      <c r="BC59" s="478">
        <f t="shared" si="124"/>
        <v>0</v>
      </c>
    </row>
    <row r="60" spans="1:55" x14ac:dyDescent="0.2">
      <c r="A60" s="216">
        <v>10</v>
      </c>
      <c r="B60" s="217">
        <v>3424</v>
      </c>
      <c r="C60" s="217">
        <v>650040384</v>
      </c>
      <c r="D60" s="217">
        <v>72744561</v>
      </c>
      <c r="E60" s="215" t="s">
        <v>103</v>
      </c>
      <c r="F60" s="217">
        <v>3143</v>
      </c>
      <c r="G60" s="218" t="s">
        <v>627</v>
      </c>
      <c r="H60" s="239" t="s">
        <v>278</v>
      </c>
      <c r="I60" s="477">
        <v>17388</v>
      </c>
      <c r="J60" s="472">
        <v>12296</v>
      </c>
      <c r="K60" s="472">
        <v>0</v>
      </c>
      <c r="L60" s="472">
        <v>4156</v>
      </c>
      <c r="M60" s="472">
        <v>246</v>
      </c>
      <c r="N60" s="472">
        <v>690</v>
      </c>
      <c r="O60" s="473">
        <v>0.05</v>
      </c>
      <c r="P60" s="474">
        <v>0</v>
      </c>
      <c r="Q60" s="483">
        <v>0.05</v>
      </c>
      <c r="R60" s="485">
        <f t="shared" si="111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12"/>
        <v>0</v>
      </c>
      <c r="Y60" s="475">
        <v>0</v>
      </c>
      <c r="Z60" s="475">
        <v>0</v>
      </c>
      <c r="AA60" s="475">
        <v>0</v>
      </c>
      <c r="AB60" s="475">
        <f t="shared" si="113"/>
        <v>0</v>
      </c>
      <c r="AC60" s="475">
        <f t="shared" si="114"/>
        <v>0</v>
      </c>
      <c r="AD60" s="70">
        <f t="shared" si="115"/>
        <v>0</v>
      </c>
      <c r="AE60" s="70">
        <f t="shared" si="116"/>
        <v>0</v>
      </c>
      <c r="AF60" s="475">
        <v>0</v>
      </c>
      <c r="AG60" s="475">
        <v>0</v>
      </c>
      <c r="AH60" s="475">
        <f t="shared" si="117"/>
        <v>0</v>
      </c>
      <c r="AI60" s="475">
        <f t="shared" si="118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19"/>
        <v>0</v>
      </c>
      <c r="AS60" s="476">
        <f t="shared" si="120"/>
        <v>0</v>
      </c>
      <c r="AT60" s="478">
        <f t="shared" si="121"/>
        <v>0</v>
      </c>
      <c r="AU60" s="484">
        <f t="shared" si="10"/>
        <v>17388</v>
      </c>
      <c r="AV60" s="475">
        <f t="shared" si="11"/>
        <v>12296</v>
      </c>
      <c r="AW60" s="475">
        <f t="shared" si="122"/>
        <v>0</v>
      </c>
      <c r="AX60" s="475">
        <f t="shared" si="123"/>
        <v>4156</v>
      </c>
      <c r="AY60" s="475">
        <f t="shared" si="123"/>
        <v>246</v>
      </c>
      <c r="AZ60" s="475">
        <f t="shared" si="12"/>
        <v>690</v>
      </c>
      <c r="BA60" s="476">
        <f t="shared" si="13"/>
        <v>0.05</v>
      </c>
      <c r="BB60" s="476">
        <f t="shared" si="124"/>
        <v>0</v>
      </c>
      <c r="BC60" s="478">
        <f t="shared" si="124"/>
        <v>0.05</v>
      </c>
    </row>
    <row r="61" spans="1:55" x14ac:dyDescent="0.2">
      <c r="A61" s="162">
        <v>10</v>
      </c>
      <c r="B61" s="18">
        <v>3424</v>
      </c>
      <c r="C61" s="18">
        <v>650040384</v>
      </c>
      <c r="D61" s="18">
        <v>72744561</v>
      </c>
      <c r="E61" s="171" t="s">
        <v>104</v>
      </c>
      <c r="F61" s="18"/>
      <c r="G61" s="161"/>
      <c r="H61" s="195"/>
      <c r="I61" s="528">
        <v>5902808</v>
      </c>
      <c r="J61" s="524">
        <v>4260128</v>
      </c>
      <c r="K61" s="524">
        <v>45000</v>
      </c>
      <c r="L61" s="524">
        <v>1455134</v>
      </c>
      <c r="M61" s="524">
        <v>85202</v>
      </c>
      <c r="N61" s="524">
        <v>57344</v>
      </c>
      <c r="O61" s="525">
        <v>9.5180000000000007</v>
      </c>
      <c r="P61" s="525">
        <v>6.1747000000000005</v>
      </c>
      <c r="Q61" s="530">
        <v>3.3432999999999993</v>
      </c>
      <c r="R61" s="528">
        <f t="shared" ref="R61:BC61" si="125">SUM(R55:R60)</f>
        <v>0</v>
      </c>
      <c r="S61" s="524">
        <f t="shared" si="125"/>
        <v>0</v>
      </c>
      <c r="T61" s="524">
        <f t="shared" si="125"/>
        <v>-894</v>
      </c>
      <c r="U61" s="524">
        <f t="shared" si="125"/>
        <v>0</v>
      </c>
      <c r="V61" s="524">
        <f t="shared" si="125"/>
        <v>0</v>
      </c>
      <c r="W61" s="524">
        <f t="shared" si="125"/>
        <v>0</v>
      </c>
      <c r="X61" s="524">
        <f t="shared" si="125"/>
        <v>-894</v>
      </c>
      <c r="Y61" s="524">
        <f t="shared" si="125"/>
        <v>0</v>
      </c>
      <c r="Z61" s="524">
        <f t="shared" si="125"/>
        <v>0</v>
      </c>
      <c r="AA61" s="524">
        <f t="shared" si="125"/>
        <v>0</v>
      </c>
      <c r="AB61" s="524">
        <f t="shared" si="125"/>
        <v>0</v>
      </c>
      <c r="AC61" s="524">
        <f t="shared" si="125"/>
        <v>-894</v>
      </c>
      <c r="AD61" s="524">
        <f t="shared" si="125"/>
        <v>-302</v>
      </c>
      <c r="AE61" s="524">
        <f t="shared" si="125"/>
        <v>-18</v>
      </c>
      <c r="AF61" s="524">
        <f t="shared" si="125"/>
        <v>0</v>
      </c>
      <c r="AG61" s="524">
        <f t="shared" si="125"/>
        <v>0</v>
      </c>
      <c r="AH61" s="524">
        <f t="shared" si="125"/>
        <v>0</v>
      </c>
      <c r="AI61" s="524">
        <f t="shared" si="125"/>
        <v>-1214</v>
      </c>
      <c r="AJ61" s="525">
        <f t="shared" si="125"/>
        <v>0</v>
      </c>
      <c r="AK61" s="525">
        <f t="shared" si="125"/>
        <v>0</v>
      </c>
      <c r="AL61" s="525">
        <f t="shared" si="125"/>
        <v>0</v>
      </c>
      <c r="AM61" s="525">
        <f t="shared" si="125"/>
        <v>0</v>
      </c>
      <c r="AN61" s="525">
        <f t="shared" si="125"/>
        <v>-0.01</v>
      </c>
      <c r="AO61" s="525">
        <f t="shared" si="125"/>
        <v>0</v>
      </c>
      <c r="AP61" s="525">
        <f t="shared" si="125"/>
        <v>0</v>
      </c>
      <c r="AQ61" s="525">
        <f t="shared" si="125"/>
        <v>0</v>
      </c>
      <c r="AR61" s="525">
        <f t="shared" si="125"/>
        <v>0</v>
      </c>
      <c r="AS61" s="525">
        <f t="shared" si="125"/>
        <v>-0.01</v>
      </c>
      <c r="AT61" s="41">
        <f t="shared" si="125"/>
        <v>-0.01</v>
      </c>
      <c r="AU61" s="532">
        <f t="shared" si="125"/>
        <v>5901594</v>
      </c>
      <c r="AV61" s="524">
        <f t="shared" si="125"/>
        <v>4259234</v>
      </c>
      <c r="AW61" s="524">
        <f t="shared" si="125"/>
        <v>45000</v>
      </c>
      <c r="AX61" s="524">
        <f t="shared" si="125"/>
        <v>1454832</v>
      </c>
      <c r="AY61" s="524">
        <f t="shared" si="125"/>
        <v>85184</v>
      </c>
      <c r="AZ61" s="524">
        <f t="shared" si="125"/>
        <v>57344</v>
      </c>
      <c r="BA61" s="525">
        <f t="shared" si="125"/>
        <v>9.5080000000000009</v>
      </c>
      <c r="BB61" s="525">
        <f t="shared" si="125"/>
        <v>6.1747000000000005</v>
      </c>
      <c r="BC61" s="41">
        <f t="shared" si="125"/>
        <v>3.3332999999999995</v>
      </c>
    </row>
    <row r="62" spans="1:55" x14ac:dyDescent="0.2">
      <c r="A62" s="216">
        <v>11</v>
      </c>
      <c r="B62" s="217">
        <v>3430</v>
      </c>
      <c r="C62" s="217">
        <v>600078183</v>
      </c>
      <c r="D62" s="217">
        <v>72744405</v>
      </c>
      <c r="E62" s="215" t="s">
        <v>105</v>
      </c>
      <c r="F62" s="217">
        <v>3111</v>
      </c>
      <c r="G62" s="218" t="s">
        <v>311</v>
      </c>
      <c r="H62" s="219" t="s">
        <v>277</v>
      </c>
      <c r="I62" s="477">
        <v>3638832</v>
      </c>
      <c r="J62" s="472">
        <v>2643610</v>
      </c>
      <c r="K62" s="472">
        <v>20000</v>
      </c>
      <c r="L62" s="472">
        <v>900300</v>
      </c>
      <c r="M62" s="472">
        <v>52872</v>
      </c>
      <c r="N62" s="472">
        <v>22050</v>
      </c>
      <c r="O62" s="473">
        <v>5.3997999999999999</v>
      </c>
      <c r="P62" s="474">
        <v>4</v>
      </c>
      <c r="Q62" s="483">
        <v>1.3997999999999999</v>
      </c>
      <c r="R62" s="485">
        <f t="shared" ref="R62:R64" si="126">Y62*-1</f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>SUM(R62:W62)</f>
        <v>0</v>
      </c>
      <c r="Y62" s="475">
        <v>0</v>
      </c>
      <c r="Z62" s="475">
        <v>0</v>
      </c>
      <c r="AA62" s="475">
        <v>0</v>
      </c>
      <c r="AB62" s="475">
        <f t="shared" ref="AB62:AB64" si="127">SUM(Y62:AA62)</f>
        <v>0</v>
      </c>
      <c r="AC62" s="475">
        <f t="shared" ref="AC62:AC64" si="128">X62+AB62</f>
        <v>0</v>
      </c>
      <c r="AD62" s="70">
        <f t="shared" ref="AD62:AD64" si="129">ROUND((X62+Y62+Z62)*33.8%,0)</f>
        <v>0</v>
      </c>
      <c r="AE62" s="70">
        <f t="shared" ref="AE62:AE64" si="130">ROUND(X62*2%,0)</f>
        <v>0</v>
      </c>
      <c r="AF62" s="475">
        <v>0</v>
      </c>
      <c r="AG62" s="475">
        <v>0</v>
      </c>
      <c r="AH62" s="475">
        <f t="shared" ref="AH62:AH64" si="131">SUM(AF62:AG62)</f>
        <v>0</v>
      </c>
      <c r="AI62" s="475">
        <f t="shared" ref="AI62:AI64" si="132">AC62+AD62+AE62+AH62</f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ref="AT62:AT64" si="133">SUM(AR62:AS62)</f>
        <v>0</v>
      </c>
      <c r="AU62" s="484">
        <f t="shared" si="10"/>
        <v>3638832</v>
      </c>
      <c r="AV62" s="475">
        <f t="shared" si="11"/>
        <v>2643610</v>
      </c>
      <c r="AW62" s="475">
        <f t="shared" ref="AW62:AW64" si="134">K62+AB62</f>
        <v>20000</v>
      </c>
      <c r="AX62" s="475">
        <f t="shared" ref="AX62:AY64" si="135">L62+AD62</f>
        <v>900300</v>
      </c>
      <c r="AY62" s="475">
        <f t="shared" si="135"/>
        <v>52872</v>
      </c>
      <c r="AZ62" s="475">
        <f t="shared" si="12"/>
        <v>22050</v>
      </c>
      <c r="BA62" s="476">
        <f t="shared" si="13"/>
        <v>5.3997999999999999</v>
      </c>
      <c r="BB62" s="476">
        <f t="shared" ref="BB62:BC64" si="136">P62+AR62</f>
        <v>4</v>
      </c>
      <c r="BC62" s="478">
        <f t="shared" si="136"/>
        <v>1.3997999999999999</v>
      </c>
    </row>
    <row r="63" spans="1:55" x14ac:dyDescent="0.2">
      <c r="A63" s="216">
        <v>11</v>
      </c>
      <c r="B63" s="217">
        <v>3430</v>
      </c>
      <c r="C63" s="217">
        <v>600078183</v>
      </c>
      <c r="D63" s="217">
        <v>72744405</v>
      </c>
      <c r="E63" s="215" t="s">
        <v>105</v>
      </c>
      <c r="F63" s="217">
        <v>3111</v>
      </c>
      <c r="G63" s="218" t="s">
        <v>312</v>
      </c>
      <c r="H63" s="219" t="s">
        <v>278</v>
      </c>
      <c r="I63" s="477">
        <v>488763</v>
      </c>
      <c r="J63" s="472">
        <v>359914</v>
      </c>
      <c r="K63" s="472">
        <v>0</v>
      </c>
      <c r="L63" s="472">
        <v>121651</v>
      </c>
      <c r="M63" s="472">
        <v>7198</v>
      </c>
      <c r="N63" s="472">
        <v>0</v>
      </c>
      <c r="O63" s="473">
        <v>1.0900000000000001</v>
      </c>
      <c r="P63" s="474">
        <v>1.0900000000000001</v>
      </c>
      <c r="Q63" s="483">
        <v>0</v>
      </c>
      <c r="R63" s="485">
        <f t="shared" si="126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>SUM(R63:W63)</f>
        <v>0</v>
      </c>
      <c r="Y63" s="475">
        <v>0</v>
      </c>
      <c r="Z63" s="475">
        <v>0</v>
      </c>
      <c r="AA63" s="475">
        <v>0</v>
      </c>
      <c r="AB63" s="475">
        <f t="shared" si="127"/>
        <v>0</v>
      </c>
      <c r="AC63" s="475">
        <f t="shared" si="128"/>
        <v>0</v>
      </c>
      <c r="AD63" s="70">
        <f t="shared" si="129"/>
        <v>0</v>
      </c>
      <c r="AE63" s="70">
        <f t="shared" si="130"/>
        <v>0</v>
      </c>
      <c r="AF63" s="475">
        <v>0</v>
      </c>
      <c r="AG63" s="475">
        <v>0</v>
      </c>
      <c r="AH63" s="475">
        <f t="shared" si="131"/>
        <v>0</v>
      </c>
      <c r="AI63" s="475">
        <f t="shared" si="132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>AJ63+AL63+AM63+AO63+AP63</f>
        <v>0</v>
      </c>
      <c r="AS63" s="476">
        <f>AK63+AN63+AQ63</f>
        <v>0</v>
      </c>
      <c r="AT63" s="478">
        <f t="shared" si="133"/>
        <v>0</v>
      </c>
      <c r="AU63" s="484">
        <f t="shared" si="10"/>
        <v>488763</v>
      </c>
      <c r="AV63" s="475">
        <f t="shared" si="11"/>
        <v>359914</v>
      </c>
      <c r="AW63" s="475">
        <f t="shared" si="134"/>
        <v>0</v>
      </c>
      <c r="AX63" s="475">
        <f t="shared" si="135"/>
        <v>121651</v>
      </c>
      <c r="AY63" s="475">
        <f t="shared" si="135"/>
        <v>7198</v>
      </c>
      <c r="AZ63" s="475">
        <f t="shared" si="12"/>
        <v>0</v>
      </c>
      <c r="BA63" s="476">
        <f t="shared" si="13"/>
        <v>1.0900000000000001</v>
      </c>
      <c r="BB63" s="476">
        <f t="shared" si="136"/>
        <v>1.0900000000000001</v>
      </c>
      <c r="BC63" s="478">
        <f t="shared" si="136"/>
        <v>0</v>
      </c>
    </row>
    <row r="64" spans="1:55" x14ac:dyDescent="0.2">
      <c r="A64" s="216">
        <v>11</v>
      </c>
      <c r="B64" s="217">
        <v>3430</v>
      </c>
      <c r="C64" s="217">
        <v>600078183</v>
      </c>
      <c r="D64" s="217">
        <v>72744405</v>
      </c>
      <c r="E64" s="215" t="s">
        <v>105</v>
      </c>
      <c r="F64" s="217">
        <v>3141</v>
      </c>
      <c r="G64" s="218" t="s">
        <v>315</v>
      </c>
      <c r="H64" s="219" t="s">
        <v>278</v>
      </c>
      <c r="I64" s="477">
        <v>678279</v>
      </c>
      <c r="J64" s="472">
        <v>497376</v>
      </c>
      <c r="K64" s="472">
        <v>0</v>
      </c>
      <c r="L64" s="472">
        <v>168113</v>
      </c>
      <c r="M64" s="472">
        <v>9948</v>
      </c>
      <c r="N64" s="472">
        <v>2842</v>
      </c>
      <c r="O64" s="473">
        <v>1.57</v>
      </c>
      <c r="P64" s="474">
        <v>0</v>
      </c>
      <c r="Q64" s="483">
        <v>1.57</v>
      </c>
      <c r="R64" s="485">
        <f t="shared" si="126"/>
        <v>0</v>
      </c>
      <c r="S64" s="475">
        <v>0</v>
      </c>
      <c r="T64" s="475">
        <v>-2323</v>
      </c>
      <c r="U64" s="475">
        <v>0</v>
      </c>
      <c r="V64" s="475">
        <v>0</v>
      </c>
      <c r="W64" s="475">
        <v>0</v>
      </c>
      <c r="X64" s="475">
        <f>SUM(R64:W64)</f>
        <v>-2323</v>
      </c>
      <c r="Y64" s="475">
        <v>0</v>
      </c>
      <c r="Z64" s="475">
        <v>0</v>
      </c>
      <c r="AA64" s="475">
        <v>0</v>
      </c>
      <c r="AB64" s="475">
        <f t="shared" si="127"/>
        <v>0</v>
      </c>
      <c r="AC64" s="475">
        <f t="shared" si="128"/>
        <v>-2323</v>
      </c>
      <c r="AD64" s="70">
        <f t="shared" si="129"/>
        <v>-785</v>
      </c>
      <c r="AE64" s="70">
        <f t="shared" si="130"/>
        <v>-46</v>
      </c>
      <c r="AF64" s="475">
        <v>0</v>
      </c>
      <c r="AG64" s="475">
        <v>0</v>
      </c>
      <c r="AH64" s="475">
        <f t="shared" si="131"/>
        <v>0</v>
      </c>
      <c r="AI64" s="475">
        <f t="shared" si="132"/>
        <v>-3154</v>
      </c>
      <c r="AJ64" s="476">
        <v>0</v>
      </c>
      <c r="AK64" s="476">
        <v>0</v>
      </c>
      <c r="AL64" s="476">
        <v>0</v>
      </c>
      <c r="AM64" s="476">
        <v>0</v>
      </c>
      <c r="AN64" s="476">
        <v>-0.01</v>
      </c>
      <c r="AO64" s="476">
        <v>0</v>
      </c>
      <c r="AP64" s="476">
        <v>0</v>
      </c>
      <c r="AQ64" s="476">
        <v>0</v>
      </c>
      <c r="AR64" s="476">
        <f>AJ64+AL64+AM64+AO64+AP64</f>
        <v>0</v>
      </c>
      <c r="AS64" s="476">
        <f>AK64+AN64+AQ64</f>
        <v>-0.01</v>
      </c>
      <c r="AT64" s="478">
        <f t="shared" si="133"/>
        <v>-0.01</v>
      </c>
      <c r="AU64" s="484">
        <f t="shared" si="10"/>
        <v>675125</v>
      </c>
      <c r="AV64" s="475">
        <f t="shared" si="11"/>
        <v>495053</v>
      </c>
      <c r="AW64" s="475">
        <f t="shared" si="134"/>
        <v>0</v>
      </c>
      <c r="AX64" s="475">
        <f t="shared" si="135"/>
        <v>167328</v>
      </c>
      <c r="AY64" s="475">
        <f t="shared" si="135"/>
        <v>9902</v>
      </c>
      <c r="AZ64" s="475">
        <f t="shared" si="12"/>
        <v>2842</v>
      </c>
      <c r="BA64" s="476">
        <f t="shared" si="13"/>
        <v>1.56</v>
      </c>
      <c r="BB64" s="476">
        <f t="shared" si="136"/>
        <v>0</v>
      </c>
      <c r="BC64" s="478">
        <f t="shared" si="136"/>
        <v>1.56</v>
      </c>
    </row>
    <row r="65" spans="1:55" x14ac:dyDescent="0.2">
      <c r="A65" s="162">
        <v>11</v>
      </c>
      <c r="B65" s="18">
        <v>3430</v>
      </c>
      <c r="C65" s="18">
        <v>600078183</v>
      </c>
      <c r="D65" s="18">
        <v>72744405</v>
      </c>
      <c r="E65" s="171" t="s">
        <v>106</v>
      </c>
      <c r="F65" s="18"/>
      <c r="G65" s="161"/>
      <c r="H65" s="195"/>
      <c r="I65" s="528">
        <v>4805874</v>
      </c>
      <c r="J65" s="524">
        <v>3500900</v>
      </c>
      <c r="K65" s="524">
        <v>20000</v>
      </c>
      <c r="L65" s="524">
        <v>1190064</v>
      </c>
      <c r="M65" s="524">
        <v>70018</v>
      </c>
      <c r="N65" s="524">
        <v>24892</v>
      </c>
      <c r="O65" s="525">
        <v>8.0597999999999992</v>
      </c>
      <c r="P65" s="525">
        <v>5.09</v>
      </c>
      <c r="Q65" s="530">
        <v>2.9698000000000002</v>
      </c>
      <c r="R65" s="528">
        <f t="shared" ref="R65:BC65" si="137">SUM(R62:R64)</f>
        <v>0</v>
      </c>
      <c r="S65" s="524">
        <f t="shared" si="137"/>
        <v>0</v>
      </c>
      <c r="T65" s="524">
        <f t="shared" si="137"/>
        <v>-2323</v>
      </c>
      <c r="U65" s="524">
        <f t="shared" si="137"/>
        <v>0</v>
      </c>
      <c r="V65" s="524">
        <f t="shared" si="137"/>
        <v>0</v>
      </c>
      <c r="W65" s="524">
        <f t="shared" si="137"/>
        <v>0</v>
      </c>
      <c r="X65" s="524">
        <f t="shared" si="137"/>
        <v>-2323</v>
      </c>
      <c r="Y65" s="524">
        <f t="shared" si="137"/>
        <v>0</v>
      </c>
      <c r="Z65" s="524">
        <f t="shared" si="137"/>
        <v>0</v>
      </c>
      <c r="AA65" s="524">
        <f t="shared" si="137"/>
        <v>0</v>
      </c>
      <c r="AB65" s="524">
        <f t="shared" si="137"/>
        <v>0</v>
      </c>
      <c r="AC65" s="524">
        <f t="shared" si="137"/>
        <v>-2323</v>
      </c>
      <c r="AD65" s="524">
        <f t="shared" si="137"/>
        <v>-785</v>
      </c>
      <c r="AE65" s="524">
        <f t="shared" si="137"/>
        <v>-46</v>
      </c>
      <c r="AF65" s="524">
        <f t="shared" si="137"/>
        <v>0</v>
      </c>
      <c r="AG65" s="524">
        <f t="shared" si="137"/>
        <v>0</v>
      </c>
      <c r="AH65" s="524">
        <f t="shared" si="137"/>
        <v>0</v>
      </c>
      <c r="AI65" s="524">
        <f t="shared" si="137"/>
        <v>-3154</v>
      </c>
      <c r="AJ65" s="525">
        <f t="shared" si="137"/>
        <v>0</v>
      </c>
      <c r="AK65" s="525">
        <f t="shared" si="137"/>
        <v>0</v>
      </c>
      <c r="AL65" s="525">
        <f t="shared" si="137"/>
        <v>0</v>
      </c>
      <c r="AM65" s="525">
        <f t="shared" si="137"/>
        <v>0</v>
      </c>
      <c r="AN65" s="525">
        <f t="shared" si="137"/>
        <v>-0.01</v>
      </c>
      <c r="AO65" s="525">
        <f t="shared" si="137"/>
        <v>0</v>
      </c>
      <c r="AP65" s="525">
        <f t="shared" si="137"/>
        <v>0</v>
      </c>
      <c r="AQ65" s="525">
        <f t="shared" si="137"/>
        <v>0</v>
      </c>
      <c r="AR65" s="525">
        <f t="shared" si="137"/>
        <v>0</v>
      </c>
      <c r="AS65" s="525">
        <f t="shared" si="137"/>
        <v>-0.01</v>
      </c>
      <c r="AT65" s="41">
        <f t="shared" si="137"/>
        <v>-0.01</v>
      </c>
      <c r="AU65" s="532">
        <f t="shared" si="137"/>
        <v>4802720</v>
      </c>
      <c r="AV65" s="524">
        <f t="shared" si="137"/>
        <v>3498577</v>
      </c>
      <c r="AW65" s="524">
        <f t="shared" si="137"/>
        <v>20000</v>
      </c>
      <c r="AX65" s="524">
        <f t="shared" si="137"/>
        <v>1189279</v>
      </c>
      <c r="AY65" s="524">
        <f t="shared" si="137"/>
        <v>69972</v>
      </c>
      <c r="AZ65" s="524">
        <f t="shared" si="137"/>
        <v>24892</v>
      </c>
      <c r="BA65" s="525">
        <f t="shared" si="137"/>
        <v>8.0497999999999994</v>
      </c>
      <c r="BB65" s="525">
        <f t="shared" si="137"/>
        <v>5.09</v>
      </c>
      <c r="BC65" s="41">
        <f t="shared" si="137"/>
        <v>2.9598</v>
      </c>
    </row>
    <row r="66" spans="1:55" x14ac:dyDescent="0.2">
      <c r="A66" s="216">
        <v>12</v>
      </c>
      <c r="B66" s="217">
        <v>3431</v>
      </c>
      <c r="C66" s="217">
        <v>600078370</v>
      </c>
      <c r="D66" s="217">
        <v>72744162</v>
      </c>
      <c r="E66" s="215" t="s">
        <v>107</v>
      </c>
      <c r="F66" s="217">
        <v>3117</v>
      </c>
      <c r="G66" s="218" t="s">
        <v>314</v>
      </c>
      <c r="H66" s="219" t="s">
        <v>277</v>
      </c>
      <c r="I66" s="477">
        <v>3953081</v>
      </c>
      <c r="J66" s="472">
        <v>2783672</v>
      </c>
      <c r="K66" s="472">
        <v>70400</v>
      </c>
      <c r="L66" s="472">
        <v>964676</v>
      </c>
      <c r="M66" s="472">
        <v>55673</v>
      </c>
      <c r="N66" s="472">
        <v>78660</v>
      </c>
      <c r="O66" s="473">
        <v>5.0234000000000005</v>
      </c>
      <c r="P66" s="474">
        <v>3.9191000000000003</v>
      </c>
      <c r="Q66" s="483">
        <v>1.1042999999999998</v>
      </c>
      <c r="R66" s="485">
        <f t="shared" ref="R66:R70" si="138">Y66*-1</f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ref="AB66:AB70" si="139">SUM(Y66:AA66)</f>
        <v>0</v>
      </c>
      <c r="AC66" s="475">
        <f t="shared" ref="AC66:AC70" si="140">X66+AB66</f>
        <v>0</v>
      </c>
      <c r="AD66" s="70">
        <f t="shared" ref="AD66:AD70" si="141">ROUND((X66+Y66+Z66)*33.8%,0)</f>
        <v>0</v>
      </c>
      <c r="AE66" s="70">
        <f t="shared" ref="AE66:AE70" si="142">ROUND(X66*2%,0)</f>
        <v>0</v>
      </c>
      <c r="AF66" s="475">
        <v>0</v>
      </c>
      <c r="AG66" s="475">
        <v>0</v>
      </c>
      <c r="AH66" s="475">
        <f t="shared" ref="AH66:AH70" si="143">SUM(AF66:AG66)</f>
        <v>0</v>
      </c>
      <c r="AI66" s="475">
        <f t="shared" ref="AI66:AI70" si="144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ref="AT66:AT70" si="145">SUM(AR66:AS66)</f>
        <v>0</v>
      </c>
      <c r="AU66" s="484">
        <f t="shared" si="10"/>
        <v>3953081</v>
      </c>
      <c r="AV66" s="475">
        <f t="shared" si="11"/>
        <v>2783672</v>
      </c>
      <c r="AW66" s="475">
        <f t="shared" ref="AW66:AW70" si="146">K66+AB66</f>
        <v>70400</v>
      </c>
      <c r="AX66" s="475">
        <f t="shared" ref="AX66:AY70" si="147">L66+AD66</f>
        <v>964676</v>
      </c>
      <c r="AY66" s="475">
        <f t="shared" si="147"/>
        <v>55673</v>
      </c>
      <c r="AZ66" s="475">
        <f t="shared" si="12"/>
        <v>78660</v>
      </c>
      <c r="BA66" s="476">
        <f t="shared" si="13"/>
        <v>5.0234000000000005</v>
      </c>
      <c r="BB66" s="476">
        <f t="shared" ref="BB66:BC70" si="148">P66+AR66</f>
        <v>3.9191000000000003</v>
      </c>
      <c r="BC66" s="478">
        <f t="shared" si="148"/>
        <v>1.1042999999999998</v>
      </c>
    </row>
    <row r="67" spans="1:55" x14ac:dyDescent="0.2">
      <c r="A67" s="216">
        <v>12</v>
      </c>
      <c r="B67" s="217">
        <v>3431</v>
      </c>
      <c r="C67" s="217">
        <v>600078370</v>
      </c>
      <c r="D67" s="217">
        <v>72744162</v>
      </c>
      <c r="E67" s="215" t="s">
        <v>107</v>
      </c>
      <c r="F67" s="217">
        <v>3117</v>
      </c>
      <c r="G67" s="218" t="s">
        <v>312</v>
      </c>
      <c r="H67" s="219" t="s">
        <v>278</v>
      </c>
      <c r="I67" s="477">
        <v>810261</v>
      </c>
      <c r="J67" s="472">
        <v>596657</v>
      </c>
      <c r="K67" s="472">
        <v>0</v>
      </c>
      <c r="L67" s="472">
        <v>201670</v>
      </c>
      <c r="M67" s="472">
        <v>11934</v>
      </c>
      <c r="N67" s="472">
        <v>0</v>
      </c>
      <c r="O67" s="473">
        <v>1.72</v>
      </c>
      <c r="P67" s="474">
        <v>1.72</v>
      </c>
      <c r="Q67" s="483">
        <v>0</v>
      </c>
      <c r="R67" s="485">
        <f t="shared" si="138"/>
        <v>0</v>
      </c>
      <c r="S67" s="475">
        <v>43306</v>
      </c>
      <c r="T67" s="475">
        <v>0</v>
      </c>
      <c r="U67" s="475">
        <v>0</v>
      </c>
      <c r="V67" s="475">
        <v>0</v>
      </c>
      <c r="W67" s="475">
        <v>0</v>
      </c>
      <c r="X67" s="475">
        <f>SUM(R67:W67)</f>
        <v>43306</v>
      </c>
      <c r="Y67" s="475">
        <v>0</v>
      </c>
      <c r="Z67" s="475">
        <v>0</v>
      </c>
      <c r="AA67" s="475">
        <v>0</v>
      </c>
      <c r="AB67" s="475">
        <f t="shared" si="139"/>
        <v>0</v>
      </c>
      <c r="AC67" s="475">
        <f t="shared" si="140"/>
        <v>43306</v>
      </c>
      <c r="AD67" s="70">
        <f t="shared" si="141"/>
        <v>14637</v>
      </c>
      <c r="AE67" s="70">
        <f t="shared" si="142"/>
        <v>866</v>
      </c>
      <c r="AF67" s="475">
        <v>5000</v>
      </c>
      <c r="AG67" s="475">
        <v>0</v>
      </c>
      <c r="AH67" s="475">
        <f t="shared" si="143"/>
        <v>5000</v>
      </c>
      <c r="AI67" s="475">
        <f t="shared" si="144"/>
        <v>63809</v>
      </c>
      <c r="AJ67" s="476">
        <v>0</v>
      </c>
      <c r="AK67" s="476">
        <v>0</v>
      </c>
      <c r="AL67" s="476">
        <v>0.13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>AJ67+AL67+AM67+AO67+AP67</f>
        <v>0.13</v>
      </c>
      <c r="AS67" s="476">
        <f>AK67+AN67+AQ67</f>
        <v>0</v>
      </c>
      <c r="AT67" s="478">
        <f t="shared" si="145"/>
        <v>0.13</v>
      </c>
      <c r="AU67" s="484">
        <f t="shared" si="10"/>
        <v>874070</v>
      </c>
      <c r="AV67" s="475">
        <f t="shared" si="11"/>
        <v>639963</v>
      </c>
      <c r="AW67" s="475">
        <f t="shared" si="146"/>
        <v>0</v>
      </c>
      <c r="AX67" s="475">
        <f t="shared" si="147"/>
        <v>216307</v>
      </c>
      <c r="AY67" s="475">
        <f t="shared" si="147"/>
        <v>12800</v>
      </c>
      <c r="AZ67" s="475">
        <f t="shared" si="12"/>
        <v>5000</v>
      </c>
      <c r="BA67" s="476">
        <f t="shared" si="13"/>
        <v>1.85</v>
      </c>
      <c r="BB67" s="476">
        <f t="shared" si="148"/>
        <v>1.85</v>
      </c>
      <c r="BC67" s="478">
        <f t="shared" si="148"/>
        <v>0</v>
      </c>
    </row>
    <row r="68" spans="1:55" x14ac:dyDescent="0.2">
      <c r="A68" s="216">
        <v>12</v>
      </c>
      <c r="B68" s="217">
        <v>3431</v>
      </c>
      <c r="C68" s="217">
        <v>600078370</v>
      </c>
      <c r="D68" s="217">
        <v>72744162</v>
      </c>
      <c r="E68" s="215" t="s">
        <v>107</v>
      </c>
      <c r="F68" s="217">
        <v>3141</v>
      </c>
      <c r="G68" s="218" t="s">
        <v>315</v>
      </c>
      <c r="H68" s="219" t="s">
        <v>278</v>
      </c>
      <c r="I68" s="477">
        <v>479929</v>
      </c>
      <c r="J68" s="472">
        <v>351529</v>
      </c>
      <c r="K68" s="472">
        <v>0</v>
      </c>
      <c r="L68" s="472">
        <v>118817</v>
      </c>
      <c r="M68" s="472">
        <v>7031</v>
      </c>
      <c r="N68" s="472">
        <v>2552</v>
      </c>
      <c r="O68" s="473">
        <v>1.1100000000000001</v>
      </c>
      <c r="P68" s="474">
        <v>0</v>
      </c>
      <c r="Q68" s="483">
        <v>1.1100000000000001</v>
      </c>
      <c r="R68" s="485">
        <f t="shared" si="138"/>
        <v>0</v>
      </c>
      <c r="S68" s="475">
        <v>0</v>
      </c>
      <c r="T68" s="475">
        <v>7553</v>
      </c>
      <c r="U68" s="475">
        <v>0</v>
      </c>
      <c r="V68" s="475">
        <v>0</v>
      </c>
      <c r="W68" s="475">
        <v>0</v>
      </c>
      <c r="X68" s="475">
        <f>SUM(R68:W68)</f>
        <v>7553</v>
      </c>
      <c r="Y68" s="475">
        <v>0</v>
      </c>
      <c r="Z68" s="475">
        <v>0</v>
      </c>
      <c r="AA68" s="475">
        <v>0</v>
      </c>
      <c r="AB68" s="475">
        <f t="shared" si="139"/>
        <v>0</v>
      </c>
      <c r="AC68" s="475">
        <f t="shared" si="140"/>
        <v>7553</v>
      </c>
      <c r="AD68" s="70">
        <f t="shared" si="141"/>
        <v>2553</v>
      </c>
      <c r="AE68" s="70">
        <f t="shared" si="142"/>
        <v>151</v>
      </c>
      <c r="AF68" s="475">
        <v>0</v>
      </c>
      <c r="AG68" s="475">
        <v>0</v>
      </c>
      <c r="AH68" s="475">
        <f t="shared" si="143"/>
        <v>0</v>
      </c>
      <c r="AI68" s="475">
        <f t="shared" si="144"/>
        <v>10257</v>
      </c>
      <c r="AJ68" s="476">
        <v>0</v>
      </c>
      <c r="AK68" s="476">
        <v>0</v>
      </c>
      <c r="AL68" s="476">
        <v>0</v>
      </c>
      <c r="AM68" s="476">
        <v>0</v>
      </c>
      <c r="AN68" s="476">
        <v>0.02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0.02</v>
      </c>
      <c r="AT68" s="478">
        <f t="shared" si="145"/>
        <v>0.02</v>
      </c>
      <c r="AU68" s="484">
        <f t="shared" si="10"/>
        <v>490186</v>
      </c>
      <c r="AV68" s="475">
        <f t="shared" si="11"/>
        <v>359082</v>
      </c>
      <c r="AW68" s="475">
        <f t="shared" si="146"/>
        <v>0</v>
      </c>
      <c r="AX68" s="475">
        <f t="shared" si="147"/>
        <v>121370</v>
      </c>
      <c r="AY68" s="475">
        <f t="shared" si="147"/>
        <v>7182</v>
      </c>
      <c r="AZ68" s="475">
        <f t="shared" si="12"/>
        <v>2552</v>
      </c>
      <c r="BA68" s="476">
        <f t="shared" si="13"/>
        <v>1.1300000000000001</v>
      </c>
      <c r="BB68" s="476">
        <f t="shared" si="148"/>
        <v>0</v>
      </c>
      <c r="BC68" s="478">
        <f t="shared" si="148"/>
        <v>1.1300000000000001</v>
      </c>
    </row>
    <row r="69" spans="1:55" x14ac:dyDescent="0.2">
      <c r="A69" s="216">
        <v>12</v>
      </c>
      <c r="B69" s="217">
        <v>3431</v>
      </c>
      <c r="C69" s="217">
        <v>600078370</v>
      </c>
      <c r="D69" s="217">
        <v>72744162</v>
      </c>
      <c r="E69" s="215" t="s">
        <v>107</v>
      </c>
      <c r="F69" s="217">
        <v>3143</v>
      </c>
      <c r="G69" s="218" t="s">
        <v>626</v>
      </c>
      <c r="H69" s="239" t="s">
        <v>277</v>
      </c>
      <c r="I69" s="477">
        <v>648621</v>
      </c>
      <c r="J69" s="472">
        <v>477629</v>
      </c>
      <c r="K69" s="472">
        <v>0</v>
      </c>
      <c r="L69" s="472">
        <v>161439</v>
      </c>
      <c r="M69" s="472">
        <v>9553</v>
      </c>
      <c r="N69" s="472">
        <v>0</v>
      </c>
      <c r="O69" s="473">
        <v>1</v>
      </c>
      <c r="P69" s="474">
        <v>1</v>
      </c>
      <c r="Q69" s="483">
        <v>0</v>
      </c>
      <c r="R69" s="485">
        <f t="shared" si="138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39"/>
        <v>0</v>
      </c>
      <c r="AC69" s="475">
        <f t="shared" si="140"/>
        <v>0</v>
      </c>
      <c r="AD69" s="70">
        <f t="shared" si="141"/>
        <v>0</v>
      </c>
      <c r="AE69" s="70">
        <f t="shared" si="142"/>
        <v>0</v>
      </c>
      <c r="AF69" s="475">
        <v>0</v>
      </c>
      <c r="AG69" s="475">
        <v>0</v>
      </c>
      <c r="AH69" s="475">
        <f t="shared" si="143"/>
        <v>0</v>
      </c>
      <c r="AI69" s="475">
        <f t="shared" si="144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145"/>
        <v>0</v>
      </c>
      <c r="AU69" s="484">
        <f t="shared" si="10"/>
        <v>648621</v>
      </c>
      <c r="AV69" s="475">
        <f t="shared" si="11"/>
        <v>477629</v>
      </c>
      <c r="AW69" s="475">
        <f t="shared" si="146"/>
        <v>0</v>
      </c>
      <c r="AX69" s="475">
        <f t="shared" si="147"/>
        <v>161439</v>
      </c>
      <c r="AY69" s="475">
        <f t="shared" si="147"/>
        <v>9553</v>
      </c>
      <c r="AZ69" s="475">
        <f t="shared" si="12"/>
        <v>0</v>
      </c>
      <c r="BA69" s="476">
        <f t="shared" si="13"/>
        <v>1</v>
      </c>
      <c r="BB69" s="476">
        <f t="shared" si="148"/>
        <v>1</v>
      </c>
      <c r="BC69" s="478">
        <f t="shared" si="148"/>
        <v>0</v>
      </c>
    </row>
    <row r="70" spans="1:55" x14ac:dyDescent="0.2">
      <c r="A70" s="216">
        <v>12</v>
      </c>
      <c r="B70" s="217">
        <v>3431</v>
      </c>
      <c r="C70" s="217">
        <v>600078370</v>
      </c>
      <c r="D70" s="217">
        <v>72744162</v>
      </c>
      <c r="E70" s="215" t="s">
        <v>107</v>
      </c>
      <c r="F70" s="217">
        <v>3143</v>
      </c>
      <c r="G70" s="218" t="s">
        <v>627</v>
      </c>
      <c r="H70" s="239" t="s">
        <v>278</v>
      </c>
      <c r="I70" s="477">
        <v>20412</v>
      </c>
      <c r="J70" s="472">
        <v>14434</v>
      </c>
      <c r="K70" s="472">
        <v>0</v>
      </c>
      <c r="L70" s="472">
        <v>4879</v>
      </c>
      <c r="M70" s="472">
        <v>289</v>
      </c>
      <c r="N70" s="472">
        <v>810</v>
      </c>
      <c r="O70" s="473">
        <v>0.06</v>
      </c>
      <c r="P70" s="474">
        <v>0</v>
      </c>
      <c r="Q70" s="483">
        <v>0.06</v>
      </c>
      <c r="R70" s="485">
        <f t="shared" si="138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>SUM(R70:W70)</f>
        <v>0</v>
      </c>
      <c r="Y70" s="475">
        <v>0</v>
      </c>
      <c r="Z70" s="475">
        <v>0</v>
      </c>
      <c r="AA70" s="475">
        <v>0</v>
      </c>
      <c r="AB70" s="475">
        <f t="shared" si="139"/>
        <v>0</v>
      </c>
      <c r="AC70" s="475">
        <f t="shared" si="140"/>
        <v>0</v>
      </c>
      <c r="AD70" s="70">
        <f t="shared" si="141"/>
        <v>0</v>
      </c>
      <c r="AE70" s="70">
        <f t="shared" si="142"/>
        <v>0</v>
      </c>
      <c r="AF70" s="475">
        <v>0</v>
      </c>
      <c r="AG70" s="475">
        <v>0</v>
      </c>
      <c r="AH70" s="475">
        <f t="shared" si="143"/>
        <v>0</v>
      </c>
      <c r="AI70" s="475">
        <f t="shared" si="144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0</v>
      </c>
      <c r="AT70" s="478">
        <f t="shared" si="145"/>
        <v>0</v>
      </c>
      <c r="AU70" s="484">
        <f t="shared" si="10"/>
        <v>20412</v>
      </c>
      <c r="AV70" s="475">
        <f t="shared" si="11"/>
        <v>14434</v>
      </c>
      <c r="AW70" s="475">
        <f t="shared" si="146"/>
        <v>0</v>
      </c>
      <c r="AX70" s="475">
        <f t="shared" si="147"/>
        <v>4879</v>
      </c>
      <c r="AY70" s="475">
        <f t="shared" si="147"/>
        <v>289</v>
      </c>
      <c r="AZ70" s="475">
        <f t="shared" si="12"/>
        <v>810</v>
      </c>
      <c r="BA70" s="476">
        <f t="shared" si="13"/>
        <v>0.06</v>
      </c>
      <c r="BB70" s="476">
        <f t="shared" si="148"/>
        <v>0</v>
      </c>
      <c r="BC70" s="478">
        <f t="shared" si="148"/>
        <v>0.06</v>
      </c>
    </row>
    <row r="71" spans="1:55" x14ac:dyDescent="0.2">
      <c r="A71" s="162">
        <v>12</v>
      </c>
      <c r="B71" s="18">
        <v>3431</v>
      </c>
      <c r="C71" s="18">
        <v>600078370</v>
      </c>
      <c r="D71" s="18">
        <v>72744162</v>
      </c>
      <c r="E71" s="171" t="s">
        <v>108</v>
      </c>
      <c r="F71" s="18"/>
      <c r="G71" s="161"/>
      <c r="H71" s="195"/>
      <c r="I71" s="528">
        <v>5912304</v>
      </c>
      <c r="J71" s="524">
        <v>4223921</v>
      </c>
      <c r="K71" s="524">
        <v>70400</v>
      </c>
      <c r="L71" s="524">
        <v>1451481</v>
      </c>
      <c r="M71" s="524">
        <v>84480</v>
      </c>
      <c r="N71" s="524">
        <v>82022</v>
      </c>
      <c r="O71" s="525">
        <v>8.9134000000000011</v>
      </c>
      <c r="P71" s="525">
        <v>6.6391</v>
      </c>
      <c r="Q71" s="530">
        <v>2.2742999999999998</v>
      </c>
      <c r="R71" s="528">
        <f t="shared" ref="R71:BC71" si="149">SUM(R66:R70)</f>
        <v>0</v>
      </c>
      <c r="S71" s="524">
        <f t="shared" si="149"/>
        <v>43306</v>
      </c>
      <c r="T71" s="524">
        <f t="shared" si="149"/>
        <v>7553</v>
      </c>
      <c r="U71" s="524">
        <f t="shared" si="149"/>
        <v>0</v>
      </c>
      <c r="V71" s="524">
        <f t="shared" si="149"/>
        <v>0</v>
      </c>
      <c r="W71" s="524">
        <f t="shared" si="149"/>
        <v>0</v>
      </c>
      <c r="X71" s="524">
        <f t="shared" si="149"/>
        <v>50859</v>
      </c>
      <c r="Y71" s="524">
        <f t="shared" si="149"/>
        <v>0</v>
      </c>
      <c r="Z71" s="524">
        <f t="shared" si="149"/>
        <v>0</v>
      </c>
      <c r="AA71" s="524">
        <f t="shared" si="149"/>
        <v>0</v>
      </c>
      <c r="AB71" s="524">
        <f t="shared" si="149"/>
        <v>0</v>
      </c>
      <c r="AC71" s="524">
        <f t="shared" si="149"/>
        <v>50859</v>
      </c>
      <c r="AD71" s="524">
        <f t="shared" si="149"/>
        <v>17190</v>
      </c>
      <c r="AE71" s="524">
        <f t="shared" si="149"/>
        <v>1017</v>
      </c>
      <c r="AF71" s="524">
        <f t="shared" si="149"/>
        <v>5000</v>
      </c>
      <c r="AG71" s="524">
        <f t="shared" si="149"/>
        <v>0</v>
      </c>
      <c r="AH71" s="524">
        <f t="shared" si="149"/>
        <v>5000</v>
      </c>
      <c r="AI71" s="524">
        <f t="shared" si="149"/>
        <v>74066</v>
      </c>
      <c r="AJ71" s="525">
        <f t="shared" si="149"/>
        <v>0</v>
      </c>
      <c r="AK71" s="525">
        <f t="shared" si="149"/>
        <v>0</v>
      </c>
      <c r="AL71" s="525">
        <f t="shared" si="149"/>
        <v>0.13</v>
      </c>
      <c r="AM71" s="525">
        <f t="shared" si="149"/>
        <v>0</v>
      </c>
      <c r="AN71" s="525">
        <f t="shared" si="149"/>
        <v>0.02</v>
      </c>
      <c r="AO71" s="525">
        <f t="shared" si="149"/>
        <v>0</v>
      </c>
      <c r="AP71" s="525">
        <f t="shared" si="149"/>
        <v>0</v>
      </c>
      <c r="AQ71" s="525">
        <f t="shared" si="149"/>
        <v>0</v>
      </c>
      <c r="AR71" s="525">
        <f t="shared" si="149"/>
        <v>0.13</v>
      </c>
      <c r="AS71" s="525">
        <f t="shared" si="149"/>
        <v>0.02</v>
      </c>
      <c r="AT71" s="41">
        <f t="shared" si="149"/>
        <v>0.15</v>
      </c>
      <c r="AU71" s="532">
        <f t="shared" si="149"/>
        <v>5986370</v>
      </c>
      <c r="AV71" s="524">
        <f t="shared" si="149"/>
        <v>4274780</v>
      </c>
      <c r="AW71" s="524">
        <f t="shared" si="149"/>
        <v>70400</v>
      </c>
      <c r="AX71" s="524">
        <f t="shared" si="149"/>
        <v>1468671</v>
      </c>
      <c r="AY71" s="524">
        <f t="shared" si="149"/>
        <v>85497</v>
      </c>
      <c r="AZ71" s="524">
        <f t="shared" si="149"/>
        <v>87022</v>
      </c>
      <c r="BA71" s="525">
        <f t="shared" si="149"/>
        <v>9.0634000000000015</v>
      </c>
      <c r="BB71" s="525">
        <f t="shared" si="149"/>
        <v>6.7690999999999999</v>
      </c>
      <c r="BC71" s="41">
        <f t="shared" si="149"/>
        <v>2.2943000000000002</v>
      </c>
    </row>
    <row r="72" spans="1:55" x14ac:dyDescent="0.2">
      <c r="A72" s="216">
        <v>13</v>
      </c>
      <c r="B72" s="217">
        <v>3437</v>
      </c>
      <c r="C72" s="217">
        <v>600078051</v>
      </c>
      <c r="D72" s="217">
        <v>70695377</v>
      </c>
      <c r="E72" s="215" t="s">
        <v>109</v>
      </c>
      <c r="F72" s="217">
        <v>3111</v>
      </c>
      <c r="G72" s="218" t="s">
        <v>311</v>
      </c>
      <c r="H72" s="219" t="s">
        <v>277</v>
      </c>
      <c r="I72" s="477">
        <v>10335881</v>
      </c>
      <c r="J72" s="472">
        <v>7528557</v>
      </c>
      <c r="K72" s="472">
        <v>0</v>
      </c>
      <c r="L72" s="472">
        <v>2544652</v>
      </c>
      <c r="M72" s="472">
        <v>150572</v>
      </c>
      <c r="N72" s="472">
        <v>112100</v>
      </c>
      <c r="O72" s="473">
        <v>16.604500000000002</v>
      </c>
      <c r="P72" s="474">
        <v>12</v>
      </c>
      <c r="Q72" s="483">
        <v>4.6044999999999998</v>
      </c>
      <c r="R72" s="485">
        <f t="shared" ref="R72:R74" si="150">Y72*-1</f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>SUM(R72:W72)</f>
        <v>0</v>
      </c>
      <c r="Y72" s="475">
        <v>0</v>
      </c>
      <c r="Z72" s="475">
        <v>0</v>
      </c>
      <c r="AA72" s="475">
        <v>0</v>
      </c>
      <c r="AB72" s="475">
        <f t="shared" ref="AB72:AB74" si="151">SUM(Y72:AA72)</f>
        <v>0</v>
      </c>
      <c r="AC72" s="475">
        <f t="shared" ref="AC72:AC74" si="152">X72+AB72</f>
        <v>0</v>
      </c>
      <c r="AD72" s="70">
        <f t="shared" ref="AD72:AD74" si="153">ROUND((X72+Y72+Z72)*33.8%,0)</f>
        <v>0</v>
      </c>
      <c r="AE72" s="70">
        <f t="shared" ref="AE72:AE74" si="154">ROUND(X72*2%,0)</f>
        <v>0</v>
      </c>
      <c r="AF72" s="475">
        <v>0</v>
      </c>
      <c r="AG72" s="475">
        <v>0</v>
      </c>
      <c r="AH72" s="475">
        <f t="shared" ref="AH72:AH74" si="155">SUM(AF72:AG72)</f>
        <v>0</v>
      </c>
      <c r="AI72" s="475">
        <f t="shared" ref="AI72:AI74" si="156">AC72+AD72+AE72+AH72</f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ref="AT72:AT74" si="157">SUM(AR72:AS72)</f>
        <v>0</v>
      </c>
      <c r="AU72" s="484">
        <f t="shared" si="10"/>
        <v>10335881</v>
      </c>
      <c r="AV72" s="475">
        <f t="shared" si="11"/>
        <v>7528557</v>
      </c>
      <c r="AW72" s="475">
        <f t="shared" ref="AW72:AW74" si="158">K72+AB72</f>
        <v>0</v>
      </c>
      <c r="AX72" s="475">
        <f t="shared" ref="AX72:AY74" si="159">L72+AD72</f>
        <v>2544652</v>
      </c>
      <c r="AY72" s="475">
        <f t="shared" si="159"/>
        <v>150572</v>
      </c>
      <c r="AZ72" s="475">
        <f t="shared" si="12"/>
        <v>112100</v>
      </c>
      <c r="BA72" s="476">
        <f t="shared" si="13"/>
        <v>16.604500000000002</v>
      </c>
      <c r="BB72" s="476">
        <f t="shared" ref="BB72:BC74" si="160">P72+AR72</f>
        <v>12</v>
      </c>
      <c r="BC72" s="478">
        <f t="shared" si="160"/>
        <v>4.6044999999999998</v>
      </c>
    </row>
    <row r="73" spans="1:55" x14ac:dyDescent="0.2">
      <c r="A73" s="216">
        <v>13</v>
      </c>
      <c r="B73" s="217">
        <v>3437</v>
      </c>
      <c r="C73" s="217">
        <v>600078051</v>
      </c>
      <c r="D73" s="217">
        <v>70695377</v>
      </c>
      <c r="E73" s="215" t="s">
        <v>109</v>
      </c>
      <c r="F73" s="217">
        <v>3111</v>
      </c>
      <c r="G73" s="218" t="s">
        <v>312</v>
      </c>
      <c r="H73" s="219" t="s">
        <v>278</v>
      </c>
      <c r="I73" s="477">
        <v>331565</v>
      </c>
      <c r="J73" s="472">
        <v>244157</v>
      </c>
      <c r="K73" s="472">
        <v>0</v>
      </c>
      <c r="L73" s="472">
        <v>82525</v>
      </c>
      <c r="M73" s="472">
        <v>4883</v>
      </c>
      <c r="N73" s="472">
        <v>0</v>
      </c>
      <c r="O73" s="473">
        <v>0.90999999999999992</v>
      </c>
      <c r="P73" s="474">
        <v>0.90999999999999992</v>
      </c>
      <c r="Q73" s="483">
        <v>0</v>
      </c>
      <c r="R73" s="485">
        <f t="shared" si="150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>SUM(R73:W73)</f>
        <v>0</v>
      </c>
      <c r="Y73" s="475">
        <v>0</v>
      </c>
      <c r="Z73" s="475">
        <v>0</v>
      </c>
      <c r="AA73" s="475">
        <v>0</v>
      </c>
      <c r="AB73" s="475">
        <f t="shared" si="151"/>
        <v>0</v>
      </c>
      <c r="AC73" s="475">
        <f t="shared" si="152"/>
        <v>0</v>
      </c>
      <c r="AD73" s="70">
        <f t="shared" si="153"/>
        <v>0</v>
      </c>
      <c r="AE73" s="70">
        <f t="shared" si="154"/>
        <v>0</v>
      </c>
      <c r="AF73" s="475">
        <v>0</v>
      </c>
      <c r="AG73" s="475">
        <v>0</v>
      </c>
      <c r="AH73" s="475">
        <f t="shared" si="155"/>
        <v>0</v>
      </c>
      <c r="AI73" s="475">
        <f t="shared" si="156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>AJ73+AL73+AM73+AO73+AP73</f>
        <v>0</v>
      </c>
      <c r="AS73" s="476">
        <f>AK73+AN73+AQ73</f>
        <v>0</v>
      </c>
      <c r="AT73" s="478">
        <f t="shared" si="157"/>
        <v>0</v>
      </c>
      <c r="AU73" s="484">
        <f t="shared" si="10"/>
        <v>331565</v>
      </c>
      <c r="AV73" s="475">
        <f t="shared" si="11"/>
        <v>244157</v>
      </c>
      <c r="AW73" s="475">
        <f t="shared" si="158"/>
        <v>0</v>
      </c>
      <c r="AX73" s="475">
        <f t="shared" si="159"/>
        <v>82525</v>
      </c>
      <c r="AY73" s="475">
        <f t="shared" si="159"/>
        <v>4883</v>
      </c>
      <c r="AZ73" s="475">
        <f t="shared" si="12"/>
        <v>0</v>
      </c>
      <c r="BA73" s="476">
        <f t="shared" si="13"/>
        <v>0.90999999999999992</v>
      </c>
      <c r="BB73" s="476">
        <f t="shared" si="160"/>
        <v>0.90999999999999992</v>
      </c>
      <c r="BC73" s="478">
        <f t="shared" si="160"/>
        <v>0</v>
      </c>
    </row>
    <row r="74" spans="1:55" x14ac:dyDescent="0.2">
      <c r="A74" s="216">
        <v>13</v>
      </c>
      <c r="B74" s="217">
        <v>3437</v>
      </c>
      <c r="C74" s="217">
        <v>600078051</v>
      </c>
      <c r="D74" s="217">
        <v>70695377</v>
      </c>
      <c r="E74" s="215" t="s">
        <v>109</v>
      </c>
      <c r="F74" s="217">
        <v>3141</v>
      </c>
      <c r="G74" s="218" t="s">
        <v>315</v>
      </c>
      <c r="H74" s="219" t="s">
        <v>278</v>
      </c>
      <c r="I74" s="477">
        <v>1041844</v>
      </c>
      <c r="J74" s="472">
        <v>763261</v>
      </c>
      <c r="K74" s="472">
        <v>0</v>
      </c>
      <c r="L74" s="472">
        <v>257982</v>
      </c>
      <c r="M74" s="472">
        <v>15265</v>
      </c>
      <c r="N74" s="472">
        <v>5336</v>
      </c>
      <c r="O74" s="473">
        <v>2.4</v>
      </c>
      <c r="P74" s="474">
        <v>0</v>
      </c>
      <c r="Q74" s="483">
        <v>2.4</v>
      </c>
      <c r="R74" s="485">
        <f t="shared" si="150"/>
        <v>0</v>
      </c>
      <c r="S74" s="475">
        <v>0</v>
      </c>
      <c r="T74" s="475">
        <v>-9745</v>
      </c>
      <c r="U74" s="475">
        <v>0</v>
      </c>
      <c r="V74" s="475">
        <v>0</v>
      </c>
      <c r="W74" s="475">
        <v>0</v>
      </c>
      <c r="X74" s="475">
        <f>SUM(R74:W74)</f>
        <v>-9745</v>
      </c>
      <c r="Y74" s="475">
        <v>0</v>
      </c>
      <c r="Z74" s="475">
        <v>0</v>
      </c>
      <c r="AA74" s="475">
        <v>0</v>
      </c>
      <c r="AB74" s="475">
        <f t="shared" si="151"/>
        <v>0</v>
      </c>
      <c r="AC74" s="475">
        <f t="shared" si="152"/>
        <v>-9745</v>
      </c>
      <c r="AD74" s="70">
        <f t="shared" si="153"/>
        <v>-3294</v>
      </c>
      <c r="AE74" s="70">
        <f t="shared" si="154"/>
        <v>-195</v>
      </c>
      <c r="AF74" s="475">
        <v>0</v>
      </c>
      <c r="AG74" s="475">
        <v>0</v>
      </c>
      <c r="AH74" s="475">
        <f t="shared" si="155"/>
        <v>0</v>
      </c>
      <c r="AI74" s="475">
        <f t="shared" si="156"/>
        <v>-13234</v>
      </c>
      <c r="AJ74" s="476">
        <v>0</v>
      </c>
      <c r="AK74" s="476">
        <v>0</v>
      </c>
      <c r="AL74" s="476">
        <v>0</v>
      </c>
      <c r="AM74" s="476">
        <v>0</v>
      </c>
      <c r="AN74" s="476">
        <v>-0.03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-0.03</v>
      </c>
      <c r="AT74" s="478">
        <f t="shared" si="157"/>
        <v>-0.03</v>
      </c>
      <c r="AU74" s="484">
        <f t="shared" si="10"/>
        <v>1028610</v>
      </c>
      <c r="AV74" s="475">
        <f t="shared" si="11"/>
        <v>753516</v>
      </c>
      <c r="AW74" s="475">
        <f t="shared" si="158"/>
        <v>0</v>
      </c>
      <c r="AX74" s="475">
        <f t="shared" si="159"/>
        <v>254688</v>
      </c>
      <c r="AY74" s="475">
        <f t="shared" si="159"/>
        <v>15070</v>
      </c>
      <c r="AZ74" s="475">
        <f t="shared" si="12"/>
        <v>5336</v>
      </c>
      <c r="BA74" s="476">
        <f t="shared" si="13"/>
        <v>2.37</v>
      </c>
      <c r="BB74" s="476">
        <f t="shared" si="160"/>
        <v>0</v>
      </c>
      <c r="BC74" s="478">
        <f t="shared" si="160"/>
        <v>2.37</v>
      </c>
    </row>
    <row r="75" spans="1:55" x14ac:dyDescent="0.2">
      <c r="A75" s="162">
        <v>13</v>
      </c>
      <c r="B75" s="18">
        <v>3437</v>
      </c>
      <c r="C75" s="18">
        <v>600078051</v>
      </c>
      <c r="D75" s="18">
        <v>70695377</v>
      </c>
      <c r="E75" s="171" t="s">
        <v>110</v>
      </c>
      <c r="F75" s="18"/>
      <c r="G75" s="161"/>
      <c r="H75" s="195"/>
      <c r="I75" s="529">
        <v>11709290</v>
      </c>
      <c r="J75" s="526">
        <v>8535975</v>
      </c>
      <c r="K75" s="526">
        <v>0</v>
      </c>
      <c r="L75" s="526">
        <v>2885159</v>
      </c>
      <c r="M75" s="526">
        <v>170720</v>
      </c>
      <c r="N75" s="526">
        <v>117436</v>
      </c>
      <c r="O75" s="527">
        <v>19.9145</v>
      </c>
      <c r="P75" s="527">
        <v>12.91</v>
      </c>
      <c r="Q75" s="531">
        <v>7.0045000000000002</v>
      </c>
      <c r="R75" s="529">
        <f t="shared" ref="R75:BC75" si="161">SUM(R72:R74)</f>
        <v>0</v>
      </c>
      <c r="S75" s="526">
        <f t="shared" si="161"/>
        <v>0</v>
      </c>
      <c r="T75" s="526">
        <f t="shared" si="161"/>
        <v>-9745</v>
      </c>
      <c r="U75" s="526">
        <f t="shared" si="161"/>
        <v>0</v>
      </c>
      <c r="V75" s="526">
        <f t="shared" si="161"/>
        <v>0</v>
      </c>
      <c r="W75" s="526">
        <f t="shared" si="161"/>
        <v>0</v>
      </c>
      <c r="X75" s="526">
        <f t="shared" si="161"/>
        <v>-9745</v>
      </c>
      <c r="Y75" s="526">
        <f t="shared" si="161"/>
        <v>0</v>
      </c>
      <c r="Z75" s="526">
        <f t="shared" si="161"/>
        <v>0</v>
      </c>
      <c r="AA75" s="526">
        <f t="shared" si="161"/>
        <v>0</v>
      </c>
      <c r="AB75" s="526">
        <f t="shared" si="161"/>
        <v>0</v>
      </c>
      <c r="AC75" s="526">
        <f t="shared" si="161"/>
        <v>-9745</v>
      </c>
      <c r="AD75" s="526">
        <f t="shared" si="161"/>
        <v>-3294</v>
      </c>
      <c r="AE75" s="526">
        <f t="shared" si="161"/>
        <v>-195</v>
      </c>
      <c r="AF75" s="526">
        <f t="shared" si="161"/>
        <v>0</v>
      </c>
      <c r="AG75" s="526">
        <f t="shared" si="161"/>
        <v>0</v>
      </c>
      <c r="AH75" s="526">
        <f t="shared" si="161"/>
        <v>0</v>
      </c>
      <c r="AI75" s="526">
        <f t="shared" si="161"/>
        <v>-13234</v>
      </c>
      <c r="AJ75" s="527">
        <f t="shared" si="161"/>
        <v>0</v>
      </c>
      <c r="AK75" s="527">
        <f t="shared" si="161"/>
        <v>0</v>
      </c>
      <c r="AL75" s="527">
        <f t="shared" si="161"/>
        <v>0</v>
      </c>
      <c r="AM75" s="527">
        <f t="shared" si="161"/>
        <v>0</v>
      </c>
      <c r="AN75" s="527">
        <f t="shared" si="161"/>
        <v>-0.03</v>
      </c>
      <c r="AO75" s="527">
        <f t="shared" si="161"/>
        <v>0</v>
      </c>
      <c r="AP75" s="527">
        <f t="shared" si="161"/>
        <v>0</v>
      </c>
      <c r="AQ75" s="527">
        <f t="shared" si="161"/>
        <v>0</v>
      </c>
      <c r="AR75" s="527">
        <f t="shared" si="161"/>
        <v>0</v>
      </c>
      <c r="AS75" s="527">
        <f t="shared" si="161"/>
        <v>-0.03</v>
      </c>
      <c r="AT75" s="40">
        <f t="shared" si="161"/>
        <v>-0.03</v>
      </c>
      <c r="AU75" s="533">
        <f t="shared" si="161"/>
        <v>11696056</v>
      </c>
      <c r="AV75" s="526">
        <f t="shared" si="161"/>
        <v>8526230</v>
      </c>
      <c r="AW75" s="526">
        <f t="shared" si="161"/>
        <v>0</v>
      </c>
      <c r="AX75" s="526">
        <f t="shared" si="161"/>
        <v>2881865</v>
      </c>
      <c r="AY75" s="526">
        <f t="shared" si="161"/>
        <v>170525</v>
      </c>
      <c r="AZ75" s="526">
        <f t="shared" si="161"/>
        <v>117436</v>
      </c>
      <c r="BA75" s="527">
        <f t="shared" si="161"/>
        <v>19.884500000000003</v>
      </c>
      <c r="BB75" s="527">
        <f t="shared" si="161"/>
        <v>12.91</v>
      </c>
      <c r="BC75" s="40">
        <f t="shared" si="161"/>
        <v>6.9744999999999999</v>
      </c>
    </row>
    <row r="76" spans="1:55" x14ac:dyDescent="0.2">
      <c r="A76" s="216">
        <v>14</v>
      </c>
      <c r="B76" s="217">
        <v>3436</v>
      </c>
      <c r="C76" s="217">
        <v>600078485</v>
      </c>
      <c r="D76" s="217">
        <v>70695385</v>
      </c>
      <c r="E76" s="215" t="s">
        <v>111</v>
      </c>
      <c r="F76" s="217">
        <v>3113</v>
      </c>
      <c r="G76" s="218" t="s">
        <v>314</v>
      </c>
      <c r="H76" s="219" t="s">
        <v>277</v>
      </c>
      <c r="I76" s="477">
        <v>23597252</v>
      </c>
      <c r="J76" s="472">
        <v>16952675</v>
      </c>
      <c r="K76" s="472">
        <v>0</v>
      </c>
      <c r="L76" s="472">
        <v>5730004</v>
      </c>
      <c r="M76" s="472">
        <v>339053</v>
      </c>
      <c r="N76" s="472">
        <v>575520</v>
      </c>
      <c r="O76" s="473">
        <v>31.809899999999999</v>
      </c>
      <c r="P76" s="474">
        <v>24.2273</v>
      </c>
      <c r="Q76" s="483">
        <v>7.5826000000000002</v>
      </c>
      <c r="R76" s="485">
        <f t="shared" ref="R76:R80" si="162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>SUM(R76:W76)</f>
        <v>0</v>
      </c>
      <c r="Y76" s="475">
        <v>0</v>
      </c>
      <c r="Z76" s="475">
        <v>0</v>
      </c>
      <c r="AA76" s="475">
        <v>0</v>
      </c>
      <c r="AB76" s="475">
        <f t="shared" ref="AB76:AB80" si="163">SUM(Y76:AA76)</f>
        <v>0</v>
      </c>
      <c r="AC76" s="475">
        <f t="shared" ref="AC76:AC80" si="164">X76+AB76</f>
        <v>0</v>
      </c>
      <c r="AD76" s="70">
        <f t="shared" ref="AD76:AD80" si="165">ROUND((X76+Y76+Z76)*33.8%,0)</f>
        <v>0</v>
      </c>
      <c r="AE76" s="70">
        <f t="shared" ref="AE76:AE80" si="166">ROUND(X76*2%,0)</f>
        <v>0</v>
      </c>
      <c r="AF76" s="475">
        <v>0</v>
      </c>
      <c r="AG76" s="475">
        <v>0</v>
      </c>
      <c r="AH76" s="475">
        <f t="shared" ref="AH76:AH80" si="167">SUM(AF76:AG76)</f>
        <v>0</v>
      </c>
      <c r="AI76" s="475">
        <f t="shared" ref="AI76:AI80" si="168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ref="AT76:AT80" si="169">SUM(AR76:AS76)</f>
        <v>0</v>
      </c>
      <c r="AU76" s="484">
        <f t="shared" si="10"/>
        <v>23597252</v>
      </c>
      <c r="AV76" s="475">
        <f t="shared" si="11"/>
        <v>16952675</v>
      </c>
      <c r="AW76" s="475">
        <f t="shared" ref="AW76:AW80" si="170">K76+AB76</f>
        <v>0</v>
      </c>
      <c r="AX76" s="475">
        <f t="shared" ref="AX76:AY80" si="171">L76+AD76</f>
        <v>5730004</v>
      </c>
      <c r="AY76" s="475">
        <f t="shared" si="171"/>
        <v>339053</v>
      </c>
      <c r="AZ76" s="475">
        <f t="shared" si="12"/>
        <v>575520</v>
      </c>
      <c r="BA76" s="476">
        <f t="shared" si="13"/>
        <v>31.809899999999999</v>
      </c>
      <c r="BB76" s="476">
        <f t="shared" ref="BB76:BC80" si="172">P76+AR76</f>
        <v>24.2273</v>
      </c>
      <c r="BC76" s="478">
        <f t="shared" si="172"/>
        <v>7.5826000000000002</v>
      </c>
    </row>
    <row r="77" spans="1:55" x14ac:dyDescent="0.2">
      <c r="A77" s="216">
        <v>14</v>
      </c>
      <c r="B77" s="217">
        <v>3436</v>
      </c>
      <c r="C77" s="217">
        <v>600078485</v>
      </c>
      <c r="D77" s="217">
        <v>70695385</v>
      </c>
      <c r="E77" s="215" t="s">
        <v>111</v>
      </c>
      <c r="F77" s="217">
        <v>3113</v>
      </c>
      <c r="G77" s="218" t="s">
        <v>312</v>
      </c>
      <c r="H77" s="219" t="s">
        <v>278</v>
      </c>
      <c r="I77" s="477">
        <v>2761848</v>
      </c>
      <c r="J77" s="472">
        <v>2033762</v>
      </c>
      <c r="K77" s="472">
        <v>0</v>
      </c>
      <c r="L77" s="472">
        <v>687411</v>
      </c>
      <c r="M77" s="472">
        <v>40675</v>
      </c>
      <c r="N77" s="472">
        <v>0</v>
      </c>
      <c r="O77" s="473">
        <v>5.88</v>
      </c>
      <c r="P77" s="474">
        <v>5.88</v>
      </c>
      <c r="Q77" s="483">
        <v>0</v>
      </c>
      <c r="R77" s="485">
        <f t="shared" si="162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163"/>
        <v>0</v>
      </c>
      <c r="AC77" s="475">
        <f t="shared" si="164"/>
        <v>0</v>
      </c>
      <c r="AD77" s="70">
        <f t="shared" si="165"/>
        <v>0</v>
      </c>
      <c r="AE77" s="70">
        <f t="shared" si="166"/>
        <v>0</v>
      </c>
      <c r="AF77" s="475">
        <v>0</v>
      </c>
      <c r="AG77" s="475">
        <v>0</v>
      </c>
      <c r="AH77" s="475">
        <f t="shared" si="167"/>
        <v>0</v>
      </c>
      <c r="AI77" s="475">
        <f t="shared" si="168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169"/>
        <v>0</v>
      </c>
      <c r="AU77" s="484">
        <f t="shared" ref="AU77:AU98" si="173">I77+AI77</f>
        <v>2761848</v>
      </c>
      <c r="AV77" s="475">
        <f t="shared" ref="AV77:AV98" si="174">J77+X77</f>
        <v>2033762</v>
      </c>
      <c r="AW77" s="475">
        <f t="shared" si="170"/>
        <v>0</v>
      </c>
      <c r="AX77" s="475">
        <f t="shared" si="171"/>
        <v>687411</v>
      </c>
      <c r="AY77" s="475">
        <f t="shared" si="171"/>
        <v>40675</v>
      </c>
      <c r="AZ77" s="475">
        <f t="shared" ref="AZ77:AZ98" si="175">N77+AH77</f>
        <v>0</v>
      </c>
      <c r="BA77" s="476">
        <f t="shared" ref="BA77:BA98" si="176">O77+AT77</f>
        <v>5.88</v>
      </c>
      <c r="BB77" s="476">
        <f t="shared" si="172"/>
        <v>5.88</v>
      </c>
      <c r="BC77" s="478">
        <f t="shared" si="172"/>
        <v>0</v>
      </c>
    </row>
    <row r="78" spans="1:55" x14ac:dyDescent="0.2">
      <c r="A78" s="216">
        <v>14</v>
      </c>
      <c r="B78" s="217">
        <v>3436</v>
      </c>
      <c r="C78" s="217">
        <v>600078485</v>
      </c>
      <c r="D78" s="217">
        <v>70695385</v>
      </c>
      <c r="E78" s="215" t="s">
        <v>111</v>
      </c>
      <c r="F78" s="217">
        <v>3141</v>
      </c>
      <c r="G78" s="218" t="s">
        <v>315</v>
      </c>
      <c r="H78" s="219" t="s">
        <v>278</v>
      </c>
      <c r="I78" s="477">
        <v>2941673</v>
      </c>
      <c r="J78" s="472">
        <v>2149737</v>
      </c>
      <c r="K78" s="472">
        <v>0</v>
      </c>
      <c r="L78" s="472">
        <v>726611</v>
      </c>
      <c r="M78" s="472">
        <v>42995</v>
      </c>
      <c r="N78" s="472">
        <v>22330</v>
      </c>
      <c r="O78" s="473">
        <v>6.77</v>
      </c>
      <c r="P78" s="474">
        <v>0</v>
      </c>
      <c r="Q78" s="483">
        <v>6.77</v>
      </c>
      <c r="R78" s="485">
        <f t="shared" si="162"/>
        <v>0</v>
      </c>
      <c r="S78" s="475">
        <v>0</v>
      </c>
      <c r="T78" s="475">
        <v>-12133</v>
      </c>
      <c r="U78" s="475">
        <v>0</v>
      </c>
      <c r="V78" s="475">
        <v>0</v>
      </c>
      <c r="W78" s="475">
        <v>0</v>
      </c>
      <c r="X78" s="475">
        <f>SUM(R78:W78)</f>
        <v>-12133</v>
      </c>
      <c r="Y78" s="475">
        <v>0</v>
      </c>
      <c r="Z78" s="475">
        <v>0</v>
      </c>
      <c r="AA78" s="475">
        <v>0</v>
      </c>
      <c r="AB78" s="475">
        <f t="shared" si="163"/>
        <v>0</v>
      </c>
      <c r="AC78" s="475">
        <f t="shared" si="164"/>
        <v>-12133</v>
      </c>
      <c r="AD78" s="70">
        <f t="shared" si="165"/>
        <v>-4101</v>
      </c>
      <c r="AE78" s="70">
        <f t="shared" si="166"/>
        <v>-243</v>
      </c>
      <c r="AF78" s="475">
        <v>0</v>
      </c>
      <c r="AG78" s="475">
        <v>0</v>
      </c>
      <c r="AH78" s="475">
        <f t="shared" si="167"/>
        <v>0</v>
      </c>
      <c r="AI78" s="475">
        <f t="shared" si="168"/>
        <v>-16477</v>
      </c>
      <c r="AJ78" s="476">
        <v>0</v>
      </c>
      <c r="AK78" s="476">
        <v>0</v>
      </c>
      <c r="AL78" s="476">
        <v>0</v>
      </c>
      <c r="AM78" s="476">
        <v>0</v>
      </c>
      <c r="AN78" s="476">
        <v>-0.04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-0.04</v>
      </c>
      <c r="AT78" s="478">
        <f t="shared" si="169"/>
        <v>-0.04</v>
      </c>
      <c r="AU78" s="484">
        <f t="shared" si="173"/>
        <v>2925196</v>
      </c>
      <c r="AV78" s="475">
        <f t="shared" si="174"/>
        <v>2137604</v>
      </c>
      <c r="AW78" s="475">
        <f t="shared" si="170"/>
        <v>0</v>
      </c>
      <c r="AX78" s="475">
        <f t="shared" si="171"/>
        <v>722510</v>
      </c>
      <c r="AY78" s="475">
        <f t="shared" si="171"/>
        <v>42752</v>
      </c>
      <c r="AZ78" s="475">
        <f t="shared" si="175"/>
        <v>22330</v>
      </c>
      <c r="BA78" s="476">
        <f t="shared" si="176"/>
        <v>6.7299999999999995</v>
      </c>
      <c r="BB78" s="476">
        <f t="shared" si="172"/>
        <v>0</v>
      </c>
      <c r="BC78" s="478">
        <f t="shared" si="172"/>
        <v>6.7299999999999995</v>
      </c>
    </row>
    <row r="79" spans="1:55" x14ac:dyDescent="0.2">
      <c r="A79" s="216">
        <v>14</v>
      </c>
      <c r="B79" s="217">
        <v>3436</v>
      </c>
      <c r="C79" s="217">
        <v>600078485</v>
      </c>
      <c r="D79" s="217">
        <v>70695385</v>
      </c>
      <c r="E79" s="215" t="s">
        <v>111</v>
      </c>
      <c r="F79" s="217">
        <v>3143</v>
      </c>
      <c r="G79" s="218" t="s">
        <v>626</v>
      </c>
      <c r="H79" s="239" t="s">
        <v>277</v>
      </c>
      <c r="I79" s="477">
        <v>2075079</v>
      </c>
      <c r="J79" s="472">
        <v>1528040</v>
      </c>
      <c r="K79" s="472">
        <v>0</v>
      </c>
      <c r="L79" s="472">
        <v>516478</v>
      </c>
      <c r="M79" s="472">
        <v>30561</v>
      </c>
      <c r="N79" s="472">
        <v>0</v>
      </c>
      <c r="O79" s="473">
        <v>2.9910999999999999</v>
      </c>
      <c r="P79" s="474">
        <v>2.9910999999999999</v>
      </c>
      <c r="Q79" s="483">
        <v>0</v>
      </c>
      <c r="R79" s="485">
        <f t="shared" si="162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>SUM(R79:W79)</f>
        <v>0</v>
      </c>
      <c r="Y79" s="475">
        <v>0</v>
      </c>
      <c r="Z79" s="475">
        <v>0</v>
      </c>
      <c r="AA79" s="475">
        <v>0</v>
      </c>
      <c r="AB79" s="475">
        <f t="shared" si="163"/>
        <v>0</v>
      </c>
      <c r="AC79" s="475">
        <f t="shared" si="164"/>
        <v>0</v>
      </c>
      <c r="AD79" s="70">
        <f t="shared" si="165"/>
        <v>0</v>
      </c>
      <c r="AE79" s="70">
        <f t="shared" si="166"/>
        <v>0</v>
      </c>
      <c r="AF79" s="475">
        <v>0</v>
      </c>
      <c r="AG79" s="475">
        <v>0</v>
      </c>
      <c r="AH79" s="475">
        <f t="shared" si="167"/>
        <v>0</v>
      </c>
      <c r="AI79" s="475">
        <f t="shared" si="168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>AJ79+AL79+AM79+AO79+AP79</f>
        <v>0</v>
      </c>
      <c r="AS79" s="476">
        <f>AK79+AN79+AQ79</f>
        <v>0</v>
      </c>
      <c r="AT79" s="478">
        <f t="shared" si="169"/>
        <v>0</v>
      </c>
      <c r="AU79" s="484">
        <f t="shared" si="173"/>
        <v>2075079</v>
      </c>
      <c r="AV79" s="475">
        <f t="shared" si="174"/>
        <v>1528040</v>
      </c>
      <c r="AW79" s="475">
        <f t="shared" si="170"/>
        <v>0</v>
      </c>
      <c r="AX79" s="475">
        <f t="shared" si="171"/>
        <v>516478</v>
      </c>
      <c r="AY79" s="475">
        <f t="shared" si="171"/>
        <v>30561</v>
      </c>
      <c r="AZ79" s="475">
        <f t="shared" si="175"/>
        <v>0</v>
      </c>
      <c r="BA79" s="476">
        <f t="shared" si="176"/>
        <v>2.9910999999999999</v>
      </c>
      <c r="BB79" s="476">
        <f t="shared" si="172"/>
        <v>2.9910999999999999</v>
      </c>
      <c r="BC79" s="478">
        <f t="shared" si="172"/>
        <v>0</v>
      </c>
    </row>
    <row r="80" spans="1:55" x14ac:dyDescent="0.2">
      <c r="A80" s="216">
        <v>14</v>
      </c>
      <c r="B80" s="217">
        <v>3436</v>
      </c>
      <c r="C80" s="217">
        <v>600078485</v>
      </c>
      <c r="D80" s="217">
        <v>70695385</v>
      </c>
      <c r="E80" s="215" t="s">
        <v>111</v>
      </c>
      <c r="F80" s="217">
        <v>3143</v>
      </c>
      <c r="G80" s="218" t="s">
        <v>627</v>
      </c>
      <c r="H80" s="239" t="s">
        <v>278</v>
      </c>
      <c r="I80" s="477">
        <v>82403</v>
      </c>
      <c r="J80" s="472">
        <v>58272</v>
      </c>
      <c r="K80" s="472">
        <v>0</v>
      </c>
      <c r="L80" s="472">
        <v>19696</v>
      </c>
      <c r="M80" s="472">
        <v>1165</v>
      </c>
      <c r="N80" s="472">
        <v>3270</v>
      </c>
      <c r="O80" s="473">
        <v>0.23</v>
      </c>
      <c r="P80" s="474">
        <v>0</v>
      </c>
      <c r="Q80" s="483">
        <v>0.23</v>
      </c>
      <c r="R80" s="485">
        <f t="shared" si="162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>SUM(R80:W80)</f>
        <v>0</v>
      </c>
      <c r="Y80" s="475">
        <v>0</v>
      </c>
      <c r="Z80" s="475">
        <v>0</v>
      </c>
      <c r="AA80" s="475">
        <v>0</v>
      </c>
      <c r="AB80" s="475">
        <f t="shared" si="163"/>
        <v>0</v>
      </c>
      <c r="AC80" s="475">
        <f t="shared" si="164"/>
        <v>0</v>
      </c>
      <c r="AD80" s="70">
        <f t="shared" si="165"/>
        <v>0</v>
      </c>
      <c r="AE80" s="70">
        <f t="shared" si="166"/>
        <v>0</v>
      </c>
      <c r="AF80" s="475">
        <v>0</v>
      </c>
      <c r="AG80" s="475">
        <v>0</v>
      </c>
      <c r="AH80" s="475">
        <f t="shared" si="167"/>
        <v>0</v>
      </c>
      <c r="AI80" s="475">
        <f t="shared" si="168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>AJ80+AL80+AM80+AO80+AP80</f>
        <v>0</v>
      </c>
      <c r="AS80" s="476">
        <f>AK80+AN80+AQ80</f>
        <v>0</v>
      </c>
      <c r="AT80" s="478">
        <f t="shared" si="169"/>
        <v>0</v>
      </c>
      <c r="AU80" s="484">
        <f t="shared" si="173"/>
        <v>82403</v>
      </c>
      <c r="AV80" s="475">
        <f t="shared" si="174"/>
        <v>58272</v>
      </c>
      <c r="AW80" s="475">
        <f t="shared" si="170"/>
        <v>0</v>
      </c>
      <c r="AX80" s="475">
        <f t="shared" si="171"/>
        <v>19696</v>
      </c>
      <c r="AY80" s="475">
        <f t="shared" si="171"/>
        <v>1165</v>
      </c>
      <c r="AZ80" s="475">
        <f t="shared" si="175"/>
        <v>3270</v>
      </c>
      <c r="BA80" s="476">
        <f t="shared" si="176"/>
        <v>0.23</v>
      </c>
      <c r="BB80" s="476">
        <f t="shared" si="172"/>
        <v>0</v>
      </c>
      <c r="BC80" s="478">
        <f t="shared" si="172"/>
        <v>0.23</v>
      </c>
    </row>
    <row r="81" spans="1:55" x14ac:dyDescent="0.2">
      <c r="A81" s="162">
        <v>14</v>
      </c>
      <c r="B81" s="18">
        <v>3436</v>
      </c>
      <c r="C81" s="18">
        <v>600078485</v>
      </c>
      <c r="D81" s="18">
        <v>70695385</v>
      </c>
      <c r="E81" s="171" t="s">
        <v>112</v>
      </c>
      <c r="F81" s="18"/>
      <c r="G81" s="161"/>
      <c r="H81" s="195"/>
      <c r="I81" s="528">
        <v>31458255</v>
      </c>
      <c r="J81" s="524">
        <v>22722486</v>
      </c>
      <c r="K81" s="524">
        <v>0</v>
      </c>
      <c r="L81" s="524">
        <v>7680200</v>
      </c>
      <c r="M81" s="524">
        <v>454449</v>
      </c>
      <c r="N81" s="524">
        <v>601120</v>
      </c>
      <c r="O81" s="525">
        <v>47.681000000000004</v>
      </c>
      <c r="P81" s="525">
        <v>33.098399999999998</v>
      </c>
      <c r="Q81" s="530">
        <v>14.582599999999999</v>
      </c>
      <c r="R81" s="528">
        <f t="shared" ref="R81:BC81" si="177">SUM(R76:R80)</f>
        <v>0</v>
      </c>
      <c r="S81" s="524">
        <f t="shared" si="177"/>
        <v>0</v>
      </c>
      <c r="T81" s="524">
        <f t="shared" si="177"/>
        <v>-12133</v>
      </c>
      <c r="U81" s="524">
        <f t="shared" si="177"/>
        <v>0</v>
      </c>
      <c r="V81" s="524">
        <f t="shared" si="177"/>
        <v>0</v>
      </c>
      <c r="W81" s="524">
        <f t="shared" si="177"/>
        <v>0</v>
      </c>
      <c r="X81" s="524">
        <f t="shared" si="177"/>
        <v>-12133</v>
      </c>
      <c r="Y81" s="524">
        <f t="shared" si="177"/>
        <v>0</v>
      </c>
      <c r="Z81" s="524">
        <f t="shared" si="177"/>
        <v>0</v>
      </c>
      <c r="AA81" s="524">
        <f t="shared" si="177"/>
        <v>0</v>
      </c>
      <c r="AB81" s="524">
        <f t="shared" si="177"/>
        <v>0</v>
      </c>
      <c r="AC81" s="524">
        <f t="shared" si="177"/>
        <v>-12133</v>
      </c>
      <c r="AD81" s="524">
        <f t="shared" si="177"/>
        <v>-4101</v>
      </c>
      <c r="AE81" s="524">
        <f t="shared" si="177"/>
        <v>-243</v>
      </c>
      <c r="AF81" s="524">
        <f t="shared" si="177"/>
        <v>0</v>
      </c>
      <c r="AG81" s="524">
        <f t="shared" si="177"/>
        <v>0</v>
      </c>
      <c r="AH81" s="524">
        <f t="shared" si="177"/>
        <v>0</v>
      </c>
      <c r="AI81" s="524">
        <f t="shared" si="177"/>
        <v>-16477</v>
      </c>
      <c r="AJ81" s="525">
        <f t="shared" si="177"/>
        <v>0</v>
      </c>
      <c r="AK81" s="525">
        <f t="shared" si="177"/>
        <v>0</v>
      </c>
      <c r="AL81" s="525">
        <f t="shared" si="177"/>
        <v>0</v>
      </c>
      <c r="AM81" s="525">
        <f t="shared" si="177"/>
        <v>0</v>
      </c>
      <c r="AN81" s="525">
        <f t="shared" si="177"/>
        <v>-0.04</v>
      </c>
      <c r="AO81" s="525">
        <f t="shared" si="177"/>
        <v>0</v>
      </c>
      <c r="AP81" s="525">
        <f t="shared" si="177"/>
        <v>0</v>
      </c>
      <c r="AQ81" s="525">
        <f t="shared" si="177"/>
        <v>0</v>
      </c>
      <c r="AR81" s="525">
        <f t="shared" si="177"/>
        <v>0</v>
      </c>
      <c r="AS81" s="525">
        <f t="shared" si="177"/>
        <v>-0.04</v>
      </c>
      <c r="AT81" s="41">
        <f t="shared" si="177"/>
        <v>-0.04</v>
      </c>
      <c r="AU81" s="532">
        <f t="shared" si="177"/>
        <v>31441778</v>
      </c>
      <c r="AV81" s="524">
        <f t="shared" si="177"/>
        <v>22710353</v>
      </c>
      <c r="AW81" s="524">
        <f t="shared" si="177"/>
        <v>0</v>
      </c>
      <c r="AX81" s="524">
        <f t="shared" si="177"/>
        <v>7676099</v>
      </c>
      <c r="AY81" s="524">
        <f t="shared" si="177"/>
        <v>454206</v>
      </c>
      <c r="AZ81" s="524">
        <f t="shared" si="177"/>
        <v>601120</v>
      </c>
      <c r="BA81" s="525">
        <f t="shared" si="177"/>
        <v>47.640999999999998</v>
      </c>
      <c r="BB81" s="525">
        <f t="shared" si="177"/>
        <v>33.098399999999998</v>
      </c>
      <c r="BC81" s="41">
        <f t="shared" si="177"/>
        <v>14.5426</v>
      </c>
    </row>
    <row r="82" spans="1:55" x14ac:dyDescent="0.2">
      <c r="A82" s="216">
        <v>15</v>
      </c>
      <c r="B82" s="217">
        <v>3442</v>
      </c>
      <c r="C82" s="217">
        <v>600078205</v>
      </c>
      <c r="D82" s="217">
        <v>72743638</v>
      </c>
      <c r="E82" s="215" t="s">
        <v>113</v>
      </c>
      <c r="F82" s="217">
        <v>3111</v>
      </c>
      <c r="G82" s="218" t="s">
        <v>311</v>
      </c>
      <c r="H82" s="219" t="s">
        <v>277</v>
      </c>
      <c r="I82" s="477">
        <v>5866797</v>
      </c>
      <c r="J82" s="472">
        <v>4213849</v>
      </c>
      <c r="K82" s="472">
        <v>80000</v>
      </c>
      <c r="L82" s="472">
        <v>1451321</v>
      </c>
      <c r="M82" s="472">
        <v>84277</v>
      </c>
      <c r="N82" s="472">
        <v>37350</v>
      </c>
      <c r="O82" s="473">
        <v>9.2682000000000002</v>
      </c>
      <c r="P82" s="474">
        <v>7</v>
      </c>
      <c r="Q82" s="483">
        <v>2.2682000000000002</v>
      </c>
      <c r="R82" s="485">
        <f t="shared" ref="R82:R84" si="178">Y82*-1</f>
        <v>0</v>
      </c>
      <c r="S82" s="475">
        <v>0</v>
      </c>
      <c r="T82" s="475">
        <v>168600</v>
      </c>
      <c r="U82" s="475">
        <v>0</v>
      </c>
      <c r="V82" s="475">
        <v>0</v>
      </c>
      <c r="W82" s="475">
        <v>0</v>
      </c>
      <c r="X82" s="475">
        <f>SUM(R82:W82)</f>
        <v>168600</v>
      </c>
      <c r="Y82" s="475">
        <v>0</v>
      </c>
      <c r="Z82" s="475">
        <v>0</v>
      </c>
      <c r="AA82" s="475">
        <v>0</v>
      </c>
      <c r="AB82" s="475">
        <f t="shared" ref="AB82:AB84" si="179">SUM(Y82:AA82)</f>
        <v>0</v>
      </c>
      <c r="AC82" s="475">
        <f t="shared" ref="AC82:AC84" si="180">X82+AB82</f>
        <v>168600</v>
      </c>
      <c r="AD82" s="70">
        <f t="shared" ref="AD82:AD84" si="181">ROUND((X82+Y82+Z82)*33.8%,0)</f>
        <v>56987</v>
      </c>
      <c r="AE82" s="70">
        <f t="shared" ref="AE82:AE84" si="182">ROUND(X82*2%,0)</f>
        <v>3372</v>
      </c>
      <c r="AF82" s="475">
        <v>0</v>
      </c>
      <c r="AG82" s="475">
        <v>0</v>
      </c>
      <c r="AH82" s="475">
        <f t="shared" ref="AH82:AH84" si="183">SUM(AF82:AG82)</f>
        <v>0</v>
      </c>
      <c r="AI82" s="475">
        <f t="shared" ref="AI82:AI84" si="184">AC82+AD82+AE82+AH82</f>
        <v>228959</v>
      </c>
      <c r="AJ82" s="476">
        <v>0</v>
      </c>
      <c r="AK82" s="476">
        <v>0</v>
      </c>
      <c r="AL82" s="476">
        <v>0</v>
      </c>
      <c r="AM82" s="476">
        <v>0.33</v>
      </c>
      <c r="AN82" s="476">
        <v>0</v>
      </c>
      <c r="AO82" s="476">
        <v>0</v>
      </c>
      <c r="AP82" s="476">
        <v>0</v>
      </c>
      <c r="AQ82" s="476">
        <v>0</v>
      </c>
      <c r="AR82" s="476">
        <f>AJ82+AL82+AM82+AO82+AP82</f>
        <v>0.33</v>
      </c>
      <c r="AS82" s="476">
        <f>AK82+AN82+AQ82</f>
        <v>0</v>
      </c>
      <c r="AT82" s="478">
        <f t="shared" ref="AT82:AT84" si="185">SUM(AR82:AS82)</f>
        <v>0.33</v>
      </c>
      <c r="AU82" s="484">
        <f t="shared" si="173"/>
        <v>6095756</v>
      </c>
      <c r="AV82" s="475">
        <f t="shared" si="174"/>
        <v>4382449</v>
      </c>
      <c r="AW82" s="475">
        <f t="shared" ref="AW82:AW84" si="186">K82+AB82</f>
        <v>80000</v>
      </c>
      <c r="AX82" s="475">
        <f t="shared" ref="AX82:AY84" si="187">L82+AD82</f>
        <v>1508308</v>
      </c>
      <c r="AY82" s="475">
        <f t="shared" si="187"/>
        <v>87649</v>
      </c>
      <c r="AZ82" s="475">
        <f t="shared" si="175"/>
        <v>37350</v>
      </c>
      <c r="BA82" s="476">
        <f t="shared" si="176"/>
        <v>9.5982000000000003</v>
      </c>
      <c r="BB82" s="476">
        <f t="shared" ref="BB82:BC84" si="188">P82+AR82</f>
        <v>7.33</v>
      </c>
      <c r="BC82" s="478">
        <f t="shared" si="188"/>
        <v>2.2682000000000002</v>
      </c>
    </row>
    <row r="83" spans="1:55" x14ac:dyDescent="0.2">
      <c r="A83" s="216">
        <v>15</v>
      </c>
      <c r="B83" s="217">
        <v>3442</v>
      </c>
      <c r="C83" s="217">
        <v>600078205</v>
      </c>
      <c r="D83" s="217">
        <v>72743638</v>
      </c>
      <c r="E83" s="215" t="s">
        <v>113</v>
      </c>
      <c r="F83" s="217">
        <v>3111</v>
      </c>
      <c r="G83" s="218" t="s">
        <v>312</v>
      </c>
      <c r="H83" s="219" t="s">
        <v>278</v>
      </c>
      <c r="I83" s="477">
        <v>1411410</v>
      </c>
      <c r="J83" s="472">
        <v>1039330</v>
      </c>
      <c r="K83" s="472">
        <v>0</v>
      </c>
      <c r="L83" s="472">
        <v>351293</v>
      </c>
      <c r="M83" s="472">
        <v>20787</v>
      </c>
      <c r="N83" s="472">
        <v>0</v>
      </c>
      <c r="O83" s="473">
        <v>3</v>
      </c>
      <c r="P83" s="474">
        <v>3</v>
      </c>
      <c r="Q83" s="483">
        <v>0</v>
      </c>
      <c r="R83" s="485">
        <f t="shared" si="178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>SUM(R83:W83)</f>
        <v>0</v>
      </c>
      <c r="Y83" s="475">
        <v>0</v>
      </c>
      <c r="Z83" s="475">
        <v>0</v>
      </c>
      <c r="AA83" s="475">
        <v>0</v>
      </c>
      <c r="AB83" s="475">
        <f t="shared" si="179"/>
        <v>0</v>
      </c>
      <c r="AC83" s="475">
        <f t="shared" si="180"/>
        <v>0</v>
      </c>
      <c r="AD83" s="70">
        <f t="shared" si="181"/>
        <v>0</v>
      </c>
      <c r="AE83" s="70">
        <f t="shared" si="182"/>
        <v>0</v>
      </c>
      <c r="AF83" s="475">
        <v>0</v>
      </c>
      <c r="AG83" s="475">
        <v>0</v>
      </c>
      <c r="AH83" s="475">
        <f t="shared" si="183"/>
        <v>0</v>
      </c>
      <c r="AI83" s="475">
        <f t="shared" si="184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>AJ83+AL83+AM83+AO83+AP83</f>
        <v>0</v>
      </c>
      <c r="AS83" s="476">
        <f>AK83+AN83+AQ83</f>
        <v>0</v>
      </c>
      <c r="AT83" s="478">
        <f t="shared" si="185"/>
        <v>0</v>
      </c>
      <c r="AU83" s="484">
        <f t="shared" si="173"/>
        <v>1411410</v>
      </c>
      <c r="AV83" s="475">
        <f t="shared" si="174"/>
        <v>1039330</v>
      </c>
      <c r="AW83" s="475">
        <f t="shared" si="186"/>
        <v>0</v>
      </c>
      <c r="AX83" s="475">
        <f t="shared" si="187"/>
        <v>351293</v>
      </c>
      <c r="AY83" s="475">
        <f t="shared" si="187"/>
        <v>20787</v>
      </c>
      <c r="AZ83" s="475">
        <f t="shared" si="175"/>
        <v>0</v>
      </c>
      <c r="BA83" s="476">
        <f t="shared" si="176"/>
        <v>3</v>
      </c>
      <c r="BB83" s="476">
        <f t="shared" si="188"/>
        <v>3</v>
      </c>
      <c r="BC83" s="478">
        <f t="shared" si="188"/>
        <v>0</v>
      </c>
    </row>
    <row r="84" spans="1:55" s="3" customFormat="1" x14ac:dyDescent="0.2">
      <c r="A84" s="216">
        <v>15</v>
      </c>
      <c r="B84" s="217">
        <v>3442</v>
      </c>
      <c r="C84" s="217">
        <v>600078205</v>
      </c>
      <c r="D84" s="217">
        <v>72743638</v>
      </c>
      <c r="E84" s="215" t="s">
        <v>114</v>
      </c>
      <c r="F84" s="217">
        <v>3141</v>
      </c>
      <c r="G84" s="218" t="s">
        <v>315</v>
      </c>
      <c r="H84" s="219" t="s">
        <v>278</v>
      </c>
      <c r="I84" s="477">
        <v>969734</v>
      </c>
      <c r="J84" s="472">
        <v>710545</v>
      </c>
      <c r="K84" s="472">
        <v>0</v>
      </c>
      <c r="L84" s="472">
        <v>240164</v>
      </c>
      <c r="M84" s="472">
        <v>14211</v>
      </c>
      <c r="N84" s="472">
        <v>4814</v>
      </c>
      <c r="O84" s="473">
        <v>2.2400000000000002</v>
      </c>
      <c r="P84" s="474">
        <v>0</v>
      </c>
      <c r="Q84" s="483">
        <v>2.2400000000000002</v>
      </c>
      <c r="R84" s="485">
        <f t="shared" si="178"/>
        <v>0</v>
      </c>
      <c r="S84" s="475">
        <v>0</v>
      </c>
      <c r="T84" s="475">
        <v>9778</v>
      </c>
      <c r="U84" s="475">
        <v>0</v>
      </c>
      <c r="V84" s="475">
        <v>0</v>
      </c>
      <c r="W84" s="475">
        <v>0</v>
      </c>
      <c r="X84" s="475">
        <f>SUM(R84:W84)</f>
        <v>9778</v>
      </c>
      <c r="Y84" s="475">
        <v>0</v>
      </c>
      <c r="Z84" s="475">
        <v>0</v>
      </c>
      <c r="AA84" s="475">
        <v>0</v>
      </c>
      <c r="AB84" s="475">
        <f t="shared" si="179"/>
        <v>0</v>
      </c>
      <c r="AC84" s="475">
        <f t="shared" si="180"/>
        <v>9778</v>
      </c>
      <c r="AD84" s="70">
        <f t="shared" si="181"/>
        <v>3305</v>
      </c>
      <c r="AE84" s="70">
        <f t="shared" si="182"/>
        <v>196</v>
      </c>
      <c r="AF84" s="475">
        <v>0</v>
      </c>
      <c r="AG84" s="475">
        <v>0</v>
      </c>
      <c r="AH84" s="475">
        <f t="shared" si="183"/>
        <v>0</v>
      </c>
      <c r="AI84" s="475">
        <f t="shared" si="184"/>
        <v>13279</v>
      </c>
      <c r="AJ84" s="476">
        <v>0</v>
      </c>
      <c r="AK84" s="476">
        <v>0</v>
      </c>
      <c r="AL84" s="476">
        <v>0</v>
      </c>
      <c r="AM84" s="476">
        <v>0</v>
      </c>
      <c r="AN84" s="476">
        <v>0.03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0.03</v>
      </c>
      <c r="AT84" s="478">
        <f t="shared" si="185"/>
        <v>0.03</v>
      </c>
      <c r="AU84" s="484">
        <f t="shared" si="173"/>
        <v>983013</v>
      </c>
      <c r="AV84" s="475">
        <f t="shared" si="174"/>
        <v>720323</v>
      </c>
      <c r="AW84" s="475">
        <f t="shared" si="186"/>
        <v>0</v>
      </c>
      <c r="AX84" s="475">
        <f t="shared" si="187"/>
        <v>243469</v>
      </c>
      <c r="AY84" s="475">
        <f t="shared" si="187"/>
        <v>14407</v>
      </c>
      <c r="AZ84" s="475">
        <f t="shared" si="175"/>
        <v>4814</v>
      </c>
      <c r="BA84" s="476">
        <f t="shared" si="176"/>
        <v>2.27</v>
      </c>
      <c r="BB84" s="476">
        <f t="shared" si="188"/>
        <v>0</v>
      </c>
      <c r="BC84" s="478">
        <f t="shared" si="188"/>
        <v>2.27</v>
      </c>
    </row>
    <row r="85" spans="1:55" x14ac:dyDescent="0.2">
      <c r="A85" s="162">
        <v>15</v>
      </c>
      <c r="B85" s="18">
        <v>3442</v>
      </c>
      <c r="C85" s="18">
        <v>600078205</v>
      </c>
      <c r="D85" s="18">
        <v>72743638</v>
      </c>
      <c r="E85" s="171" t="s">
        <v>115</v>
      </c>
      <c r="F85" s="18"/>
      <c r="G85" s="161"/>
      <c r="H85" s="195"/>
      <c r="I85" s="529">
        <v>8247941</v>
      </c>
      <c r="J85" s="526">
        <v>5963724</v>
      </c>
      <c r="K85" s="526">
        <v>80000</v>
      </c>
      <c r="L85" s="526">
        <v>2042778</v>
      </c>
      <c r="M85" s="526">
        <v>119275</v>
      </c>
      <c r="N85" s="526">
        <v>42164</v>
      </c>
      <c r="O85" s="527">
        <v>14.5082</v>
      </c>
      <c r="P85" s="527">
        <v>10</v>
      </c>
      <c r="Q85" s="531">
        <v>4.5082000000000004</v>
      </c>
      <c r="R85" s="529">
        <f t="shared" ref="R85:BC85" si="189">SUM(R82:R84)</f>
        <v>0</v>
      </c>
      <c r="S85" s="526">
        <f t="shared" si="189"/>
        <v>0</v>
      </c>
      <c r="T85" s="526">
        <f t="shared" si="189"/>
        <v>178378</v>
      </c>
      <c r="U85" s="526">
        <f t="shared" si="189"/>
        <v>0</v>
      </c>
      <c r="V85" s="526">
        <f t="shared" si="189"/>
        <v>0</v>
      </c>
      <c r="W85" s="526">
        <f t="shared" si="189"/>
        <v>0</v>
      </c>
      <c r="X85" s="526">
        <f t="shared" si="189"/>
        <v>178378</v>
      </c>
      <c r="Y85" s="526">
        <f t="shared" si="189"/>
        <v>0</v>
      </c>
      <c r="Z85" s="526">
        <f t="shared" si="189"/>
        <v>0</v>
      </c>
      <c r="AA85" s="526">
        <f t="shared" si="189"/>
        <v>0</v>
      </c>
      <c r="AB85" s="526">
        <f t="shared" si="189"/>
        <v>0</v>
      </c>
      <c r="AC85" s="526">
        <f t="shared" si="189"/>
        <v>178378</v>
      </c>
      <c r="AD85" s="526">
        <f t="shared" si="189"/>
        <v>60292</v>
      </c>
      <c r="AE85" s="526">
        <f t="shared" si="189"/>
        <v>3568</v>
      </c>
      <c r="AF85" s="526">
        <f t="shared" si="189"/>
        <v>0</v>
      </c>
      <c r="AG85" s="526">
        <f t="shared" si="189"/>
        <v>0</v>
      </c>
      <c r="AH85" s="526">
        <f t="shared" si="189"/>
        <v>0</v>
      </c>
      <c r="AI85" s="526">
        <f t="shared" si="189"/>
        <v>242238</v>
      </c>
      <c r="AJ85" s="527">
        <f t="shared" si="189"/>
        <v>0</v>
      </c>
      <c r="AK85" s="527">
        <f t="shared" si="189"/>
        <v>0</v>
      </c>
      <c r="AL85" s="527">
        <f t="shared" si="189"/>
        <v>0</v>
      </c>
      <c r="AM85" s="527">
        <f t="shared" si="189"/>
        <v>0.33</v>
      </c>
      <c r="AN85" s="527">
        <f t="shared" si="189"/>
        <v>0.03</v>
      </c>
      <c r="AO85" s="527">
        <f t="shared" si="189"/>
        <v>0</v>
      </c>
      <c r="AP85" s="527">
        <f t="shared" si="189"/>
        <v>0</v>
      </c>
      <c r="AQ85" s="527">
        <f t="shared" si="189"/>
        <v>0</v>
      </c>
      <c r="AR85" s="527">
        <f t="shared" si="189"/>
        <v>0.33</v>
      </c>
      <c r="AS85" s="527">
        <f t="shared" si="189"/>
        <v>0.03</v>
      </c>
      <c r="AT85" s="40">
        <f t="shared" si="189"/>
        <v>0.36</v>
      </c>
      <c r="AU85" s="533">
        <f t="shared" si="189"/>
        <v>8490179</v>
      </c>
      <c r="AV85" s="526">
        <f t="shared" si="189"/>
        <v>6142102</v>
      </c>
      <c r="AW85" s="526">
        <f t="shared" si="189"/>
        <v>80000</v>
      </c>
      <c r="AX85" s="526">
        <f t="shared" si="189"/>
        <v>2103070</v>
      </c>
      <c r="AY85" s="526">
        <f t="shared" si="189"/>
        <v>122843</v>
      </c>
      <c r="AZ85" s="526">
        <f t="shared" si="189"/>
        <v>42164</v>
      </c>
      <c r="BA85" s="527">
        <f t="shared" si="189"/>
        <v>14.8682</v>
      </c>
      <c r="BB85" s="527">
        <f t="shared" si="189"/>
        <v>10.33</v>
      </c>
      <c r="BC85" s="40">
        <f t="shared" si="189"/>
        <v>4.5381999999999998</v>
      </c>
    </row>
    <row r="86" spans="1:55" s="3" customFormat="1" x14ac:dyDescent="0.2">
      <c r="A86" s="216">
        <v>16</v>
      </c>
      <c r="B86" s="217">
        <v>3452</v>
      </c>
      <c r="C86" s="217">
        <v>600078264</v>
      </c>
      <c r="D86" s="217">
        <v>72743557</v>
      </c>
      <c r="E86" s="215" t="s">
        <v>116</v>
      </c>
      <c r="F86" s="217">
        <v>3111</v>
      </c>
      <c r="G86" s="218" t="s">
        <v>311</v>
      </c>
      <c r="H86" s="219" t="s">
        <v>277</v>
      </c>
      <c r="I86" s="477">
        <v>1394339</v>
      </c>
      <c r="J86" s="472">
        <v>1000426</v>
      </c>
      <c r="K86" s="472">
        <v>20000</v>
      </c>
      <c r="L86" s="472">
        <v>344904</v>
      </c>
      <c r="M86" s="472">
        <v>20009</v>
      </c>
      <c r="N86" s="472">
        <v>9000</v>
      </c>
      <c r="O86" s="473">
        <v>2.3481000000000001</v>
      </c>
      <c r="P86" s="474">
        <v>1.8872</v>
      </c>
      <c r="Q86" s="483">
        <v>0.46089999999999998</v>
      </c>
      <c r="R86" s="485">
        <f t="shared" ref="R86:R91" si="190">Y86*-1</f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ref="X86:X91" si="191">SUM(R86:W86)</f>
        <v>0</v>
      </c>
      <c r="Y86" s="475">
        <v>0</v>
      </c>
      <c r="Z86" s="475">
        <v>0</v>
      </c>
      <c r="AA86" s="475">
        <v>0</v>
      </c>
      <c r="AB86" s="475">
        <f t="shared" ref="AB86:AB91" si="192">SUM(Y86:AA86)</f>
        <v>0</v>
      </c>
      <c r="AC86" s="475">
        <f t="shared" ref="AC86:AC91" si="193">X86+AB86</f>
        <v>0</v>
      </c>
      <c r="AD86" s="70">
        <f t="shared" ref="AD86:AD91" si="194">ROUND((X86+Y86+Z86)*33.8%,0)</f>
        <v>0</v>
      </c>
      <c r="AE86" s="70">
        <f t="shared" ref="AE86:AE91" si="195">ROUND(X86*2%,0)</f>
        <v>0</v>
      </c>
      <c r="AF86" s="475">
        <v>0</v>
      </c>
      <c r="AG86" s="475">
        <v>0</v>
      </c>
      <c r="AH86" s="475">
        <f t="shared" ref="AH86:AH91" si="196">SUM(AF86:AG86)</f>
        <v>0</v>
      </c>
      <c r="AI86" s="475">
        <f t="shared" ref="AI86:AI91" si="197">AC86+AD86+AE86+AH86</f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476">
        <f t="shared" ref="AR86:AR91" si="198">AJ86+AL86+AM86+AO86+AP86</f>
        <v>0</v>
      </c>
      <c r="AS86" s="476">
        <f t="shared" ref="AS86:AS91" si="199">AK86+AN86+AQ86</f>
        <v>0</v>
      </c>
      <c r="AT86" s="478">
        <f t="shared" ref="AT86:AT91" si="200">SUM(AR86:AS86)</f>
        <v>0</v>
      </c>
      <c r="AU86" s="484">
        <f t="shared" si="173"/>
        <v>1394339</v>
      </c>
      <c r="AV86" s="475">
        <f t="shared" si="174"/>
        <v>1000426</v>
      </c>
      <c r="AW86" s="475">
        <f t="shared" ref="AW86:AW91" si="201">K86+AB86</f>
        <v>20000</v>
      </c>
      <c r="AX86" s="475">
        <f t="shared" ref="AX86:AY91" si="202">L86+AD86</f>
        <v>344904</v>
      </c>
      <c r="AY86" s="475">
        <f t="shared" si="202"/>
        <v>20009</v>
      </c>
      <c r="AZ86" s="475">
        <f t="shared" si="175"/>
        <v>9000</v>
      </c>
      <c r="BA86" s="476">
        <f t="shared" si="176"/>
        <v>2.3481000000000001</v>
      </c>
      <c r="BB86" s="476">
        <f t="shared" ref="BB86:BC91" si="203">P86+AR86</f>
        <v>1.8872</v>
      </c>
      <c r="BC86" s="478">
        <f t="shared" si="203"/>
        <v>0.46089999999999998</v>
      </c>
    </row>
    <row r="87" spans="1:55" x14ac:dyDescent="0.2">
      <c r="A87" s="216">
        <v>16</v>
      </c>
      <c r="B87" s="217">
        <v>3452</v>
      </c>
      <c r="C87" s="217">
        <v>600078264</v>
      </c>
      <c r="D87" s="217">
        <v>72743557</v>
      </c>
      <c r="E87" s="215" t="s">
        <v>116</v>
      </c>
      <c r="F87" s="217">
        <v>3113</v>
      </c>
      <c r="G87" s="218" t="s">
        <v>314</v>
      </c>
      <c r="H87" s="219" t="s">
        <v>277</v>
      </c>
      <c r="I87" s="477">
        <v>23032877</v>
      </c>
      <c r="J87" s="472">
        <v>16614814</v>
      </c>
      <c r="K87" s="472">
        <v>35000</v>
      </c>
      <c r="L87" s="472">
        <v>5627637</v>
      </c>
      <c r="M87" s="472">
        <v>332296</v>
      </c>
      <c r="N87" s="472">
        <v>423130</v>
      </c>
      <c r="O87" s="473">
        <v>32.0657</v>
      </c>
      <c r="P87" s="474">
        <v>24.662099999999999</v>
      </c>
      <c r="Q87" s="483">
        <v>7.4036</v>
      </c>
      <c r="R87" s="485">
        <f t="shared" si="190"/>
        <v>0</v>
      </c>
      <c r="S87" s="475">
        <v>0</v>
      </c>
      <c r="T87" s="475">
        <v>-180927</v>
      </c>
      <c r="U87" s="475">
        <v>49896</v>
      </c>
      <c r="V87" s="475">
        <v>0</v>
      </c>
      <c r="W87" s="475">
        <v>0</v>
      </c>
      <c r="X87" s="475">
        <f t="shared" si="191"/>
        <v>-131031</v>
      </c>
      <c r="Y87" s="475">
        <v>0</v>
      </c>
      <c r="Z87" s="475">
        <v>0</v>
      </c>
      <c r="AA87" s="475">
        <v>0</v>
      </c>
      <c r="AB87" s="475">
        <f t="shared" si="192"/>
        <v>0</v>
      </c>
      <c r="AC87" s="475">
        <f t="shared" si="193"/>
        <v>-131031</v>
      </c>
      <c r="AD87" s="70">
        <f t="shared" si="194"/>
        <v>-44288</v>
      </c>
      <c r="AE87" s="70">
        <f t="shared" si="195"/>
        <v>-2621</v>
      </c>
      <c r="AF87" s="475">
        <v>0</v>
      </c>
      <c r="AG87" s="475">
        <v>0</v>
      </c>
      <c r="AH87" s="475">
        <f t="shared" si="196"/>
        <v>0</v>
      </c>
      <c r="AI87" s="475">
        <f t="shared" si="197"/>
        <v>-177940</v>
      </c>
      <c r="AJ87" s="476">
        <v>0</v>
      </c>
      <c r="AK87" s="476">
        <v>0</v>
      </c>
      <c r="AL87" s="476">
        <v>0</v>
      </c>
      <c r="AM87" s="476">
        <v>-0.31</v>
      </c>
      <c r="AN87" s="476">
        <v>0</v>
      </c>
      <c r="AO87" s="476">
        <v>0.08</v>
      </c>
      <c r="AP87" s="476">
        <v>0</v>
      </c>
      <c r="AQ87" s="476">
        <v>0</v>
      </c>
      <c r="AR87" s="476">
        <f t="shared" si="198"/>
        <v>-0.22999999999999998</v>
      </c>
      <c r="AS87" s="476">
        <f t="shared" si="199"/>
        <v>0</v>
      </c>
      <c r="AT87" s="478">
        <f t="shared" si="200"/>
        <v>-0.22999999999999998</v>
      </c>
      <c r="AU87" s="484">
        <f t="shared" si="173"/>
        <v>22854937</v>
      </c>
      <c r="AV87" s="475">
        <f t="shared" si="174"/>
        <v>16483783</v>
      </c>
      <c r="AW87" s="475">
        <f t="shared" si="201"/>
        <v>35000</v>
      </c>
      <c r="AX87" s="475">
        <f t="shared" si="202"/>
        <v>5583349</v>
      </c>
      <c r="AY87" s="475">
        <f t="shared" si="202"/>
        <v>329675</v>
      </c>
      <c r="AZ87" s="475">
        <f t="shared" si="175"/>
        <v>423130</v>
      </c>
      <c r="BA87" s="476">
        <f t="shared" si="176"/>
        <v>31.835699999999999</v>
      </c>
      <c r="BB87" s="476">
        <f t="shared" si="203"/>
        <v>24.432099999999998</v>
      </c>
      <c r="BC87" s="478">
        <f t="shared" si="203"/>
        <v>7.4036</v>
      </c>
    </row>
    <row r="88" spans="1:55" x14ac:dyDescent="0.2">
      <c r="A88" s="216">
        <v>16</v>
      </c>
      <c r="B88" s="217">
        <v>3452</v>
      </c>
      <c r="C88" s="217">
        <v>600078264</v>
      </c>
      <c r="D88" s="217">
        <v>72743557</v>
      </c>
      <c r="E88" s="215" t="s">
        <v>116</v>
      </c>
      <c r="F88" s="217">
        <v>3113</v>
      </c>
      <c r="G88" s="218" t="s">
        <v>312</v>
      </c>
      <c r="H88" s="219" t="s">
        <v>278</v>
      </c>
      <c r="I88" s="477">
        <v>3838999</v>
      </c>
      <c r="J88" s="472">
        <v>2818666</v>
      </c>
      <c r="K88" s="472">
        <v>0</v>
      </c>
      <c r="L88" s="472">
        <v>952709</v>
      </c>
      <c r="M88" s="472">
        <v>56374</v>
      </c>
      <c r="N88" s="472">
        <v>11250</v>
      </c>
      <c r="O88" s="473">
        <v>7.9</v>
      </c>
      <c r="P88" s="474">
        <v>7.9</v>
      </c>
      <c r="Q88" s="483">
        <v>0</v>
      </c>
      <c r="R88" s="485">
        <f t="shared" si="190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191"/>
        <v>0</v>
      </c>
      <c r="Y88" s="475">
        <v>0</v>
      </c>
      <c r="Z88" s="475">
        <v>0</v>
      </c>
      <c r="AA88" s="475">
        <v>0</v>
      </c>
      <c r="AB88" s="475">
        <f t="shared" si="192"/>
        <v>0</v>
      </c>
      <c r="AC88" s="475">
        <f t="shared" si="193"/>
        <v>0</v>
      </c>
      <c r="AD88" s="70">
        <f t="shared" si="194"/>
        <v>0</v>
      </c>
      <c r="AE88" s="70">
        <f t="shared" si="195"/>
        <v>0</v>
      </c>
      <c r="AF88" s="475">
        <v>0</v>
      </c>
      <c r="AG88" s="475">
        <v>0</v>
      </c>
      <c r="AH88" s="475">
        <f t="shared" si="196"/>
        <v>0</v>
      </c>
      <c r="AI88" s="475">
        <f t="shared" si="197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 t="shared" si="198"/>
        <v>0</v>
      </c>
      <c r="AS88" s="476">
        <f t="shared" si="199"/>
        <v>0</v>
      </c>
      <c r="AT88" s="478">
        <f t="shared" si="200"/>
        <v>0</v>
      </c>
      <c r="AU88" s="484">
        <f t="shared" si="173"/>
        <v>3838999</v>
      </c>
      <c r="AV88" s="475">
        <f t="shared" si="174"/>
        <v>2818666</v>
      </c>
      <c r="AW88" s="475">
        <f t="shared" si="201"/>
        <v>0</v>
      </c>
      <c r="AX88" s="475">
        <f t="shared" si="202"/>
        <v>952709</v>
      </c>
      <c r="AY88" s="475">
        <f t="shared" si="202"/>
        <v>56374</v>
      </c>
      <c r="AZ88" s="475">
        <f t="shared" si="175"/>
        <v>11250</v>
      </c>
      <c r="BA88" s="476">
        <f t="shared" si="176"/>
        <v>7.9</v>
      </c>
      <c r="BB88" s="476">
        <f t="shared" si="203"/>
        <v>7.9</v>
      </c>
      <c r="BC88" s="478">
        <f t="shared" si="203"/>
        <v>0</v>
      </c>
    </row>
    <row r="89" spans="1:55" x14ac:dyDescent="0.2">
      <c r="A89" s="216">
        <v>16</v>
      </c>
      <c r="B89" s="217">
        <v>3452</v>
      </c>
      <c r="C89" s="217">
        <v>600078264</v>
      </c>
      <c r="D89" s="217">
        <v>72743557</v>
      </c>
      <c r="E89" s="215" t="s">
        <v>116</v>
      </c>
      <c r="F89" s="217">
        <v>3141</v>
      </c>
      <c r="G89" s="218" t="s">
        <v>315</v>
      </c>
      <c r="H89" s="219" t="s">
        <v>278</v>
      </c>
      <c r="I89" s="477">
        <v>2263087</v>
      </c>
      <c r="J89" s="472">
        <v>1635163</v>
      </c>
      <c r="K89" s="472">
        <v>20000</v>
      </c>
      <c r="L89" s="472">
        <v>559445</v>
      </c>
      <c r="M89" s="472">
        <v>32703</v>
      </c>
      <c r="N89" s="472">
        <v>15776</v>
      </c>
      <c r="O89" s="473">
        <v>5.22</v>
      </c>
      <c r="P89" s="474">
        <v>0</v>
      </c>
      <c r="Q89" s="483">
        <v>5.22</v>
      </c>
      <c r="R89" s="485">
        <f t="shared" si="190"/>
        <v>0</v>
      </c>
      <c r="S89" s="475">
        <v>0</v>
      </c>
      <c r="T89" s="475">
        <v>-15813</v>
      </c>
      <c r="U89" s="475">
        <v>0</v>
      </c>
      <c r="V89" s="475">
        <v>0</v>
      </c>
      <c r="W89" s="475">
        <v>0</v>
      </c>
      <c r="X89" s="475">
        <f t="shared" si="191"/>
        <v>-15813</v>
      </c>
      <c r="Y89" s="475">
        <v>0</v>
      </c>
      <c r="Z89" s="475">
        <v>0</v>
      </c>
      <c r="AA89" s="475">
        <v>0</v>
      </c>
      <c r="AB89" s="475">
        <f t="shared" si="192"/>
        <v>0</v>
      </c>
      <c r="AC89" s="475">
        <f t="shared" si="193"/>
        <v>-15813</v>
      </c>
      <c r="AD89" s="70">
        <f t="shared" si="194"/>
        <v>-5345</v>
      </c>
      <c r="AE89" s="70">
        <f t="shared" si="195"/>
        <v>-316</v>
      </c>
      <c r="AF89" s="475">
        <v>0</v>
      </c>
      <c r="AG89" s="475">
        <v>0</v>
      </c>
      <c r="AH89" s="475">
        <f t="shared" si="196"/>
        <v>0</v>
      </c>
      <c r="AI89" s="475">
        <f t="shared" si="197"/>
        <v>-21474</v>
      </c>
      <c r="AJ89" s="476">
        <v>0</v>
      </c>
      <c r="AK89" s="476">
        <v>0</v>
      </c>
      <c r="AL89" s="476">
        <v>0</v>
      </c>
      <c r="AM89" s="476">
        <v>0</v>
      </c>
      <c r="AN89" s="476">
        <v>-0.05</v>
      </c>
      <c r="AO89" s="476">
        <v>0</v>
      </c>
      <c r="AP89" s="476">
        <v>0</v>
      </c>
      <c r="AQ89" s="476">
        <v>0</v>
      </c>
      <c r="AR89" s="476">
        <f t="shared" si="198"/>
        <v>0</v>
      </c>
      <c r="AS89" s="476">
        <f t="shared" si="199"/>
        <v>-0.05</v>
      </c>
      <c r="AT89" s="478">
        <f t="shared" si="200"/>
        <v>-0.05</v>
      </c>
      <c r="AU89" s="484">
        <f t="shared" si="173"/>
        <v>2241613</v>
      </c>
      <c r="AV89" s="475">
        <f t="shared" si="174"/>
        <v>1619350</v>
      </c>
      <c r="AW89" s="475">
        <f t="shared" si="201"/>
        <v>20000</v>
      </c>
      <c r="AX89" s="475">
        <f t="shared" si="202"/>
        <v>554100</v>
      </c>
      <c r="AY89" s="475">
        <f t="shared" si="202"/>
        <v>32387</v>
      </c>
      <c r="AZ89" s="475">
        <f t="shared" si="175"/>
        <v>15776</v>
      </c>
      <c r="BA89" s="476">
        <f t="shared" si="176"/>
        <v>5.17</v>
      </c>
      <c r="BB89" s="476">
        <f t="shared" si="203"/>
        <v>0</v>
      </c>
      <c r="BC89" s="478">
        <f t="shared" si="203"/>
        <v>5.17</v>
      </c>
    </row>
    <row r="90" spans="1:55" x14ac:dyDescent="0.2">
      <c r="A90" s="216">
        <v>16</v>
      </c>
      <c r="B90" s="217">
        <v>3452</v>
      </c>
      <c r="C90" s="217">
        <v>600078264</v>
      </c>
      <c r="D90" s="217">
        <v>72743557</v>
      </c>
      <c r="E90" s="215" t="s">
        <v>116</v>
      </c>
      <c r="F90" s="217">
        <v>3143</v>
      </c>
      <c r="G90" s="218" t="s">
        <v>626</v>
      </c>
      <c r="H90" s="239" t="s">
        <v>277</v>
      </c>
      <c r="I90" s="477">
        <v>1904667</v>
      </c>
      <c r="J90" s="472">
        <v>1392700</v>
      </c>
      <c r="K90" s="472">
        <v>10000</v>
      </c>
      <c r="L90" s="472">
        <v>474113</v>
      </c>
      <c r="M90" s="472">
        <v>27854</v>
      </c>
      <c r="N90" s="472">
        <v>0</v>
      </c>
      <c r="O90" s="473">
        <v>2.8035000000000001</v>
      </c>
      <c r="P90" s="474">
        <v>2.8035000000000001</v>
      </c>
      <c r="Q90" s="483">
        <v>0</v>
      </c>
      <c r="R90" s="485">
        <f t="shared" si="190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91"/>
        <v>0</v>
      </c>
      <c r="Y90" s="475">
        <v>0</v>
      </c>
      <c r="Z90" s="475">
        <v>0</v>
      </c>
      <c r="AA90" s="475">
        <v>0</v>
      </c>
      <c r="AB90" s="475">
        <f t="shared" si="192"/>
        <v>0</v>
      </c>
      <c r="AC90" s="475">
        <f t="shared" si="193"/>
        <v>0</v>
      </c>
      <c r="AD90" s="70">
        <f t="shared" si="194"/>
        <v>0</v>
      </c>
      <c r="AE90" s="70">
        <f t="shared" si="195"/>
        <v>0</v>
      </c>
      <c r="AF90" s="475">
        <v>0</v>
      </c>
      <c r="AG90" s="475">
        <v>0</v>
      </c>
      <c r="AH90" s="475">
        <f t="shared" si="196"/>
        <v>0</v>
      </c>
      <c r="AI90" s="475">
        <f t="shared" si="197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 t="shared" si="198"/>
        <v>0</v>
      </c>
      <c r="AS90" s="476">
        <f t="shared" si="199"/>
        <v>0</v>
      </c>
      <c r="AT90" s="478">
        <f t="shared" si="200"/>
        <v>0</v>
      </c>
      <c r="AU90" s="484">
        <f t="shared" si="173"/>
        <v>1904667</v>
      </c>
      <c r="AV90" s="475">
        <f t="shared" si="174"/>
        <v>1392700</v>
      </c>
      <c r="AW90" s="475">
        <f t="shared" si="201"/>
        <v>10000</v>
      </c>
      <c r="AX90" s="475">
        <f t="shared" si="202"/>
        <v>474113</v>
      </c>
      <c r="AY90" s="475">
        <f t="shared" si="202"/>
        <v>27854</v>
      </c>
      <c r="AZ90" s="475">
        <f t="shared" si="175"/>
        <v>0</v>
      </c>
      <c r="BA90" s="476">
        <f t="shared" si="176"/>
        <v>2.8035000000000001</v>
      </c>
      <c r="BB90" s="476">
        <f t="shared" si="203"/>
        <v>2.8035000000000001</v>
      </c>
      <c r="BC90" s="478">
        <f t="shared" si="203"/>
        <v>0</v>
      </c>
    </row>
    <row r="91" spans="1:55" x14ac:dyDescent="0.2">
      <c r="A91" s="216">
        <v>16</v>
      </c>
      <c r="B91" s="217">
        <v>3452</v>
      </c>
      <c r="C91" s="217">
        <v>600078264</v>
      </c>
      <c r="D91" s="217">
        <v>72743557</v>
      </c>
      <c r="E91" s="215" t="s">
        <v>116</v>
      </c>
      <c r="F91" s="217">
        <v>3143</v>
      </c>
      <c r="G91" s="218" t="s">
        <v>627</v>
      </c>
      <c r="H91" s="239" t="s">
        <v>278</v>
      </c>
      <c r="I91" s="477">
        <v>55945</v>
      </c>
      <c r="J91" s="472">
        <v>39562</v>
      </c>
      <c r="K91" s="472">
        <v>0</v>
      </c>
      <c r="L91" s="472">
        <v>13372</v>
      </c>
      <c r="M91" s="472">
        <v>791</v>
      </c>
      <c r="N91" s="472">
        <v>2220</v>
      </c>
      <c r="O91" s="473">
        <v>0.16</v>
      </c>
      <c r="P91" s="474">
        <v>0</v>
      </c>
      <c r="Q91" s="483">
        <v>0.16</v>
      </c>
      <c r="R91" s="485">
        <f t="shared" si="190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91"/>
        <v>0</v>
      </c>
      <c r="Y91" s="475">
        <v>0</v>
      </c>
      <c r="Z91" s="475">
        <v>0</v>
      </c>
      <c r="AA91" s="475">
        <v>0</v>
      </c>
      <c r="AB91" s="475">
        <f t="shared" si="192"/>
        <v>0</v>
      </c>
      <c r="AC91" s="475">
        <f t="shared" si="193"/>
        <v>0</v>
      </c>
      <c r="AD91" s="70">
        <f t="shared" si="194"/>
        <v>0</v>
      </c>
      <c r="AE91" s="70">
        <f t="shared" si="195"/>
        <v>0</v>
      </c>
      <c r="AF91" s="475">
        <v>0</v>
      </c>
      <c r="AG91" s="475">
        <v>0</v>
      </c>
      <c r="AH91" s="475">
        <f t="shared" si="196"/>
        <v>0</v>
      </c>
      <c r="AI91" s="475">
        <f t="shared" si="197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 t="shared" si="198"/>
        <v>0</v>
      </c>
      <c r="AS91" s="476">
        <f t="shared" si="199"/>
        <v>0</v>
      </c>
      <c r="AT91" s="478">
        <f t="shared" si="200"/>
        <v>0</v>
      </c>
      <c r="AU91" s="484">
        <f t="shared" si="173"/>
        <v>55945</v>
      </c>
      <c r="AV91" s="475">
        <f t="shared" si="174"/>
        <v>39562</v>
      </c>
      <c r="AW91" s="475">
        <f t="shared" si="201"/>
        <v>0</v>
      </c>
      <c r="AX91" s="475">
        <f t="shared" si="202"/>
        <v>13372</v>
      </c>
      <c r="AY91" s="475">
        <f t="shared" si="202"/>
        <v>791</v>
      </c>
      <c r="AZ91" s="475">
        <f t="shared" si="175"/>
        <v>2220</v>
      </c>
      <c r="BA91" s="476">
        <f t="shared" si="176"/>
        <v>0.16</v>
      </c>
      <c r="BB91" s="476">
        <f t="shared" si="203"/>
        <v>0</v>
      </c>
      <c r="BC91" s="478">
        <f t="shared" si="203"/>
        <v>0.16</v>
      </c>
    </row>
    <row r="92" spans="1:55" x14ac:dyDescent="0.2">
      <c r="A92" s="162">
        <v>16</v>
      </c>
      <c r="B92" s="18">
        <v>3452</v>
      </c>
      <c r="C92" s="18">
        <v>600078264</v>
      </c>
      <c r="D92" s="18">
        <v>72743557</v>
      </c>
      <c r="E92" s="171" t="s">
        <v>117</v>
      </c>
      <c r="F92" s="18"/>
      <c r="G92" s="161"/>
      <c r="H92" s="195"/>
      <c r="I92" s="529">
        <v>32489914</v>
      </c>
      <c r="J92" s="526">
        <v>23501331</v>
      </c>
      <c r="K92" s="526">
        <v>85000</v>
      </c>
      <c r="L92" s="526">
        <v>7972180</v>
      </c>
      <c r="M92" s="526">
        <v>470027</v>
      </c>
      <c r="N92" s="526">
        <v>461376</v>
      </c>
      <c r="O92" s="527">
        <v>50.497299999999996</v>
      </c>
      <c r="P92" s="527">
        <v>37.252800000000001</v>
      </c>
      <c r="Q92" s="531">
        <v>13.244499999999999</v>
      </c>
      <c r="R92" s="529">
        <f t="shared" ref="R92:BC92" si="204">SUM(R86:R91)</f>
        <v>0</v>
      </c>
      <c r="S92" s="526">
        <f t="shared" si="204"/>
        <v>0</v>
      </c>
      <c r="T92" s="526">
        <f t="shared" si="204"/>
        <v>-196740</v>
      </c>
      <c r="U92" s="526">
        <f t="shared" si="204"/>
        <v>49896</v>
      </c>
      <c r="V92" s="526">
        <f t="shared" si="204"/>
        <v>0</v>
      </c>
      <c r="W92" s="526">
        <f t="shared" si="204"/>
        <v>0</v>
      </c>
      <c r="X92" s="526">
        <f t="shared" si="204"/>
        <v>-146844</v>
      </c>
      <c r="Y92" s="526">
        <f t="shared" si="204"/>
        <v>0</v>
      </c>
      <c r="Z92" s="526">
        <f t="shared" si="204"/>
        <v>0</v>
      </c>
      <c r="AA92" s="526">
        <f t="shared" si="204"/>
        <v>0</v>
      </c>
      <c r="AB92" s="526">
        <f t="shared" si="204"/>
        <v>0</v>
      </c>
      <c r="AC92" s="526">
        <f t="shared" si="204"/>
        <v>-146844</v>
      </c>
      <c r="AD92" s="526">
        <f t="shared" si="204"/>
        <v>-49633</v>
      </c>
      <c r="AE92" s="526">
        <f t="shared" si="204"/>
        <v>-2937</v>
      </c>
      <c r="AF92" s="526">
        <f t="shared" si="204"/>
        <v>0</v>
      </c>
      <c r="AG92" s="526">
        <f t="shared" si="204"/>
        <v>0</v>
      </c>
      <c r="AH92" s="526">
        <f t="shared" si="204"/>
        <v>0</v>
      </c>
      <c r="AI92" s="526">
        <f t="shared" si="204"/>
        <v>-199414</v>
      </c>
      <c r="AJ92" s="527">
        <f t="shared" si="204"/>
        <v>0</v>
      </c>
      <c r="AK92" s="527">
        <f t="shared" si="204"/>
        <v>0</v>
      </c>
      <c r="AL92" s="527">
        <f t="shared" si="204"/>
        <v>0</v>
      </c>
      <c r="AM92" s="527">
        <f t="shared" si="204"/>
        <v>-0.31</v>
      </c>
      <c r="AN92" s="527">
        <f t="shared" si="204"/>
        <v>-0.05</v>
      </c>
      <c r="AO92" s="527">
        <f t="shared" si="204"/>
        <v>0.08</v>
      </c>
      <c r="AP92" s="527">
        <f t="shared" si="204"/>
        <v>0</v>
      </c>
      <c r="AQ92" s="527">
        <f t="shared" si="204"/>
        <v>0</v>
      </c>
      <c r="AR92" s="527">
        <f t="shared" si="204"/>
        <v>-0.22999999999999998</v>
      </c>
      <c r="AS92" s="527">
        <f t="shared" si="204"/>
        <v>-0.05</v>
      </c>
      <c r="AT92" s="40">
        <f t="shared" si="204"/>
        <v>-0.27999999999999997</v>
      </c>
      <c r="AU92" s="533">
        <f t="shared" si="204"/>
        <v>32290500</v>
      </c>
      <c r="AV92" s="526">
        <f t="shared" si="204"/>
        <v>23354487</v>
      </c>
      <c r="AW92" s="526">
        <f t="shared" si="204"/>
        <v>85000</v>
      </c>
      <c r="AX92" s="526">
        <f t="shared" si="204"/>
        <v>7922547</v>
      </c>
      <c r="AY92" s="526">
        <f t="shared" si="204"/>
        <v>467090</v>
      </c>
      <c r="AZ92" s="526">
        <f t="shared" si="204"/>
        <v>461376</v>
      </c>
      <c r="BA92" s="527">
        <f t="shared" si="204"/>
        <v>50.217299999999994</v>
      </c>
      <c r="BB92" s="527">
        <f t="shared" si="204"/>
        <v>37.022799999999997</v>
      </c>
      <c r="BC92" s="40">
        <f t="shared" si="204"/>
        <v>13.1945</v>
      </c>
    </row>
    <row r="93" spans="1:55" x14ac:dyDescent="0.2">
      <c r="A93" s="216">
        <v>17</v>
      </c>
      <c r="B93" s="217">
        <v>3445</v>
      </c>
      <c r="C93" s="217">
        <v>600078604</v>
      </c>
      <c r="D93" s="217">
        <v>70695849</v>
      </c>
      <c r="E93" s="215" t="s">
        <v>118</v>
      </c>
      <c r="F93" s="217">
        <v>3111</v>
      </c>
      <c r="G93" s="218" t="s">
        <v>311</v>
      </c>
      <c r="H93" s="219" t="s">
        <v>277</v>
      </c>
      <c r="I93" s="477">
        <v>1608808</v>
      </c>
      <c r="J93" s="472">
        <v>1136331</v>
      </c>
      <c r="K93" s="472">
        <v>40000</v>
      </c>
      <c r="L93" s="472">
        <v>397600</v>
      </c>
      <c r="M93" s="472">
        <v>22727</v>
      </c>
      <c r="N93" s="472">
        <v>12150</v>
      </c>
      <c r="O93" s="473">
        <v>2.3109000000000002</v>
      </c>
      <c r="P93" s="474">
        <v>2</v>
      </c>
      <c r="Q93" s="483">
        <v>0.31090000000000001</v>
      </c>
      <c r="R93" s="485">
        <f t="shared" ref="R93:R98" si="205">Y93*-1</f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ref="X93:X98" si="206">SUM(R93:W93)</f>
        <v>0</v>
      </c>
      <c r="Y93" s="475">
        <v>0</v>
      </c>
      <c r="Z93" s="475">
        <v>0</v>
      </c>
      <c r="AA93" s="475">
        <v>0</v>
      </c>
      <c r="AB93" s="475">
        <f t="shared" ref="AB93:AB98" si="207">SUM(Y93:AA93)</f>
        <v>0</v>
      </c>
      <c r="AC93" s="475">
        <f t="shared" ref="AC93:AC98" si="208">X93+AB93</f>
        <v>0</v>
      </c>
      <c r="AD93" s="70">
        <f t="shared" ref="AD93:AD98" si="209">ROUND((X93+Y93+Z93)*33.8%,0)</f>
        <v>0</v>
      </c>
      <c r="AE93" s="70">
        <f t="shared" ref="AE93:AE98" si="210">ROUND(X93*2%,0)</f>
        <v>0</v>
      </c>
      <c r="AF93" s="475">
        <v>0</v>
      </c>
      <c r="AG93" s="475">
        <v>0</v>
      </c>
      <c r="AH93" s="475">
        <f t="shared" ref="AH93:AH98" si="211">SUM(AF93:AG93)</f>
        <v>0</v>
      </c>
      <c r="AI93" s="475">
        <f t="shared" ref="AI93:AI98" si="212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 t="shared" ref="AR93:AR98" si="213">AJ93+AL93+AM93+AO93+AP93</f>
        <v>0</v>
      </c>
      <c r="AS93" s="476">
        <f t="shared" ref="AS93:AS98" si="214">AK93+AN93+AQ93</f>
        <v>0</v>
      </c>
      <c r="AT93" s="478">
        <f t="shared" ref="AT93:AT98" si="215">SUM(AR93:AS93)</f>
        <v>0</v>
      </c>
      <c r="AU93" s="484">
        <f t="shared" si="173"/>
        <v>1608808</v>
      </c>
      <c r="AV93" s="475">
        <f t="shared" si="174"/>
        <v>1136331</v>
      </c>
      <c r="AW93" s="475">
        <f t="shared" ref="AW93:AW98" si="216">K93+AB93</f>
        <v>40000</v>
      </c>
      <c r="AX93" s="475">
        <f t="shared" ref="AX93:AY98" si="217">L93+AD93</f>
        <v>397600</v>
      </c>
      <c r="AY93" s="475">
        <f t="shared" si="217"/>
        <v>22727</v>
      </c>
      <c r="AZ93" s="475">
        <f t="shared" si="175"/>
        <v>12150</v>
      </c>
      <c r="BA93" s="476">
        <f t="shared" si="176"/>
        <v>2.3109000000000002</v>
      </c>
      <c r="BB93" s="476">
        <f t="shared" ref="BB93:BC98" si="218">P93+AR93</f>
        <v>2</v>
      </c>
      <c r="BC93" s="478">
        <f t="shared" si="218"/>
        <v>0.31090000000000001</v>
      </c>
    </row>
    <row r="94" spans="1:55" x14ac:dyDescent="0.2">
      <c r="A94" s="216">
        <v>17</v>
      </c>
      <c r="B94" s="217">
        <v>3445</v>
      </c>
      <c r="C94" s="217">
        <v>600078604</v>
      </c>
      <c r="D94" s="217">
        <v>70695849</v>
      </c>
      <c r="E94" s="215" t="s">
        <v>118</v>
      </c>
      <c r="F94" s="217">
        <v>3117</v>
      </c>
      <c r="G94" s="218" t="s">
        <v>314</v>
      </c>
      <c r="H94" s="219" t="s">
        <v>277</v>
      </c>
      <c r="I94" s="477">
        <v>2356545</v>
      </c>
      <c r="J94" s="472">
        <v>1671259</v>
      </c>
      <c r="K94" s="472">
        <v>42000</v>
      </c>
      <c r="L94" s="472">
        <v>579081</v>
      </c>
      <c r="M94" s="472">
        <v>33425</v>
      </c>
      <c r="N94" s="472">
        <v>30780</v>
      </c>
      <c r="O94" s="473">
        <v>3.1588999999999996</v>
      </c>
      <c r="P94" s="474">
        <v>2.3184999999999998</v>
      </c>
      <c r="Q94" s="483">
        <v>0.84040000000000004</v>
      </c>
      <c r="R94" s="485">
        <f t="shared" si="205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06"/>
        <v>0</v>
      </c>
      <c r="Y94" s="475">
        <v>0</v>
      </c>
      <c r="Z94" s="475">
        <v>0</v>
      </c>
      <c r="AA94" s="475">
        <v>0</v>
      </c>
      <c r="AB94" s="475">
        <f t="shared" si="207"/>
        <v>0</v>
      </c>
      <c r="AC94" s="475">
        <f t="shared" si="208"/>
        <v>0</v>
      </c>
      <c r="AD94" s="70">
        <f t="shared" si="209"/>
        <v>0</v>
      </c>
      <c r="AE94" s="70">
        <f t="shared" si="210"/>
        <v>0</v>
      </c>
      <c r="AF94" s="475">
        <v>0</v>
      </c>
      <c r="AG94" s="475">
        <v>0</v>
      </c>
      <c r="AH94" s="475">
        <f t="shared" si="211"/>
        <v>0</v>
      </c>
      <c r="AI94" s="475">
        <f t="shared" si="212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 t="shared" si="213"/>
        <v>0</v>
      </c>
      <c r="AS94" s="476">
        <f t="shared" si="214"/>
        <v>0</v>
      </c>
      <c r="AT94" s="478">
        <f t="shared" si="215"/>
        <v>0</v>
      </c>
      <c r="AU94" s="484">
        <f t="shared" si="173"/>
        <v>2356545</v>
      </c>
      <c r="AV94" s="475">
        <f t="shared" si="174"/>
        <v>1671259</v>
      </c>
      <c r="AW94" s="475">
        <f t="shared" si="216"/>
        <v>42000</v>
      </c>
      <c r="AX94" s="475">
        <f t="shared" si="217"/>
        <v>579081</v>
      </c>
      <c r="AY94" s="475">
        <f t="shared" si="217"/>
        <v>33425</v>
      </c>
      <c r="AZ94" s="475">
        <f t="shared" si="175"/>
        <v>30780</v>
      </c>
      <c r="BA94" s="476">
        <f t="shared" si="176"/>
        <v>3.1588999999999996</v>
      </c>
      <c r="BB94" s="476">
        <f t="shared" si="218"/>
        <v>2.3184999999999998</v>
      </c>
      <c r="BC94" s="478">
        <f t="shared" si="218"/>
        <v>0.84040000000000004</v>
      </c>
    </row>
    <row r="95" spans="1:55" x14ac:dyDescent="0.2">
      <c r="A95" s="216">
        <v>17</v>
      </c>
      <c r="B95" s="217">
        <v>3445</v>
      </c>
      <c r="C95" s="217">
        <v>600078604</v>
      </c>
      <c r="D95" s="217">
        <v>70695849</v>
      </c>
      <c r="E95" s="215" t="s">
        <v>118</v>
      </c>
      <c r="F95" s="217">
        <v>3117</v>
      </c>
      <c r="G95" s="218" t="s">
        <v>312</v>
      </c>
      <c r="H95" s="219" t="s">
        <v>278</v>
      </c>
      <c r="I95" s="477">
        <v>235236</v>
      </c>
      <c r="J95" s="472">
        <v>173222</v>
      </c>
      <c r="K95" s="472">
        <v>0</v>
      </c>
      <c r="L95" s="472">
        <v>58549</v>
      </c>
      <c r="M95" s="472">
        <v>3465</v>
      </c>
      <c r="N95" s="472">
        <v>0</v>
      </c>
      <c r="O95" s="473">
        <v>0.5</v>
      </c>
      <c r="P95" s="474">
        <v>0.5</v>
      </c>
      <c r="Q95" s="483">
        <v>0</v>
      </c>
      <c r="R95" s="485">
        <f t="shared" si="205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06"/>
        <v>0</v>
      </c>
      <c r="Y95" s="475">
        <v>0</v>
      </c>
      <c r="Z95" s="475">
        <v>0</v>
      </c>
      <c r="AA95" s="475">
        <v>0</v>
      </c>
      <c r="AB95" s="475">
        <f t="shared" si="207"/>
        <v>0</v>
      </c>
      <c r="AC95" s="475">
        <f t="shared" si="208"/>
        <v>0</v>
      </c>
      <c r="AD95" s="70">
        <f t="shared" si="209"/>
        <v>0</v>
      </c>
      <c r="AE95" s="70">
        <f t="shared" si="210"/>
        <v>0</v>
      </c>
      <c r="AF95" s="475">
        <v>0</v>
      </c>
      <c r="AG95" s="475">
        <v>0</v>
      </c>
      <c r="AH95" s="475">
        <f t="shared" si="211"/>
        <v>0</v>
      </c>
      <c r="AI95" s="475">
        <f t="shared" si="212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 t="shared" si="213"/>
        <v>0</v>
      </c>
      <c r="AS95" s="476">
        <f t="shared" si="214"/>
        <v>0</v>
      </c>
      <c r="AT95" s="478">
        <f t="shared" si="215"/>
        <v>0</v>
      </c>
      <c r="AU95" s="484">
        <f t="shared" si="173"/>
        <v>235236</v>
      </c>
      <c r="AV95" s="475">
        <f t="shared" si="174"/>
        <v>173222</v>
      </c>
      <c r="AW95" s="475">
        <f t="shared" si="216"/>
        <v>0</v>
      </c>
      <c r="AX95" s="475">
        <f t="shared" si="217"/>
        <v>58549</v>
      </c>
      <c r="AY95" s="475">
        <f t="shared" si="217"/>
        <v>3465</v>
      </c>
      <c r="AZ95" s="475">
        <f t="shared" si="175"/>
        <v>0</v>
      </c>
      <c r="BA95" s="476">
        <f t="shared" si="176"/>
        <v>0.5</v>
      </c>
      <c r="BB95" s="476">
        <f t="shared" si="218"/>
        <v>0.5</v>
      </c>
      <c r="BC95" s="478">
        <f t="shared" si="218"/>
        <v>0</v>
      </c>
    </row>
    <row r="96" spans="1:55" x14ac:dyDescent="0.2">
      <c r="A96" s="216">
        <v>17</v>
      </c>
      <c r="B96" s="217">
        <v>3445</v>
      </c>
      <c r="C96" s="217">
        <v>600078604</v>
      </c>
      <c r="D96" s="217">
        <v>70695849</v>
      </c>
      <c r="E96" s="215" t="s">
        <v>118</v>
      </c>
      <c r="F96" s="217">
        <v>3141</v>
      </c>
      <c r="G96" s="218" t="s">
        <v>315</v>
      </c>
      <c r="H96" s="219" t="s">
        <v>278</v>
      </c>
      <c r="I96" s="477">
        <v>660442</v>
      </c>
      <c r="J96" s="472">
        <v>474560</v>
      </c>
      <c r="K96" s="472">
        <v>10000</v>
      </c>
      <c r="L96" s="472">
        <v>163781</v>
      </c>
      <c r="M96" s="472">
        <v>9491</v>
      </c>
      <c r="N96" s="472">
        <v>2610</v>
      </c>
      <c r="O96" s="473">
        <v>1.53</v>
      </c>
      <c r="P96" s="474">
        <v>0</v>
      </c>
      <c r="Q96" s="483">
        <v>1.53</v>
      </c>
      <c r="R96" s="485">
        <f t="shared" si="205"/>
        <v>0</v>
      </c>
      <c r="S96" s="475">
        <v>0</v>
      </c>
      <c r="T96" s="475">
        <v>-2958</v>
      </c>
      <c r="U96" s="475">
        <v>0</v>
      </c>
      <c r="V96" s="475">
        <v>0</v>
      </c>
      <c r="W96" s="475">
        <v>0</v>
      </c>
      <c r="X96" s="475">
        <f t="shared" si="206"/>
        <v>-2958</v>
      </c>
      <c r="Y96" s="475">
        <v>0</v>
      </c>
      <c r="Z96" s="475">
        <v>0</v>
      </c>
      <c r="AA96" s="475">
        <v>0</v>
      </c>
      <c r="AB96" s="475">
        <f t="shared" si="207"/>
        <v>0</v>
      </c>
      <c r="AC96" s="475">
        <f t="shared" si="208"/>
        <v>-2958</v>
      </c>
      <c r="AD96" s="70">
        <f t="shared" si="209"/>
        <v>-1000</v>
      </c>
      <c r="AE96" s="70">
        <f t="shared" si="210"/>
        <v>-59</v>
      </c>
      <c r="AF96" s="475">
        <v>0</v>
      </c>
      <c r="AG96" s="475">
        <v>0</v>
      </c>
      <c r="AH96" s="475">
        <f t="shared" si="211"/>
        <v>0</v>
      </c>
      <c r="AI96" s="475">
        <f t="shared" si="212"/>
        <v>-4017</v>
      </c>
      <c r="AJ96" s="476">
        <v>0</v>
      </c>
      <c r="AK96" s="476">
        <v>0</v>
      </c>
      <c r="AL96" s="476">
        <v>0</v>
      </c>
      <c r="AM96" s="476">
        <v>0</v>
      </c>
      <c r="AN96" s="476">
        <v>-0.01</v>
      </c>
      <c r="AO96" s="476">
        <v>0</v>
      </c>
      <c r="AP96" s="476">
        <v>0</v>
      </c>
      <c r="AQ96" s="476">
        <v>0</v>
      </c>
      <c r="AR96" s="476">
        <f t="shared" si="213"/>
        <v>0</v>
      </c>
      <c r="AS96" s="476">
        <f t="shared" si="214"/>
        <v>-0.01</v>
      </c>
      <c r="AT96" s="478">
        <f t="shared" si="215"/>
        <v>-0.01</v>
      </c>
      <c r="AU96" s="484">
        <f t="shared" si="173"/>
        <v>656425</v>
      </c>
      <c r="AV96" s="475">
        <f t="shared" si="174"/>
        <v>471602</v>
      </c>
      <c r="AW96" s="475">
        <f t="shared" si="216"/>
        <v>10000</v>
      </c>
      <c r="AX96" s="475">
        <f t="shared" si="217"/>
        <v>162781</v>
      </c>
      <c r="AY96" s="475">
        <f t="shared" si="217"/>
        <v>9432</v>
      </c>
      <c r="AZ96" s="475">
        <f t="shared" si="175"/>
        <v>2610</v>
      </c>
      <c r="BA96" s="476">
        <f t="shared" si="176"/>
        <v>1.52</v>
      </c>
      <c r="BB96" s="476">
        <f t="shared" si="218"/>
        <v>0</v>
      </c>
      <c r="BC96" s="478">
        <f t="shared" si="218"/>
        <v>1.52</v>
      </c>
    </row>
    <row r="97" spans="1:55" s="3" customFormat="1" x14ac:dyDescent="0.2">
      <c r="A97" s="216">
        <v>17</v>
      </c>
      <c r="B97" s="217">
        <v>3445</v>
      </c>
      <c r="C97" s="217">
        <v>600078604</v>
      </c>
      <c r="D97" s="217">
        <v>70695849</v>
      </c>
      <c r="E97" s="215" t="s">
        <v>118</v>
      </c>
      <c r="F97" s="217">
        <v>3143</v>
      </c>
      <c r="G97" s="218" t="s">
        <v>626</v>
      </c>
      <c r="H97" s="239" t="s">
        <v>277</v>
      </c>
      <c r="I97" s="477">
        <v>507083</v>
      </c>
      <c r="J97" s="472">
        <v>373404</v>
      </c>
      <c r="K97" s="472">
        <v>0</v>
      </c>
      <c r="L97" s="472">
        <v>126211</v>
      </c>
      <c r="M97" s="472">
        <v>7468</v>
      </c>
      <c r="N97" s="472">
        <v>0</v>
      </c>
      <c r="O97" s="473">
        <v>0.88329999999999997</v>
      </c>
      <c r="P97" s="474">
        <v>0.88329999999999997</v>
      </c>
      <c r="Q97" s="483">
        <v>0</v>
      </c>
      <c r="R97" s="485">
        <f t="shared" si="205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06"/>
        <v>0</v>
      </c>
      <c r="Y97" s="475">
        <v>0</v>
      </c>
      <c r="Z97" s="475">
        <v>0</v>
      </c>
      <c r="AA97" s="475">
        <v>0</v>
      </c>
      <c r="AB97" s="475">
        <f t="shared" si="207"/>
        <v>0</v>
      </c>
      <c r="AC97" s="475">
        <f t="shared" si="208"/>
        <v>0</v>
      </c>
      <c r="AD97" s="70">
        <f t="shared" si="209"/>
        <v>0</v>
      </c>
      <c r="AE97" s="70">
        <f t="shared" si="210"/>
        <v>0</v>
      </c>
      <c r="AF97" s="475">
        <v>0</v>
      </c>
      <c r="AG97" s="475">
        <v>0</v>
      </c>
      <c r="AH97" s="475">
        <f t="shared" si="211"/>
        <v>0</v>
      </c>
      <c r="AI97" s="475">
        <f t="shared" si="212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 t="shared" si="213"/>
        <v>0</v>
      </c>
      <c r="AS97" s="476">
        <f t="shared" si="214"/>
        <v>0</v>
      </c>
      <c r="AT97" s="478">
        <f t="shared" si="215"/>
        <v>0</v>
      </c>
      <c r="AU97" s="484">
        <f t="shared" si="173"/>
        <v>507083</v>
      </c>
      <c r="AV97" s="475">
        <f t="shared" si="174"/>
        <v>373404</v>
      </c>
      <c r="AW97" s="475">
        <f t="shared" si="216"/>
        <v>0</v>
      </c>
      <c r="AX97" s="475">
        <f t="shared" si="217"/>
        <v>126211</v>
      </c>
      <c r="AY97" s="475">
        <f t="shared" si="217"/>
        <v>7468</v>
      </c>
      <c r="AZ97" s="475">
        <f t="shared" si="175"/>
        <v>0</v>
      </c>
      <c r="BA97" s="476">
        <f t="shared" si="176"/>
        <v>0.88329999999999997</v>
      </c>
      <c r="BB97" s="476">
        <f t="shared" si="218"/>
        <v>0.88329999999999997</v>
      </c>
      <c r="BC97" s="478">
        <f t="shared" si="218"/>
        <v>0</v>
      </c>
    </row>
    <row r="98" spans="1:55" s="3" customFormat="1" x14ac:dyDescent="0.2">
      <c r="A98" s="216">
        <v>17</v>
      </c>
      <c r="B98" s="217">
        <v>3445</v>
      </c>
      <c r="C98" s="217">
        <v>600078604</v>
      </c>
      <c r="D98" s="217">
        <v>70695849</v>
      </c>
      <c r="E98" s="215" t="s">
        <v>118</v>
      </c>
      <c r="F98" s="217">
        <v>3143</v>
      </c>
      <c r="G98" s="218" t="s">
        <v>627</v>
      </c>
      <c r="H98" s="239" t="s">
        <v>278</v>
      </c>
      <c r="I98" s="477">
        <v>13608</v>
      </c>
      <c r="J98" s="472">
        <v>9623</v>
      </c>
      <c r="K98" s="472">
        <v>0</v>
      </c>
      <c r="L98" s="472">
        <v>3253</v>
      </c>
      <c r="M98" s="472">
        <v>192</v>
      </c>
      <c r="N98" s="472">
        <v>540</v>
      </c>
      <c r="O98" s="473">
        <v>0.04</v>
      </c>
      <c r="P98" s="474">
        <v>0</v>
      </c>
      <c r="Q98" s="483">
        <v>0.04</v>
      </c>
      <c r="R98" s="485">
        <f t="shared" si="205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206"/>
        <v>0</v>
      </c>
      <c r="Y98" s="475">
        <v>0</v>
      </c>
      <c r="Z98" s="475">
        <v>0</v>
      </c>
      <c r="AA98" s="475">
        <v>0</v>
      </c>
      <c r="AB98" s="475">
        <f t="shared" si="207"/>
        <v>0</v>
      </c>
      <c r="AC98" s="475">
        <f t="shared" si="208"/>
        <v>0</v>
      </c>
      <c r="AD98" s="70">
        <f t="shared" si="209"/>
        <v>0</v>
      </c>
      <c r="AE98" s="70">
        <f t="shared" si="210"/>
        <v>0</v>
      </c>
      <c r="AF98" s="475">
        <v>0</v>
      </c>
      <c r="AG98" s="475">
        <v>0</v>
      </c>
      <c r="AH98" s="475">
        <f t="shared" si="211"/>
        <v>0</v>
      </c>
      <c r="AI98" s="475">
        <f t="shared" si="212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 t="shared" si="213"/>
        <v>0</v>
      </c>
      <c r="AS98" s="476">
        <f t="shared" si="214"/>
        <v>0</v>
      </c>
      <c r="AT98" s="478">
        <f t="shared" si="215"/>
        <v>0</v>
      </c>
      <c r="AU98" s="484">
        <f t="shared" si="173"/>
        <v>13608</v>
      </c>
      <c r="AV98" s="475">
        <f t="shared" si="174"/>
        <v>9623</v>
      </c>
      <c r="AW98" s="475">
        <f t="shared" si="216"/>
        <v>0</v>
      </c>
      <c r="AX98" s="475">
        <f t="shared" si="217"/>
        <v>3253</v>
      </c>
      <c r="AY98" s="475">
        <f t="shared" si="217"/>
        <v>192</v>
      </c>
      <c r="AZ98" s="475">
        <f t="shared" si="175"/>
        <v>540</v>
      </c>
      <c r="BA98" s="476">
        <f t="shared" si="176"/>
        <v>0.04</v>
      </c>
      <c r="BB98" s="476">
        <f t="shared" si="218"/>
        <v>0</v>
      </c>
      <c r="BC98" s="478">
        <f t="shared" si="218"/>
        <v>0.04</v>
      </c>
    </row>
    <row r="99" spans="1:55" ht="13.5" thickBot="1" x14ac:dyDescent="0.25">
      <c r="A99" s="166">
        <v>17</v>
      </c>
      <c r="B99" s="33">
        <v>3445</v>
      </c>
      <c r="C99" s="33">
        <v>600078604</v>
      </c>
      <c r="D99" s="33">
        <v>70695849</v>
      </c>
      <c r="E99" s="248" t="s">
        <v>119</v>
      </c>
      <c r="F99" s="33"/>
      <c r="G99" s="167"/>
      <c r="H99" s="249"/>
      <c r="I99" s="534">
        <v>5381722</v>
      </c>
      <c r="J99" s="535">
        <v>3838399</v>
      </c>
      <c r="K99" s="535">
        <v>92000</v>
      </c>
      <c r="L99" s="535">
        <v>1328475</v>
      </c>
      <c r="M99" s="535">
        <v>76768</v>
      </c>
      <c r="N99" s="535">
        <v>46080</v>
      </c>
      <c r="O99" s="536">
        <v>8.423099999999998</v>
      </c>
      <c r="P99" s="536">
        <v>5.7018000000000004</v>
      </c>
      <c r="Q99" s="537">
        <v>2.7213000000000003</v>
      </c>
      <c r="R99" s="733">
        <f t="shared" ref="R99:BC99" si="219">SUM(R93:R98)</f>
        <v>0</v>
      </c>
      <c r="S99" s="734">
        <f t="shared" si="219"/>
        <v>0</v>
      </c>
      <c r="T99" s="734">
        <f t="shared" si="219"/>
        <v>-2958</v>
      </c>
      <c r="U99" s="734">
        <f t="shared" si="219"/>
        <v>0</v>
      </c>
      <c r="V99" s="734">
        <f t="shared" si="219"/>
        <v>0</v>
      </c>
      <c r="W99" s="734">
        <f t="shared" si="219"/>
        <v>0</v>
      </c>
      <c r="X99" s="734">
        <f t="shared" si="219"/>
        <v>-2958</v>
      </c>
      <c r="Y99" s="734">
        <f t="shared" si="219"/>
        <v>0</v>
      </c>
      <c r="Z99" s="734">
        <f t="shared" si="219"/>
        <v>0</v>
      </c>
      <c r="AA99" s="734">
        <f t="shared" si="219"/>
        <v>0</v>
      </c>
      <c r="AB99" s="734">
        <f t="shared" si="219"/>
        <v>0</v>
      </c>
      <c r="AC99" s="734">
        <f t="shared" si="219"/>
        <v>-2958</v>
      </c>
      <c r="AD99" s="734">
        <f t="shared" si="219"/>
        <v>-1000</v>
      </c>
      <c r="AE99" s="734">
        <f t="shared" si="219"/>
        <v>-59</v>
      </c>
      <c r="AF99" s="734">
        <f t="shared" si="219"/>
        <v>0</v>
      </c>
      <c r="AG99" s="734">
        <f t="shared" si="219"/>
        <v>0</v>
      </c>
      <c r="AH99" s="734">
        <f t="shared" si="219"/>
        <v>0</v>
      </c>
      <c r="AI99" s="734">
        <f t="shared" si="219"/>
        <v>-4017</v>
      </c>
      <c r="AJ99" s="735">
        <f t="shared" si="219"/>
        <v>0</v>
      </c>
      <c r="AK99" s="735">
        <f t="shared" si="219"/>
        <v>0</v>
      </c>
      <c r="AL99" s="735">
        <f t="shared" si="219"/>
        <v>0</v>
      </c>
      <c r="AM99" s="735">
        <f t="shared" si="219"/>
        <v>0</v>
      </c>
      <c r="AN99" s="735">
        <f t="shared" si="219"/>
        <v>-0.01</v>
      </c>
      <c r="AO99" s="735">
        <f t="shared" si="219"/>
        <v>0</v>
      </c>
      <c r="AP99" s="735">
        <f t="shared" si="219"/>
        <v>0</v>
      </c>
      <c r="AQ99" s="735">
        <f t="shared" si="219"/>
        <v>0</v>
      </c>
      <c r="AR99" s="735">
        <f t="shared" si="219"/>
        <v>0</v>
      </c>
      <c r="AS99" s="735">
        <f t="shared" si="219"/>
        <v>-0.01</v>
      </c>
      <c r="AT99" s="736">
        <f t="shared" si="219"/>
        <v>-0.01</v>
      </c>
      <c r="AU99" s="539">
        <f t="shared" si="219"/>
        <v>5377705</v>
      </c>
      <c r="AV99" s="535">
        <f t="shared" si="219"/>
        <v>3835441</v>
      </c>
      <c r="AW99" s="535">
        <f t="shared" si="219"/>
        <v>92000</v>
      </c>
      <c r="AX99" s="535">
        <f t="shared" si="219"/>
        <v>1327475</v>
      </c>
      <c r="AY99" s="535">
        <f t="shared" si="219"/>
        <v>76709</v>
      </c>
      <c r="AZ99" s="535">
        <f t="shared" si="219"/>
        <v>46080</v>
      </c>
      <c r="BA99" s="536">
        <f t="shared" si="219"/>
        <v>8.4130999999999982</v>
      </c>
      <c r="BB99" s="536">
        <f t="shared" si="219"/>
        <v>5.7018000000000004</v>
      </c>
      <c r="BC99" s="538">
        <f t="shared" si="219"/>
        <v>2.7113</v>
      </c>
    </row>
    <row r="100" spans="1:55" ht="13.5" thickBot="1" x14ac:dyDescent="0.25">
      <c r="A100" s="168"/>
      <c r="B100" s="30"/>
      <c r="C100" s="30"/>
      <c r="D100" s="30"/>
      <c r="E100" s="90" t="s">
        <v>788</v>
      </c>
      <c r="F100" s="30"/>
      <c r="G100" s="169"/>
      <c r="H100" s="196"/>
      <c r="I100" s="540">
        <f t="shared" ref="I100:BC100" si="220">I15+I17+I23+I28+I30+I37+I44+I48+I54+I61+I65+I71+I75+I81+I85+I92+I99</f>
        <v>263296804</v>
      </c>
      <c r="J100" s="541">
        <f t="shared" si="220"/>
        <v>189632836</v>
      </c>
      <c r="K100" s="541">
        <f t="shared" si="220"/>
        <v>1587200</v>
      </c>
      <c r="L100" s="541">
        <f t="shared" si="220"/>
        <v>64632370</v>
      </c>
      <c r="M100" s="541">
        <f t="shared" si="220"/>
        <v>3792658</v>
      </c>
      <c r="N100" s="541">
        <f t="shared" si="220"/>
        <v>3651740</v>
      </c>
      <c r="O100" s="542">
        <f t="shared" si="220"/>
        <v>406.39419999999996</v>
      </c>
      <c r="P100" s="542">
        <f t="shared" si="220"/>
        <v>299.233</v>
      </c>
      <c r="Q100" s="543">
        <f t="shared" si="220"/>
        <v>107.16120000000001</v>
      </c>
      <c r="R100" s="729">
        <f t="shared" si="220"/>
        <v>0</v>
      </c>
      <c r="S100" s="730">
        <f t="shared" si="220"/>
        <v>86300</v>
      </c>
      <c r="T100" s="730">
        <f t="shared" si="220"/>
        <v>609212</v>
      </c>
      <c r="U100" s="730">
        <f t="shared" si="220"/>
        <v>44520</v>
      </c>
      <c r="V100" s="730">
        <f t="shared" si="220"/>
        <v>0</v>
      </c>
      <c r="W100" s="730">
        <f t="shared" si="220"/>
        <v>0</v>
      </c>
      <c r="X100" s="730">
        <f t="shared" si="220"/>
        <v>740032</v>
      </c>
      <c r="Y100" s="730">
        <f t="shared" si="220"/>
        <v>0</v>
      </c>
      <c r="Z100" s="730">
        <f t="shared" si="220"/>
        <v>0</v>
      </c>
      <c r="AA100" s="730">
        <f t="shared" si="220"/>
        <v>0</v>
      </c>
      <c r="AB100" s="730">
        <f t="shared" si="220"/>
        <v>0</v>
      </c>
      <c r="AC100" s="730">
        <f t="shared" si="220"/>
        <v>740032</v>
      </c>
      <c r="AD100" s="730">
        <f t="shared" si="220"/>
        <v>250130</v>
      </c>
      <c r="AE100" s="730">
        <f t="shared" si="220"/>
        <v>14800</v>
      </c>
      <c r="AF100" s="730">
        <f t="shared" si="220"/>
        <v>6500</v>
      </c>
      <c r="AG100" s="730">
        <f t="shared" si="220"/>
        <v>0</v>
      </c>
      <c r="AH100" s="730">
        <f t="shared" si="220"/>
        <v>6500</v>
      </c>
      <c r="AI100" s="730">
        <f t="shared" si="220"/>
        <v>1011462</v>
      </c>
      <c r="AJ100" s="731">
        <f t="shared" si="220"/>
        <v>0</v>
      </c>
      <c r="AK100" s="731">
        <f t="shared" si="220"/>
        <v>0</v>
      </c>
      <c r="AL100" s="731">
        <f t="shared" si="220"/>
        <v>0.09</v>
      </c>
      <c r="AM100" s="731">
        <f t="shared" si="220"/>
        <v>1.3499999999999999</v>
      </c>
      <c r="AN100" s="731">
        <f t="shared" si="220"/>
        <v>-0.42</v>
      </c>
      <c r="AO100" s="731">
        <f t="shared" si="220"/>
        <v>7.0000000000000007E-2</v>
      </c>
      <c r="AP100" s="731">
        <f t="shared" si="220"/>
        <v>0</v>
      </c>
      <c r="AQ100" s="731">
        <f t="shared" si="220"/>
        <v>0</v>
      </c>
      <c r="AR100" s="731">
        <f t="shared" si="220"/>
        <v>1.5099999999999998</v>
      </c>
      <c r="AS100" s="731">
        <f t="shared" si="220"/>
        <v>-0.42</v>
      </c>
      <c r="AT100" s="732">
        <f t="shared" si="220"/>
        <v>1.0899999999999994</v>
      </c>
      <c r="AU100" s="545">
        <f t="shared" si="220"/>
        <v>264308266</v>
      </c>
      <c r="AV100" s="541">
        <f t="shared" si="220"/>
        <v>190372868</v>
      </c>
      <c r="AW100" s="541">
        <f t="shared" si="220"/>
        <v>1587200</v>
      </c>
      <c r="AX100" s="541">
        <f t="shared" si="220"/>
        <v>64882500</v>
      </c>
      <c r="AY100" s="541">
        <f t="shared" si="220"/>
        <v>3807458</v>
      </c>
      <c r="AZ100" s="541">
        <f t="shared" si="220"/>
        <v>3658240</v>
      </c>
      <c r="BA100" s="542">
        <f t="shared" si="220"/>
        <v>407.48419999999999</v>
      </c>
      <c r="BB100" s="542">
        <f t="shared" si="220"/>
        <v>300.74299999999999</v>
      </c>
      <c r="BC100" s="544">
        <f t="shared" si="220"/>
        <v>106.74120000000001</v>
      </c>
    </row>
    <row r="101" spans="1:55" x14ac:dyDescent="0.2">
      <c r="D101" s="9"/>
      <c r="E101" s="5"/>
      <c r="F101" s="9"/>
      <c r="G101" s="20"/>
      <c r="H101" s="5"/>
      <c r="I101" s="490">
        <f>SUM(J100:N100)</f>
        <v>263296804</v>
      </c>
      <c r="J101" s="490"/>
      <c r="K101" s="490"/>
      <c r="L101" s="490"/>
      <c r="M101" s="490"/>
      <c r="N101" s="490"/>
      <c r="O101" s="491">
        <f>SUM(P100:Q100)</f>
        <v>406.39420000000001</v>
      </c>
      <c r="P101" s="491"/>
      <c r="Q101" s="491"/>
      <c r="R101" s="490">
        <f>Y100</f>
        <v>0</v>
      </c>
      <c r="S101" s="491"/>
      <c r="T101" s="491"/>
      <c r="U101" s="491"/>
      <c r="V101" s="491"/>
      <c r="W101" s="491"/>
      <c r="X101" s="497">
        <f>SUM(R100:W100)</f>
        <v>740032</v>
      </c>
      <c r="Y101" s="497">
        <f>R100</f>
        <v>0</v>
      </c>
      <c r="Z101" s="498"/>
      <c r="AA101" s="498"/>
      <c r="AB101" s="497">
        <f>SUM(Y100:AA100)</f>
        <v>0</v>
      </c>
      <c r="AC101" s="497">
        <f>X100+AB100</f>
        <v>740032</v>
      </c>
      <c r="AD101" s="499"/>
      <c r="AE101" s="499"/>
      <c r="AF101" s="498"/>
      <c r="AG101" s="498"/>
      <c r="AH101" s="497">
        <f>SUM(AF100:AG100)</f>
        <v>6500</v>
      </c>
      <c r="AI101" s="497">
        <f>AC100+AD100+AE100+AH100</f>
        <v>1011462</v>
      </c>
      <c r="AJ101" s="500"/>
      <c r="AK101" s="500"/>
      <c r="AL101" s="500"/>
      <c r="AM101" s="500"/>
      <c r="AN101" s="500"/>
      <c r="AO101" s="500"/>
      <c r="AP101" s="500"/>
      <c r="AQ101" s="500"/>
      <c r="AR101" s="706">
        <f>AJ100+AL100+AM100+AO100+AP100</f>
        <v>1.51</v>
      </c>
      <c r="AS101" s="706">
        <f>AK100+AN100+AQ100</f>
        <v>-0.42</v>
      </c>
      <c r="AT101" s="706">
        <f>SUM(AR100:AS100)</f>
        <v>1.0899999999999999</v>
      </c>
      <c r="AU101" s="490">
        <f>SUM(AV100:AZ100)</f>
        <v>264308266</v>
      </c>
      <c r="AV101" s="55"/>
      <c r="AW101" s="55"/>
      <c r="AX101" s="55"/>
      <c r="AY101" s="55"/>
      <c r="AZ101" s="55"/>
      <c r="BA101" s="491">
        <f>SUM(BB100:BC100)</f>
        <v>407.48419999999999</v>
      </c>
      <c r="BB101" s="93"/>
      <c r="BC101" s="93"/>
    </row>
    <row r="102" spans="1:55" ht="13.5" thickBot="1" x14ac:dyDescent="0.25">
      <c r="D102" s="9"/>
      <c r="E102" s="5"/>
      <c r="F102" s="9"/>
      <c r="G102" s="20"/>
      <c r="H102" s="5"/>
      <c r="I102" s="91">
        <f>SUM(J103:N103)</f>
        <v>263296804</v>
      </c>
      <c r="J102" s="53"/>
      <c r="K102" s="53"/>
      <c r="L102" s="496"/>
      <c r="M102" s="496"/>
      <c r="N102" s="53"/>
      <c r="O102" s="92">
        <f>SUM(P103:Q103)</f>
        <v>406.39420000000001</v>
      </c>
      <c r="P102" s="183"/>
      <c r="Q102" s="183"/>
      <c r="R102" s="491"/>
      <c r="S102" s="491"/>
      <c r="T102" s="491"/>
      <c r="U102" s="491"/>
      <c r="V102" s="491"/>
      <c r="W102" s="491"/>
      <c r="X102" s="497">
        <f>SUM(R103:W103)</f>
        <v>740032</v>
      </c>
      <c r="Y102" s="498"/>
      <c r="Z102" s="498"/>
      <c r="AA102" s="498"/>
      <c r="AB102" s="497">
        <f>SUM(Y103:AA103)</f>
        <v>0</v>
      </c>
      <c r="AC102" s="497">
        <f>X103+AB103</f>
        <v>740032</v>
      </c>
      <c r="AD102" s="499"/>
      <c r="AE102" s="499"/>
      <c r="AF102" s="498"/>
      <c r="AG102" s="498"/>
      <c r="AH102" s="497">
        <f>SUM(AF103:AG103)</f>
        <v>6500</v>
      </c>
      <c r="AI102" s="497">
        <f>AC103+AD103+AE103+AH103</f>
        <v>1011462</v>
      </c>
      <c r="AJ102" s="500"/>
      <c r="AK102" s="500"/>
      <c r="AL102" s="500"/>
      <c r="AM102" s="500"/>
      <c r="AN102" s="500"/>
      <c r="AO102" s="500"/>
      <c r="AP102" s="500"/>
      <c r="AQ102" s="500"/>
      <c r="AR102" s="663">
        <f>AJ103+AL103+AM103+AO103+AP103</f>
        <v>1.5100000000000002</v>
      </c>
      <c r="AS102" s="663">
        <f>AK103+AN103+AQ103</f>
        <v>-0.42</v>
      </c>
      <c r="AT102" s="663">
        <f>SUM(AR103:AS103)</f>
        <v>1.0900000000000001</v>
      </c>
      <c r="AU102" s="490">
        <f>SUM(AV103:AZ103)</f>
        <v>264308266</v>
      </c>
      <c r="AV102" s="55"/>
      <c r="AW102" s="55"/>
      <c r="AX102" s="55"/>
      <c r="AY102" s="55"/>
      <c r="AZ102" s="55"/>
      <c r="BA102" s="491">
        <f>SUM(BB103:BC103)</f>
        <v>407.48419999999999</v>
      </c>
      <c r="BB102" s="93"/>
      <c r="BC102" s="93"/>
    </row>
    <row r="103" spans="1:55" ht="13.5" thickBot="1" x14ac:dyDescent="0.25">
      <c r="D103" s="9"/>
      <c r="E103" s="5"/>
      <c r="F103" s="9"/>
      <c r="G103" s="20"/>
      <c r="H103" s="517" t="s">
        <v>0</v>
      </c>
      <c r="I103" s="146">
        <f t="shared" ref="I103:BC103" si="221">SUM(I104:I113)</f>
        <v>263296804</v>
      </c>
      <c r="J103" s="34">
        <f t="shared" si="221"/>
        <v>189632836</v>
      </c>
      <c r="K103" s="34">
        <f t="shared" si="221"/>
        <v>1587200</v>
      </c>
      <c r="L103" s="34">
        <f t="shared" si="221"/>
        <v>64632370</v>
      </c>
      <c r="M103" s="34">
        <f t="shared" si="221"/>
        <v>3792658</v>
      </c>
      <c r="N103" s="34">
        <f t="shared" si="221"/>
        <v>3651740</v>
      </c>
      <c r="O103" s="35">
        <f t="shared" si="221"/>
        <v>406.39420000000001</v>
      </c>
      <c r="P103" s="35">
        <f t="shared" si="221"/>
        <v>299.233</v>
      </c>
      <c r="Q103" s="155">
        <f t="shared" si="221"/>
        <v>107.16119999999999</v>
      </c>
      <c r="R103" s="146">
        <f t="shared" si="221"/>
        <v>0</v>
      </c>
      <c r="S103" s="34">
        <f t="shared" si="221"/>
        <v>86300</v>
      </c>
      <c r="T103" s="34">
        <f t="shared" si="221"/>
        <v>609212</v>
      </c>
      <c r="U103" s="34">
        <f t="shared" si="221"/>
        <v>44520</v>
      </c>
      <c r="V103" s="34">
        <f t="shared" si="221"/>
        <v>0</v>
      </c>
      <c r="W103" s="34">
        <f t="shared" si="221"/>
        <v>0</v>
      </c>
      <c r="X103" s="34">
        <f t="shared" si="221"/>
        <v>740032</v>
      </c>
      <c r="Y103" s="34">
        <f t="shared" si="221"/>
        <v>0</v>
      </c>
      <c r="Z103" s="34">
        <f t="shared" si="221"/>
        <v>0</v>
      </c>
      <c r="AA103" s="34">
        <f t="shared" si="221"/>
        <v>0</v>
      </c>
      <c r="AB103" s="34">
        <f t="shared" si="221"/>
        <v>0</v>
      </c>
      <c r="AC103" s="34">
        <f t="shared" si="221"/>
        <v>740032</v>
      </c>
      <c r="AD103" s="34">
        <f t="shared" si="221"/>
        <v>250130</v>
      </c>
      <c r="AE103" s="34">
        <f t="shared" si="221"/>
        <v>14800</v>
      </c>
      <c r="AF103" s="34">
        <f t="shared" si="221"/>
        <v>6500</v>
      </c>
      <c r="AG103" s="34">
        <f t="shared" si="221"/>
        <v>0</v>
      </c>
      <c r="AH103" s="34">
        <f t="shared" si="221"/>
        <v>6500</v>
      </c>
      <c r="AI103" s="34">
        <f t="shared" si="221"/>
        <v>1011462</v>
      </c>
      <c r="AJ103" s="35">
        <f t="shared" si="221"/>
        <v>0</v>
      </c>
      <c r="AK103" s="35">
        <f t="shared" si="221"/>
        <v>0</v>
      </c>
      <c r="AL103" s="35">
        <f t="shared" si="221"/>
        <v>0.09</v>
      </c>
      <c r="AM103" s="35">
        <f t="shared" si="221"/>
        <v>1.35</v>
      </c>
      <c r="AN103" s="35">
        <f t="shared" si="221"/>
        <v>-0.42</v>
      </c>
      <c r="AO103" s="35">
        <f t="shared" si="221"/>
        <v>7.0000000000000007E-2</v>
      </c>
      <c r="AP103" s="35">
        <f t="shared" si="221"/>
        <v>0</v>
      </c>
      <c r="AQ103" s="35">
        <f t="shared" si="221"/>
        <v>0</v>
      </c>
      <c r="AR103" s="35">
        <f t="shared" si="221"/>
        <v>1.51</v>
      </c>
      <c r="AS103" s="35">
        <f t="shared" si="221"/>
        <v>-0.42</v>
      </c>
      <c r="AT103" s="155">
        <f t="shared" si="221"/>
        <v>1.0899999999999999</v>
      </c>
      <c r="AU103" s="146">
        <f t="shared" si="221"/>
        <v>264308266</v>
      </c>
      <c r="AV103" s="34">
        <f t="shared" si="221"/>
        <v>190372868</v>
      </c>
      <c r="AW103" s="34">
        <f t="shared" si="221"/>
        <v>1587200</v>
      </c>
      <c r="AX103" s="34">
        <f t="shared" si="221"/>
        <v>64882500</v>
      </c>
      <c r="AY103" s="34">
        <f t="shared" si="221"/>
        <v>3807458</v>
      </c>
      <c r="AZ103" s="34">
        <f t="shared" si="221"/>
        <v>3658240</v>
      </c>
      <c r="BA103" s="35">
        <f t="shared" si="221"/>
        <v>407.48420000000004</v>
      </c>
      <c r="BB103" s="35">
        <f t="shared" si="221"/>
        <v>300.74299999999999</v>
      </c>
      <c r="BC103" s="36">
        <f t="shared" si="221"/>
        <v>106.74119999999999</v>
      </c>
    </row>
    <row r="104" spans="1:55" x14ac:dyDescent="0.2">
      <c r="D104" s="9"/>
      <c r="E104" s="5"/>
      <c r="F104" s="9"/>
      <c r="G104" s="20"/>
      <c r="H104" s="518">
        <v>3111</v>
      </c>
      <c r="I104" s="618">
        <f t="shared" ref="I104:BC104" si="222">SUMIF($F$12:$F$463,"=3111",I$12:I$463)</f>
        <v>50980729</v>
      </c>
      <c r="J104" s="619">
        <f t="shared" si="222"/>
        <v>36968485</v>
      </c>
      <c r="K104" s="619">
        <f t="shared" si="222"/>
        <v>327000</v>
      </c>
      <c r="L104" s="619">
        <f t="shared" si="222"/>
        <v>12605872</v>
      </c>
      <c r="M104" s="619">
        <f t="shared" si="222"/>
        <v>739372</v>
      </c>
      <c r="N104" s="619">
        <f t="shared" si="222"/>
        <v>340000</v>
      </c>
      <c r="O104" s="624">
        <f t="shared" si="222"/>
        <v>83.492500000000021</v>
      </c>
      <c r="P104" s="624">
        <f t="shared" si="222"/>
        <v>65.024000000000001</v>
      </c>
      <c r="Q104" s="625">
        <f t="shared" si="222"/>
        <v>18.468499999999999</v>
      </c>
      <c r="R104" s="618">
        <f t="shared" si="222"/>
        <v>0</v>
      </c>
      <c r="S104" s="619">
        <f t="shared" si="222"/>
        <v>0</v>
      </c>
      <c r="T104" s="619">
        <f t="shared" si="222"/>
        <v>168600</v>
      </c>
      <c r="U104" s="619">
        <f t="shared" si="222"/>
        <v>0</v>
      </c>
      <c r="V104" s="619">
        <f t="shared" si="222"/>
        <v>0</v>
      </c>
      <c r="W104" s="619">
        <f t="shared" si="222"/>
        <v>0</v>
      </c>
      <c r="X104" s="619">
        <f t="shared" si="222"/>
        <v>168600</v>
      </c>
      <c r="Y104" s="619">
        <f t="shared" si="222"/>
        <v>0</v>
      </c>
      <c r="Z104" s="619">
        <f t="shared" si="222"/>
        <v>0</v>
      </c>
      <c r="AA104" s="619">
        <f t="shared" si="222"/>
        <v>0</v>
      </c>
      <c r="AB104" s="619">
        <f t="shared" si="222"/>
        <v>0</v>
      </c>
      <c r="AC104" s="619">
        <f t="shared" si="222"/>
        <v>168600</v>
      </c>
      <c r="AD104" s="619">
        <f t="shared" si="222"/>
        <v>56987</v>
      </c>
      <c r="AE104" s="619">
        <f t="shared" si="222"/>
        <v>3372</v>
      </c>
      <c r="AF104" s="619">
        <f t="shared" si="222"/>
        <v>1500</v>
      </c>
      <c r="AG104" s="619">
        <f t="shared" si="222"/>
        <v>0</v>
      </c>
      <c r="AH104" s="619">
        <f t="shared" si="222"/>
        <v>1500</v>
      </c>
      <c r="AI104" s="619">
        <f t="shared" si="222"/>
        <v>230459</v>
      </c>
      <c r="AJ104" s="624">
        <f t="shared" si="222"/>
        <v>0</v>
      </c>
      <c r="AK104" s="624">
        <f t="shared" si="222"/>
        <v>0</v>
      </c>
      <c r="AL104" s="624">
        <f t="shared" si="222"/>
        <v>0</v>
      </c>
      <c r="AM104" s="624">
        <f t="shared" si="222"/>
        <v>0.33</v>
      </c>
      <c r="AN104" s="624">
        <f t="shared" si="222"/>
        <v>0</v>
      </c>
      <c r="AO104" s="624">
        <f t="shared" si="222"/>
        <v>0</v>
      </c>
      <c r="AP104" s="624">
        <f t="shared" si="222"/>
        <v>0</v>
      </c>
      <c r="AQ104" s="624">
        <f t="shared" si="222"/>
        <v>0</v>
      </c>
      <c r="AR104" s="624">
        <f t="shared" si="222"/>
        <v>0.33</v>
      </c>
      <c r="AS104" s="624">
        <f t="shared" si="222"/>
        <v>0</v>
      </c>
      <c r="AT104" s="625">
        <f t="shared" si="222"/>
        <v>0.33</v>
      </c>
      <c r="AU104" s="618">
        <f t="shared" si="222"/>
        <v>51211188</v>
      </c>
      <c r="AV104" s="619">
        <f t="shared" si="222"/>
        <v>37137085</v>
      </c>
      <c r="AW104" s="619">
        <f t="shared" si="222"/>
        <v>327000</v>
      </c>
      <c r="AX104" s="619">
        <f t="shared" si="222"/>
        <v>12662859</v>
      </c>
      <c r="AY104" s="619">
        <f t="shared" si="222"/>
        <v>742744</v>
      </c>
      <c r="AZ104" s="619">
        <f t="shared" si="222"/>
        <v>341500</v>
      </c>
      <c r="BA104" s="624">
        <f t="shared" si="222"/>
        <v>83.822500000000019</v>
      </c>
      <c r="BB104" s="624">
        <f t="shared" si="222"/>
        <v>65.353999999999999</v>
      </c>
      <c r="BC104" s="627">
        <f t="shared" si="222"/>
        <v>18.468499999999999</v>
      </c>
    </row>
    <row r="105" spans="1:55" x14ac:dyDescent="0.2">
      <c r="D105" s="9"/>
      <c r="E105" s="5"/>
      <c r="F105" s="9"/>
      <c r="G105" s="20"/>
      <c r="H105" s="2">
        <v>3113</v>
      </c>
      <c r="I105" s="174">
        <f t="shared" ref="I105:BC105" si="223">SUMIF($F$12:$F$463,"=3113",I$12:I$463)</f>
        <v>150278479</v>
      </c>
      <c r="J105" s="16">
        <f t="shared" si="223"/>
        <v>107913226</v>
      </c>
      <c r="K105" s="16">
        <f t="shared" si="223"/>
        <v>614800</v>
      </c>
      <c r="L105" s="16">
        <f t="shared" si="223"/>
        <v>36682471</v>
      </c>
      <c r="M105" s="16">
        <f t="shared" si="223"/>
        <v>2158262</v>
      </c>
      <c r="N105" s="16">
        <f t="shared" si="223"/>
        <v>2909720</v>
      </c>
      <c r="O105" s="13">
        <f t="shared" si="223"/>
        <v>219.3038</v>
      </c>
      <c r="P105" s="13">
        <f t="shared" si="223"/>
        <v>178.98659999999998</v>
      </c>
      <c r="Q105" s="176">
        <f t="shared" si="223"/>
        <v>40.317199999999993</v>
      </c>
      <c r="R105" s="174">
        <f t="shared" si="223"/>
        <v>0</v>
      </c>
      <c r="S105" s="16">
        <f t="shared" si="223"/>
        <v>42994</v>
      </c>
      <c r="T105" s="16">
        <f t="shared" si="223"/>
        <v>145654</v>
      </c>
      <c r="U105" s="16">
        <f t="shared" si="223"/>
        <v>44520</v>
      </c>
      <c r="V105" s="16">
        <f t="shared" si="223"/>
        <v>0</v>
      </c>
      <c r="W105" s="16">
        <f t="shared" si="223"/>
        <v>0</v>
      </c>
      <c r="X105" s="16">
        <f t="shared" si="223"/>
        <v>233168</v>
      </c>
      <c r="Y105" s="16">
        <f t="shared" si="223"/>
        <v>0</v>
      </c>
      <c r="Z105" s="16">
        <f t="shared" si="223"/>
        <v>0</v>
      </c>
      <c r="AA105" s="16">
        <f t="shared" si="223"/>
        <v>0</v>
      </c>
      <c r="AB105" s="16">
        <f t="shared" si="223"/>
        <v>0</v>
      </c>
      <c r="AC105" s="16">
        <f t="shared" si="223"/>
        <v>233168</v>
      </c>
      <c r="AD105" s="16">
        <f t="shared" si="223"/>
        <v>78811</v>
      </c>
      <c r="AE105" s="16">
        <f t="shared" si="223"/>
        <v>4663</v>
      </c>
      <c r="AF105" s="16">
        <f t="shared" si="223"/>
        <v>0</v>
      </c>
      <c r="AG105" s="16">
        <f t="shared" si="223"/>
        <v>0</v>
      </c>
      <c r="AH105" s="16">
        <f t="shared" si="223"/>
        <v>0</v>
      </c>
      <c r="AI105" s="16">
        <f t="shared" si="223"/>
        <v>316642</v>
      </c>
      <c r="AJ105" s="13">
        <f t="shared" si="223"/>
        <v>0</v>
      </c>
      <c r="AK105" s="13">
        <f t="shared" si="223"/>
        <v>0</v>
      </c>
      <c r="AL105" s="13">
        <f t="shared" si="223"/>
        <v>-0.04</v>
      </c>
      <c r="AM105" s="13">
        <f t="shared" si="223"/>
        <v>0.2</v>
      </c>
      <c r="AN105" s="13">
        <f t="shared" si="223"/>
        <v>0</v>
      </c>
      <c r="AO105" s="13">
        <f t="shared" si="223"/>
        <v>7.0000000000000007E-2</v>
      </c>
      <c r="AP105" s="13">
        <f t="shared" si="223"/>
        <v>0</v>
      </c>
      <c r="AQ105" s="13">
        <f t="shared" si="223"/>
        <v>0</v>
      </c>
      <c r="AR105" s="13">
        <f t="shared" si="223"/>
        <v>0.22999999999999993</v>
      </c>
      <c r="AS105" s="13">
        <f t="shared" si="223"/>
        <v>0</v>
      </c>
      <c r="AT105" s="176">
        <f t="shared" si="223"/>
        <v>0.22999999999999993</v>
      </c>
      <c r="AU105" s="174">
        <f t="shared" si="223"/>
        <v>150595121</v>
      </c>
      <c r="AV105" s="16">
        <f t="shared" si="223"/>
        <v>108146394</v>
      </c>
      <c r="AW105" s="16">
        <f t="shared" si="223"/>
        <v>614800</v>
      </c>
      <c r="AX105" s="16">
        <f t="shared" si="223"/>
        <v>36761282</v>
      </c>
      <c r="AY105" s="16">
        <f t="shared" si="223"/>
        <v>2162925</v>
      </c>
      <c r="AZ105" s="16">
        <f t="shared" si="223"/>
        <v>2909720</v>
      </c>
      <c r="BA105" s="13">
        <f t="shared" si="223"/>
        <v>219.53379999999999</v>
      </c>
      <c r="BB105" s="13">
        <f t="shared" si="223"/>
        <v>179.2166</v>
      </c>
      <c r="BC105" s="17">
        <f t="shared" si="223"/>
        <v>40.317199999999993</v>
      </c>
    </row>
    <row r="106" spans="1:55" x14ac:dyDescent="0.2">
      <c r="D106" s="9"/>
      <c r="E106" s="5"/>
      <c r="F106" s="9"/>
      <c r="G106" s="20"/>
      <c r="H106" s="2">
        <v>3114</v>
      </c>
      <c r="I106" s="174">
        <f t="shared" ref="I106:BC106" si="224">SUMIF($F$12:$F$463,"=3114",I$12:I$463)</f>
        <v>0</v>
      </c>
      <c r="J106" s="16">
        <f t="shared" si="224"/>
        <v>0</v>
      </c>
      <c r="K106" s="16">
        <f t="shared" si="224"/>
        <v>0</v>
      </c>
      <c r="L106" s="16">
        <f t="shared" si="224"/>
        <v>0</v>
      </c>
      <c r="M106" s="16">
        <f t="shared" si="224"/>
        <v>0</v>
      </c>
      <c r="N106" s="16">
        <f t="shared" si="224"/>
        <v>0</v>
      </c>
      <c r="O106" s="13">
        <f t="shared" si="224"/>
        <v>0</v>
      </c>
      <c r="P106" s="13">
        <f t="shared" si="224"/>
        <v>0</v>
      </c>
      <c r="Q106" s="176">
        <f t="shared" si="224"/>
        <v>0</v>
      </c>
      <c r="R106" s="174">
        <f t="shared" si="224"/>
        <v>0</v>
      </c>
      <c r="S106" s="16">
        <f t="shared" si="224"/>
        <v>0</v>
      </c>
      <c r="T106" s="16">
        <f t="shared" si="224"/>
        <v>0</v>
      </c>
      <c r="U106" s="16">
        <f t="shared" si="224"/>
        <v>0</v>
      </c>
      <c r="V106" s="16">
        <f t="shared" si="224"/>
        <v>0</v>
      </c>
      <c r="W106" s="16">
        <f t="shared" si="224"/>
        <v>0</v>
      </c>
      <c r="X106" s="16">
        <f t="shared" si="224"/>
        <v>0</v>
      </c>
      <c r="Y106" s="16">
        <f t="shared" si="224"/>
        <v>0</v>
      </c>
      <c r="Z106" s="16">
        <f t="shared" si="224"/>
        <v>0</v>
      </c>
      <c r="AA106" s="16">
        <f t="shared" si="224"/>
        <v>0</v>
      </c>
      <c r="AB106" s="16">
        <f t="shared" si="224"/>
        <v>0</v>
      </c>
      <c r="AC106" s="16">
        <f t="shared" si="224"/>
        <v>0</v>
      </c>
      <c r="AD106" s="16">
        <f t="shared" si="224"/>
        <v>0</v>
      </c>
      <c r="AE106" s="16">
        <f t="shared" si="224"/>
        <v>0</v>
      </c>
      <c r="AF106" s="16">
        <f t="shared" si="224"/>
        <v>0</v>
      </c>
      <c r="AG106" s="16">
        <f t="shared" si="224"/>
        <v>0</v>
      </c>
      <c r="AH106" s="16">
        <f t="shared" si="224"/>
        <v>0</v>
      </c>
      <c r="AI106" s="16">
        <f t="shared" si="224"/>
        <v>0</v>
      </c>
      <c r="AJ106" s="13">
        <f t="shared" si="224"/>
        <v>0</v>
      </c>
      <c r="AK106" s="13">
        <f t="shared" si="224"/>
        <v>0</v>
      </c>
      <c r="AL106" s="13">
        <f t="shared" si="224"/>
        <v>0</v>
      </c>
      <c r="AM106" s="13">
        <f t="shared" si="224"/>
        <v>0</v>
      </c>
      <c r="AN106" s="13">
        <f t="shared" si="224"/>
        <v>0</v>
      </c>
      <c r="AO106" s="13">
        <f t="shared" si="224"/>
        <v>0</v>
      </c>
      <c r="AP106" s="13">
        <f t="shared" si="224"/>
        <v>0</v>
      </c>
      <c r="AQ106" s="13">
        <f t="shared" si="224"/>
        <v>0</v>
      </c>
      <c r="AR106" s="13">
        <f t="shared" si="224"/>
        <v>0</v>
      </c>
      <c r="AS106" s="13">
        <f t="shared" si="224"/>
        <v>0</v>
      </c>
      <c r="AT106" s="176">
        <f t="shared" si="224"/>
        <v>0</v>
      </c>
      <c r="AU106" s="174">
        <f t="shared" si="224"/>
        <v>0</v>
      </c>
      <c r="AV106" s="16">
        <f t="shared" si="224"/>
        <v>0</v>
      </c>
      <c r="AW106" s="16">
        <f t="shared" si="224"/>
        <v>0</v>
      </c>
      <c r="AX106" s="16">
        <f t="shared" si="224"/>
        <v>0</v>
      </c>
      <c r="AY106" s="16">
        <f t="shared" si="224"/>
        <v>0</v>
      </c>
      <c r="AZ106" s="16">
        <f t="shared" si="224"/>
        <v>0</v>
      </c>
      <c r="BA106" s="13">
        <f t="shared" si="224"/>
        <v>0</v>
      </c>
      <c r="BB106" s="13">
        <f t="shared" si="224"/>
        <v>0</v>
      </c>
      <c r="BC106" s="17">
        <f t="shared" si="224"/>
        <v>0</v>
      </c>
    </row>
    <row r="107" spans="1:55" x14ac:dyDescent="0.2">
      <c r="D107" s="9"/>
      <c r="E107" s="5"/>
      <c r="F107" s="9"/>
      <c r="G107" s="20"/>
      <c r="H107" s="2">
        <v>3117</v>
      </c>
      <c r="I107" s="174">
        <f t="shared" ref="I107:BC107" si="225">SUMIF($F$12:$F$463,"=3117",I$12:I$463)</f>
        <v>14105522</v>
      </c>
      <c r="J107" s="16">
        <f t="shared" si="225"/>
        <v>10043683</v>
      </c>
      <c r="K107" s="16">
        <f t="shared" si="225"/>
        <v>187400</v>
      </c>
      <c r="L107" s="16">
        <f t="shared" si="225"/>
        <v>3458106</v>
      </c>
      <c r="M107" s="16">
        <f t="shared" si="225"/>
        <v>200873</v>
      </c>
      <c r="N107" s="16">
        <f t="shared" si="225"/>
        <v>215460</v>
      </c>
      <c r="O107" s="13">
        <f t="shared" si="225"/>
        <v>20.4223</v>
      </c>
      <c r="P107" s="13">
        <f t="shared" si="225"/>
        <v>15.530800000000001</v>
      </c>
      <c r="Q107" s="176">
        <f t="shared" si="225"/>
        <v>4.8914999999999997</v>
      </c>
      <c r="R107" s="174">
        <f t="shared" si="225"/>
        <v>0</v>
      </c>
      <c r="S107" s="16">
        <f t="shared" si="225"/>
        <v>43306</v>
      </c>
      <c r="T107" s="16">
        <f t="shared" si="225"/>
        <v>84662</v>
      </c>
      <c r="U107" s="16">
        <f t="shared" si="225"/>
        <v>0</v>
      </c>
      <c r="V107" s="16">
        <f t="shared" si="225"/>
        <v>0</v>
      </c>
      <c r="W107" s="16">
        <f t="shared" si="225"/>
        <v>0</v>
      </c>
      <c r="X107" s="16">
        <f t="shared" si="225"/>
        <v>127968</v>
      </c>
      <c r="Y107" s="16">
        <f t="shared" si="225"/>
        <v>0</v>
      </c>
      <c r="Z107" s="16">
        <f t="shared" si="225"/>
        <v>0</v>
      </c>
      <c r="AA107" s="16">
        <f t="shared" si="225"/>
        <v>0</v>
      </c>
      <c r="AB107" s="16">
        <f t="shared" si="225"/>
        <v>0</v>
      </c>
      <c r="AC107" s="16">
        <f t="shared" si="225"/>
        <v>127968</v>
      </c>
      <c r="AD107" s="16">
        <f t="shared" si="225"/>
        <v>43253</v>
      </c>
      <c r="AE107" s="16">
        <f t="shared" si="225"/>
        <v>2559</v>
      </c>
      <c r="AF107" s="16">
        <f t="shared" si="225"/>
        <v>5000</v>
      </c>
      <c r="AG107" s="16">
        <f t="shared" si="225"/>
        <v>0</v>
      </c>
      <c r="AH107" s="16">
        <f t="shared" si="225"/>
        <v>5000</v>
      </c>
      <c r="AI107" s="16">
        <f t="shared" si="225"/>
        <v>178780</v>
      </c>
      <c r="AJ107" s="13">
        <f t="shared" si="225"/>
        <v>0</v>
      </c>
      <c r="AK107" s="13">
        <f t="shared" si="225"/>
        <v>0</v>
      </c>
      <c r="AL107" s="13">
        <f t="shared" si="225"/>
        <v>0.13</v>
      </c>
      <c r="AM107" s="13">
        <f t="shared" si="225"/>
        <v>0.2</v>
      </c>
      <c r="AN107" s="13">
        <f t="shared" si="225"/>
        <v>0</v>
      </c>
      <c r="AO107" s="13">
        <f t="shared" si="225"/>
        <v>0</v>
      </c>
      <c r="AP107" s="13">
        <f t="shared" si="225"/>
        <v>0</v>
      </c>
      <c r="AQ107" s="13">
        <f t="shared" si="225"/>
        <v>0</v>
      </c>
      <c r="AR107" s="13">
        <f t="shared" si="225"/>
        <v>0.33</v>
      </c>
      <c r="AS107" s="13">
        <f t="shared" si="225"/>
        <v>0</v>
      </c>
      <c r="AT107" s="176">
        <f t="shared" si="225"/>
        <v>0.33</v>
      </c>
      <c r="AU107" s="174">
        <f t="shared" si="225"/>
        <v>14284302</v>
      </c>
      <c r="AV107" s="16">
        <f t="shared" si="225"/>
        <v>10171651</v>
      </c>
      <c r="AW107" s="16">
        <f t="shared" si="225"/>
        <v>187400</v>
      </c>
      <c r="AX107" s="16">
        <f t="shared" si="225"/>
        <v>3501359</v>
      </c>
      <c r="AY107" s="16">
        <f t="shared" si="225"/>
        <v>203432</v>
      </c>
      <c r="AZ107" s="16">
        <f t="shared" si="225"/>
        <v>220460</v>
      </c>
      <c r="BA107" s="13">
        <f t="shared" si="225"/>
        <v>20.752299999999998</v>
      </c>
      <c r="BB107" s="13">
        <f t="shared" si="225"/>
        <v>15.860799999999999</v>
      </c>
      <c r="BC107" s="17">
        <f t="shared" si="225"/>
        <v>4.8914999999999997</v>
      </c>
    </row>
    <row r="108" spans="1:55" x14ac:dyDescent="0.2">
      <c r="D108" s="9"/>
      <c r="E108" s="5"/>
      <c r="F108" s="9"/>
      <c r="G108" s="20"/>
      <c r="H108" s="2">
        <v>3122</v>
      </c>
      <c r="I108" s="174">
        <f t="shared" ref="I108:BC108" si="226">SUMIF($F$12:$F$463,"=3122",I$12:I$463)</f>
        <v>0</v>
      </c>
      <c r="J108" s="16">
        <f t="shared" si="226"/>
        <v>0</v>
      </c>
      <c r="K108" s="16">
        <f t="shared" si="226"/>
        <v>0</v>
      </c>
      <c r="L108" s="16">
        <f t="shared" si="226"/>
        <v>0</v>
      </c>
      <c r="M108" s="16">
        <f t="shared" si="226"/>
        <v>0</v>
      </c>
      <c r="N108" s="16">
        <f t="shared" si="226"/>
        <v>0</v>
      </c>
      <c r="O108" s="13">
        <f t="shared" si="226"/>
        <v>0</v>
      </c>
      <c r="P108" s="13">
        <f t="shared" si="226"/>
        <v>0</v>
      </c>
      <c r="Q108" s="176">
        <f t="shared" si="226"/>
        <v>0</v>
      </c>
      <c r="R108" s="174">
        <f t="shared" si="226"/>
        <v>0</v>
      </c>
      <c r="S108" s="16">
        <f t="shared" si="226"/>
        <v>0</v>
      </c>
      <c r="T108" s="16">
        <f t="shared" si="226"/>
        <v>0</v>
      </c>
      <c r="U108" s="16">
        <f t="shared" si="226"/>
        <v>0</v>
      </c>
      <c r="V108" s="16">
        <f t="shared" si="226"/>
        <v>0</v>
      </c>
      <c r="W108" s="16">
        <f t="shared" si="226"/>
        <v>0</v>
      </c>
      <c r="X108" s="16">
        <f t="shared" si="226"/>
        <v>0</v>
      </c>
      <c r="Y108" s="16">
        <f t="shared" si="226"/>
        <v>0</v>
      </c>
      <c r="Z108" s="16">
        <f t="shared" si="226"/>
        <v>0</v>
      </c>
      <c r="AA108" s="16">
        <f t="shared" si="226"/>
        <v>0</v>
      </c>
      <c r="AB108" s="16">
        <f t="shared" si="226"/>
        <v>0</v>
      </c>
      <c r="AC108" s="16">
        <f t="shared" si="226"/>
        <v>0</v>
      </c>
      <c r="AD108" s="16">
        <f t="shared" si="226"/>
        <v>0</v>
      </c>
      <c r="AE108" s="16">
        <f t="shared" si="226"/>
        <v>0</v>
      </c>
      <c r="AF108" s="16">
        <f t="shared" si="226"/>
        <v>0</v>
      </c>
      <c r="AG108" s="16">
        <f t="shared" si="226"/>
        <v>0</v>
      </c>
      <c r="AH108" s="16">
        <f t="shared" si="226"/>
        <v>0</v>
      </c>
      <c r="AI108" s="16">
        <f t="shared" si="226"/>
        <v>0</v>
      </c>
      <c r="AJ108" s="13">
        <f t="shared" si="226"/>
        <v>0</v>
      </c>
      <c r="AK108" s="13">
        <f t="shared" si="226"/>
        <v>0</v>
      </c>
      <c r="AL108" s="13">
        <f t="shared" si="226"/>
        <v>0</v>
      </c>
      <c r="AM108" s="13">
        <f t="shared" si="226"/>
        <v>0</v>
      </c>
      <c r="AN108" s="13">
        <f t="shared" si="226"/>
        <v>0</v>
      </c>
      <c r="AO108" s="13">
        <f t="shared" si="226"/>
        <v>0</v>
      </c>
      <c r="AP108" s="13">
        <f t="shared" si="226"/>
        <v>0</v>
      </c>
      <c r="AQ108" s="13">
        <f t="shared" si="226"/>
        <v>0</v>
      </c>
      <c r="AR108" s="13">
        <f t="shared" si="226"/>
        <v>0</v>
      </c>
      <c r="AS108" s="13">
        <f t="shared" si="226"/>
        <v>0</v>
      </c>
      <c r="AT108" s="176">
        <f t="shared" si="226"/>
        <v>0</v>
      </c>
      <c r="AU108" s="174">
        <f t="shared" si="226"/>
        <v>0</v>
      </c>
      <c r="AV108" s="16">
        <f t="shared" si="226"/>
        <v>0</v>
      </c>
      <c r="AW108" s="16">
        <f t="shared" si="226"/>
        <v>0</v>
      </c>
      <c r="AX108" s="16">
        <f t="shared" si="226"/>
        <v>0</v>
      </c>
      <c r="AY108" s="16">
        <f t="shared" si="226"/>
        <v>0</v>
      </c>
      <c r="AZ108" s="16">
        <f t="shared" si="226"/>
        <v>0</v>
      </c>
      <c r="BA108" s="13">
        <f t="shared" si="226"/>
        <v>0</v>
      </c>
      <c r="BB108" s="13">
        <f t="shared" si="226"/>
        <v>0</v>
      </c>
      <c r="BC108" s="17">
        <f t="shared" si="226"/>
        <v>0</v>
      </c>
    </row>
    <row r="109" spans="1:55" x14ac:dyDescent="0.2">
      <c r="D109" s="9"/>
      <c r="E109" s="5"/>
      <c r="F109" s="9"/>
      <c r="G109" s="20"/>
      <c r="H109" s="2">
        <v>3124</v>
      </c>
      <c r="I109" s="174">
        <f t="shared" ref="I109:BC109" si="227">SUMIF($F$12:$F$463,"=3124",I$12:I$463)</f>
        <v>0</v>
      </c>
      <c r="J109" s="16">
        <f t="shared" si="227"/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3">
        <f t="shared" si="227"/>
        <v>0</v>
      </c>
      <c r="P109" s="13">
        <f t="shared" si="227"/>
        <v>0</v>
      </c>
      <c r="Q109" s="176">
        <f t="shared" si="227"/>
        <v>0</v>
      </c>
      <c r="R109" s="174">
        <f t="shared" si="227"/>
        <v>0</v>
      </c>
      <c r="S109" s="16">
        <f t="shared" si="227"/>
        <v>0</v>
      </c>
      <c r="T109" s="16">
        <f t="shared" si="227"/>
        <v>0</v>
      </c>
      <c r="U109" s="16">
        <f t="shared" si="227"/>
        <v>0</v>
      </c>
      <c r="V109" s="16">
        <f t="shared" si="227"/>
        <v>0</v>
      </c>
      <c r="W109" s="16">
        <f t="shared" si="227"/>
        <v>0</v>
      </c>
      <c r="X109" s="16">
        <f t="shared" si="227"/>
        <v>0</v>
      </c>
      <c r="Y109" s="16">
        <f t="shared" si="227"/>
        <v>0</v>
      </c>
      <c r="Z109" s="16">
        <f t="shared" si="227"/>
        <v>0</v>
      </c>
      <c r="AA109" s="16">
        <f t="shared" si="227"/>
        <v>0</v>
      </c>
      <c r="AB109" s="16">
        <f t="shared" si="227"/>
        <v>0</v>
      </c>
      <c r="AC109" s="16">
        <f t="shared" si="227"/>
        <v>0</v>
      </c>
      <c r="AD109" s="16">
        <f t="shared" si="227"/>
        <v>0</v>
      </c>
      <c r="AE109" s="16">
        <f t="shared" si="227"/>
        <v>0</v>
      </c>
      <c r="AF109" s="16">
        <f t="shared" si="227"/>
        <v>0</v>
      </c>
      <c r="AG109" s="16">
        <f t="shared" si="227"/>
        <v>0</v>
      </c>
      <c r="AH109" s="16">
        <f t="shared" si="227"/>
        <v>0</v>
      </c>
      <c r="AI109" s="16">
        <f t="shared" si="227"/>
        <v>0</v>
      </c>
      <c r="AJ109" s="13">
        <f t="shared" si="227"/>
        <v>0</v>
      </c>
      <c r="AK109" s="13">
        <f t="shared" si="227"/>
        <v>0</v>
      </c>
      <c r="AL109" s="13">
        <f t="shared" si="227"/>
        <v>0</v>
      </c>
      <c r="AM109" s="13">
        <f t="shared" si="227"/>
        <v>0</v>
      </c>
      <c r="AN109" s="13">
        <f t="shared" si="227"/>
        <v>0</v>
      </c>
      <c r="AO109" s="13">
        <f t="shared" si="227"/>
        <v>0</v>
      </c>
      <c r="AP109" s="13">
        <f t="shared" si="227"/>
        <v>0</v>
      </c>
      <c r="AQ109" s="13">
        <f t="shared" si="227"/>
        <v>0</v>
      </c>
      <c r="AR109" s="13">
        <f t="shared" si="227"/>
        <v>0</v>
      </c>
      <c r="AS109" s="13">
        <f t="shared" si="227"/>
        <v>0</v>
      </c>
      <c r="AT109" s="176">
        <f t="shared" si="227"/>
        <v>0</v>
      </c>
      <c r="AU109" s="174">
        <f t="shared" si="227"/>
        <v>0</v>
      </c>
      <c r="AV109" s="16">
        <f t="shared" si="227"/>
        <v>0</v>
      </c>
      <c r="AW109" s="16">
        <f t="shared" si="227"/>
        <v>0</v>
      </c>
      <c r="AX109" s="16">
        <f t="shared" si="227"/>
        <v>0</v>
      </c>
      <c r="AY109" s="16">
        <f t="shared" si="227"/>
        <v>0</v>
      </c>
      <c r="AZ109" s="16">
        <f t="shared" si="227"/>
        <v>0</v>
      </c>
      <c r="BA109" s="13">
        <f t="shared" si="227"/>
        <v>0</v>
      </c>
      <c r="BB109" s="13">
        <f t="shared" si="227"/>
        <v>0</v>
      </c>
      <c r="BC109" s="17">
        <f t="shared" si="227"/>
        <v>0</v>
      </c>
    </row>
    <row r="110" spans="1:55" x14ac:dyDescent="0.2">
      <c r="D110" s="9"/>
      <c r="E110" s="5"/>
      <c r="F110" s="9"/>
      <c r="G110" s="20"/>
      <c r="H110" s="2">
        <v>3141</v>
      </c>
      <c r="I110" s="174">
        <f t="shared" ref="I110:BC110" si="228">SUMIF($F$12:$F$463,"=3141",I$12:I$463)</f>
        <v>16833971</v>
      </c>
      <c r="J110" s="16">
        <f t="shared" si="228"/>
        <v>12215285</v>
      </c>
      <c r="K110" s="16">
        <f t="shared" si="228"/>
        <v>108000</v>
      </c>
      <c r="L110" s="16">
        <f t="shared" si="228"/>
        <v>4165269</v>
      </c>
      <c r="M110" s="16">
        <f t="shared" si="228"/>
        <v>244307</v>
      </c>
      <c r="N110" s="16">
        <f t="shared" si="228"/>
        <v>101110</v>
      </c>
      <c r="O110" s="13">
        <f t="shared" si="228"/>
        <v>38.659999999999997</v>
      </c>
      <c r="P110" s="13">
        <f t="shared" si="228"/>
        <v>0</v>
      </c>
      <c r="Q110" s="176">
        <f t="shared" si="228"/>
        <v>38.659999999999997</v>
      </c>
      <c r="R110" s="174">
        <f t="shared" si="228"/>
        <v>0</v>
      </c>
      <c r="S110" s="16">
        <f t="shared" si="228"/>
        <v>0</v>
      </c>
      <c r="T110" s="16">
        <f t="shared" si="228"/>
        <v>-121855</v>
      </c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8"/>
        <v>-121855</v>
      </c>
      <c r="Y110" s="16">
        <f t="shared" si="228"/>
        <v>0</v>
      </c>
      <c r="Z110" s="16">
        <f t="shared" si="228"/>
        <v>0</v>
      </c>
      <c r="AA110" s="16">
        <f t="shared" si="228"/>
        <v>0</v>
      </c>
      <c r="AB110" s="16">
        <f t="shared" si="228"/>
        <v>0</v>
      </c>
      <c r="AC110" s="16">
        <f t="shared" si="228"/>
        <v>-121855</v>
      </c>
      <c r="AD110" s="16">
        <f t="shared" si="228"/>
        <v>-41188</v>
      </c>
      <c r="AE110" s="16">
        <f t="shared" si="228"/>
        <v>-2437</v>
      </c>
      <c r="AF110" s="16">
        <f t="shared" si="228"/>
        <v>0</v>
      </c>
      <c r="AG110" s="16">
        <f t="shared" si="228"/>
        <v>0</v>
      </c>
      <c r="AH110" s="16">
        <f t="shared" si="228"/>
        <v>0</v>
      </c>
      <c r="AI110" s="16">
        <f t="shared" si="228"/>
        <v>-165480</v>
      </c>
      <c r="AJ110" s="13">
        <f t="shared" si="228"/>
        <v>0</v>
      </c>
      <c r="AK110" s="13">
        <f t="shared" si="228"/>
        <v>0</v>
      </c>
      <c r="AL110" s="13">
        <f t="shared" si="228"/>
        <v>0</v>
      </c>
      <c r="AM110" s="13">
        <f t="shared" si="228"/>
        <v>0</v>
      </c>
      <c r="AN110" s="13">
        <f t="shared" si="228"/>
        <v>-0.42</v>
      </c>
      <c r="AO110" s="13">
        <f t="shared" si="228"/>
        <v>0</v>
      </c>
      <c r="AP110" s="13">
        <f t="shared" si="228"/>
        <v>0</v>
      </c>
      <c r="AQ110" s="13">
        <f t="shared" si="228"/>
        <v>0</v>
      </c>
      <c r="AR110" s="13">
        <f t="shared" si="228"/>
        <v>0</v>
      </c>
      <c r="AS110" s="13">
        <f t="shared" si="228"/>
        <v>-0.42</v>
      </c>
      <c r="AT110" s="176">
        <f t="shared" si="228"/>
        <v>-0.42</v>
      </c>
      <c r="AU110" s="174">
        <f t="shared" si="228"/>
        <v>16668491</v>
      </c>
      <c r="AV110" s="16">
        <f t="shared" si="228"/>
        <v>12093430</v>
      </c>
      <c r="AW110" s="16">
        <f t="shared" si="228"/>
        <v>108000</v>
      </c>
      <c r="AX110" s="16">
        <f t="shared" si="228"/>
        <v>4124081</v>
      </c>
      <c r="AY110" s="16">
        <f t="shared" si="228"/>
        <v>241870</v>
      </c>
      <c r="AZ110" s="16">
        <f t="shared" si="228"/>
        <v>101110</v>
      </c>
      <c r="BA110" s="13">
        <f t="shared" si="228"/>
        <v>38.24</v>
      </c>
      <c r="BB110" s="13">
        <f t="shared" si="228"/>
        <v>0</v>
      </c>
      <c r="BC110" s="17">
        <f t="shared" si="228"/>
        <v>38.24</v>
      </c>
    </row>
    <row r="111" spans="1:55" x14ac:dyDescent="0.2">
      <c r="D111" s="9"/>
      <c r="E111" s="5"/>
      <c r="F111" s="9"/>
      <c r="G111" s="20"/>
      <c r="H111" s="2">
        <v>3143</v>
      </c>
      <c r="I111" s="174">
        <f t="shared" ref="I111:BC111" si="229">SUMIF($F$12:$F$463,"=3143",I$12:I$463)</f>
        <v>13097392</v>
      </c>
      <c r="J111" s="16">
        <f t="shared" si="229"/>
        <v>9582907</v>
      </c>
      <c r="K111" s="16">
        <f t="shared" si="229"/>
        <v>50000</v>
      </c>
      <c r="L111" s="16">
        <f t="shared" si="229"/>
        <v>3255926</v>
      </c>
      <c r="M111" s="16">
        <f t="shared" si="229"/>
        <v>191659</v>
      </c>
      <c r="N111" s="16">
        <f t="shared" si="229"/>
        <v>16900</v>
      </c>
      <c r="O111" s="13">
        <f t="shared" si="229"/>
        <v>19.8734</v>
      </c>
      <c r="P111" s="13">
        <f t="shared" si="229"/>
        <v>18.653399999999998</v>
      </c>
      <c r="Q111" s="176">
        <f t="shared" si="229"/>
        <v>1.22</v>
      </c>
      <c r="R111" s="174">
        <f t="shared" si="229"/>
        <v>0</v>
      </c>
      <c r="S111" s="16">
        <f t="shared" si="229"/>
        <v>0</v>
      </c>
      <c r="T111" s="16">
        <f t="shared" si="229"/>
        <v>146936</v>
      </c>
      <c r="U111" s="16">
        <f t="shared" si="229"/>
        <v>0</v>
      </c>
      <c r="V111" s="16">
        <f t="shared" si="229"/>
        <v>0</v>
      </c>
      <c r="W111" s="16">
        <f t="shared" si="229"/>
        <v>0</v>
      </c>
      <c r="X111" s="16">
        <f t="shared" si="229"/>
        <v>146936</v>
      </c>
      <c r="Y111" s="16">
        <f t="shared" si="229"/>
        <v>0</v>
      </c>
      <c r="Z111" s="16">
        <f t="shared" si="229"/>
        <v>0</v>
      </c>
      <c r="AA111" s="16">
        <f t="shared" si="229"/>
        <v>0</v>
      </c>
      <c r="AB111" s="16">
        <f t="shared" si="229"/>
        <v>0</v>
      </c>
      <c r="AC111" s="16">
        <f t="shared" si="229"/>
        <v>146936</v>
      </c>
      <c r="AD111" s="16">
        <f t="shared" si="229"/>
        <v>49664</v>
      </c>
      <c r="AE111" s="16">
        <f t="shared" si="229"/>
        <v>2939</v>
      </c>
      <c r="AF111" s="16">
        <f t="shared" si="229"/>
        <v>0</v>
      </c>
      <c r="AG111" s="16">
        <f t="shared" si="229"/>
        <v>0</v>
      </c>
      <c r="AH111" s="16">
        <f t="shared" si="229"/>
        <v>0</v>
      </c>
      <c r="AI111" s="16">
        <f t="shared" si="229"/>
        <v>199539</v>
      </c>
      <c r="AJ111" s="13">
        <f t="shared" si="229"/>
        <v>0</v>
      </c>
      <c r="AK111" s="13">
        <f t="shared" si="229"/>
        <v>0</v>
      </c>
      <c r="AL111" s="13">
        <f t="shared" si="229"/>
        <v>0</v>
      </c>
      <c r="AM111" s="13">
        <f t="shared" si="229"/>
        <v>0.28999999999999998</v>
      </c>
      <c r="AN111" s="13">
        <f t="shared" si="229"/>
        <v>0</v>
      </c>
      <c r="AO111" s="13">
        <f t="shared" si="229"/>
        <v>0</v>
      </c>
      <c r="AP111" s="13">
        <f t="shared" si="229"/>
        <v>0</v>
      </c>
      <c r="AQ111" s="13">
        <f t="shared" si="229"/>
        <v>0</v>
      </c>
      <c r="AR111" s="13">
        <f t="shared" si="229"/>
        <v>0.28999999999999998</v>
      </c>
      <c r="AS111" s="13">
        <f t="shared" si="229"/>
        <v>0</v>
      </c>
      <c r="AT111" s="176">
        <f t="shared" si="229"/>
        <v>0.28999999999999998</v>
      </c>
      <c r="AU111" s="174">
        <f t="shared" si="229"/>
        <v>13296931</v>
      </c>
      <c r="AV111" s="16">
        <f t="shared" si="229"/>
        <v>9729843</v>
      </c>
      <c r="AW111" s="16">
        <f t="shared" si="229"/>
        <v>50000</v>
      </c>
      <c r="AX111" s="16">
        <f t="shared" si="229"/>
        <v>3305590</v>
      </c>
      <c r="AY111" s="16">
        <f t="shared" si="229"/>
        <v>194598</v>
      </c>
      <c r="AZ111" s="16">
        <f t="shared" si="229"/>
        <v>16900</v>
      </c>
      <c r="BA111" s="13">
        <f t="shared" si="229"/>
        <v>20.163399999999999</v>
      </c>
      <c r="BB111" s="13">
        <f t="shared" si="229"/>
        <v>18.943399999999997</v>
      </c>
      <c r="BC111" s="17">
        <f t="shared" si="229"/>
        <v>1.22</v>
      </c>
    </row>
    <row r="112" spans="1:55" x14ac:dyDescent="0.2">
      <c r="D112" s="9"/>
      <c r="E112" s="5"/>
      <c r="F112" s="9"/>
      <c r="G112" s="20"/>
      <c r="H112" s="2">
        <v>3231</v>
      </c>
      <c r="I112" s="174">
        <f t="shared" ref="I112:BC112" si="230">SUMIF($F$12:$F$463,"=3231",I$12:I$463)</f>
        <v>14524357</v>
      </c>
      <c r="J112" s="16">
        <f t="shared" si="230"/>
        <v>10465042</v>
      </c>
      <c r="K112" s="16">
        <f t="shared" si="230"/>
        <v>200000</v>
      </c>
      <c r="L112" s="16">
        <f t="shared" si="230"/>
        <v>3604784</v>
      </c>
      <c r="M112" s="16">
        <f t="shared" si="230"/>
        <v>209301</v>
      </c>
      <c r="N112" s="16">
        <f t="shared" si="230"/>
        <v>45230</v>
      </c>
      <c r="O112" s="13">
        <f t="shared" si="230"/>
        <v>19.3322</v>
      </c>
      <c r="P112" s="13">
        <f t="shared" si="230"/>
        <v>17.478199999999998</v>
      </c>
      <c r="Q112" s="176">
        <f t="shared" si="230"/>
        <v>1.8540000000000001</v>
      </c>
      <c r="R112" s="174">
        <f t="shared" si="230"/>
        <v>0</v>
      </c>
      <c r="S112" s="16">
        <f t="shared" si="230"/>
        <v>0</v>
      </c>
      <c r="T112" s="16">
        <f t="shared" si="230"/>
        <v>185215</v>
      </c>
      <c r="U112" s="16">
        <f t="shared" si="230"/>
        <v>0</v>
      </c>
      <c r="V112" s="16">
        <f t="shared" si="230"/>
        <v>0</v>
      </c>
      <c r="W112" s="16">
        <f t="shared" si="230"/>
        <v>0</v>
      </c>
      <c r="X112" s="16">
        <f t="shared" si="230"/>
        <v>185215</v>
      </c>
      <c r="Y112" s="16">
        <f t="shared" si="230"/>
        <v>0</v>
      </c>
      <c r="Z112" s="16">
        <f t="shared" si="230"/>
        <v>0</v>
      </c>
      <c r="AA112" s="16">
        <f t="shared" si="230"/>
        <v>0</v>
      </c>
      <c r="AB112" s="16">
        <f t="shared" si="230"/>
        <v>0</v>
      </c>
      <c r="AC112" s="16">
        <f t="shared" si="230"/>
        <v>185215</v>
      </c>
      <c r="AD112" s="16">
        <f t="shared" si="230"/>
        <v>62603</v>
      </c>
      <c r="AE112" s="16">
        <f t="shared" si="230"/>
        <v>3704</v>
      </c>
      <c r="AF112" s="16">
        <f t="shared" si="230"/>
        <v>0</v>
      </c>
      <c r="AG112" s="16">
        <f t="shared" si="230"/>
        <v>0</v>
      </c>
      <c r="AH112" s="16">
        <f t="shared" si="230"/>
        <v>0</v>
      </c>
      <c r="AI112" s="16">
        <f t="shared" si="230"/>
        <v>251522</v>
      </c>
      <c r="AJ112" s="13">
        <f t="shared" si="230"/>
        <v>0</v>
      </c>
      <c r="AK112" s="13">
        <f t="shared" si="230"/>
        <v>0</v>
      </c>
      <c r="AL112" s="13">
        <f t="shared" si="230"/>
        <v>0</v>
      </c>
      <c r="AM112" s="13">
        <f t="shared" si="230"/>
        <v>0.33</v>
      </c>
      <c r="AN112" s="13">
        <f t="shared" si="230"/>
        <v>0</v>
      </c>
      <c r="AO112" s="13">
        <f t="shared" si="230"/>
        <v>0</v>
      </c>
      <c r="AP112" s="13">
        <f t="shared" si="230"/>
        <v>0</v>
      </c>
      <c r="AQ112" s="13">
        <f t="shared" si="230"/>
        <v>0</v>
      </c>
      <c r="AR112" s="13">
        <f t="shared" si="230"/>
        <v>0.33</v>
      </c>
      <c r="AS112" s="13">
        <f t="shared" si="230"/>
        <v>0</v>
      </c>
      <c r="AT112" s="176">
        <f t="shared" si="230"/>
        <v>0.33</v>
      </c>
      <c r="AU112" s="174">
        <f t="shared" si="230"/>
        <v>14775879</v>
      </c>
      <c r="AV112" s="16">
        <f t="shared" si="230"/>
        <v>10650257</v>
      </c>
      <c r="AW112" s="16">
        <f t="shared" si="230"/>
        <v>200000</v>
      </c>
      <c r="AX112" s="16">
        <f t="shared" si="230"/>
        <v>3667387</v>
      </c>
      <c r="AY112" s="16">
        <f t="shared" si="230"/>
        <v>213005</v>
      </c>
      <c r="AZ112" s="16">
        <f t="shared" si="230"/>
        <v>45230</v>
      </c>
      <c r="BA112" s="13">
        <f t="shared" si="230"/>
        <v>19.662199999999999</v>
      </c>
      <c r="BB112" s="13">
        <f t="shared" si="230"/>
        <v>17.808199999999996</v>
      </c>
      <c r="BC112" s="17">
        <f t="shared" si="230"/>
        <v>1.8540000000000001</v>
      </c>
    </row>
    <row r="113" spans="4:55" ht="13.5" thickBot="1" x14ac:dyDescent="0.25">
      <c r="D113" s="9"/>
      <c r="E113" s="5"/>
      <c r="F113" s="9"/>
      <c r="G113" s="20"/>
      <c r="H113" s="158">
        <v>3233</v>
      </c>
      <c r="I113" s="177">
        <f t="shared" ref="I113:BC113" si="231">SUMIF($F$12:$F$463,"=3233",I$12:I$463)</f>
        <v>3476354</v>
      </c>
      <c r="J113" s="178">
        <f t="shared" si="231"/>
        <v>2444208</v>
      </c>
      <c r="K113" s="178">
        <f t="shared" si="231"/>
        <v>100000</v>
      </c>
      <c r="L113" s="178">
        <f t="shared" si="231"/>
        <v>859942</v>
      </c>
      <c r="M113" s="178">
        <f t="shared" si="231"/>
        <v>48884</v>
      </c>
      <c r="N113" s="178">
        <f t="shared" si="231"/>
        <v>23320</v>
      </c>
      <c r="O113" s="179">
        <f t="shared" si="231"/>
        <v>5.31</v>
      </c>
      <c r="P113" s="179">
        <f t="shared" si="231"/>
        <v>3.56</v>
      </c>
      <c r="Q113" s="182">
        <f t="shared" si="231"/>
        <v>1.75</v>
      </c>
      <c r="R113" s="177">
        <f t="shared" si="231"/>
        <v>0</v>
      </c>
      <c r="S113" s="178">
        <f t="shared" si="231"/>
        <v>0</v>
      </c>
      <c r="T113" s="178">
        <f t="shared" si="231"/>
        <v>0</v>
      </c>
      <c r="U113" s="178">
        <f t="shared" si="231"/>
        <v>0</v>
      </c>
      <c r="V113" s="178">
        <f t="shared" si="231"/>
        <v>0</v>
      </c>
      <c r="W113" s="178">
        <f t="shared" si="231"/>
        <v>0</v>
      </c>
      <c r="X113" s="178">
        <f t="shared" si="231"/>
        <v>0</v>
      </c>
      <c r="Y113" s="178">
        <f t="shared" si="231"/>
        <v>0</v>
      </c>
      <c r="Z113" s="178">
        <f t="shared" si="231"/>
        <v>0</v>
      </c>
      <c r="AA113" s="178">
        <f t="shared" si="231"/>
        <v>0</v>
      </c>
      <c r="AB113" s="178">
        <f t="shared" si="231"/>
        <v>0</v>
      </c>
      <c r="AC113" s="178">
        <f t="shared" si="231"/>
        <v>0</v>
      </c>
      <c r="AD113" s="178">
        <f t="shared" si="231"/>
        <v>0</v>
      </c>
      <c r="AE113" s="178">
        <f t="shared" si="231"/>
        <v>0</v>
      </c>
      <c r="AF113" s="178">
        <f t="shared" si="231"/>
        <v>0</v>
      </c>
      <c r="AG113" s="178">
        <f t="shared" si="231"/>
        <v>0</v>
      </c>
      <c r="AH113" s="178">
        <f t="shared" si="231"/>
        <v>0</v>
      </c>
      <c r="AI113" s="178">
        <f t="shared" si="231"/>
        <v>0</v>
      </c>
      <c r="AJ113" s="179">
        <f t="shared" si="231"/>
        <v>0</v>
      </c>
      <c r="AK113" s="179">
        <f t="shared" si="231"/>
        <v>0</v>
      </c>
      <c r="AL113" s="179">
        <f t="shared" si="231"/>
        <v>0</v>
      </c>
      <c r="AM113" s="179">
        <f t="shared" si="231"/>
        <v>0</v>
      </c>
      <c r="AN113" s="179">
        <f t="shared" si="231"/>
        <v>0</v>
      </c>
      <c r="AO113" s="179">
        <f t="shared" si="231"/>
        <v>0</v>
      </c>
      <c r="AP113" s="179">
        <f t="shared" si="231"/>
        <v>0</v>
      </c>
      <c r="AQ113" s="179">
        <f t="shared" si="231"/>
        <v>0</v>
      </c>
      <c r="AR113" s="179">
        <f t="shared" si="231"/>
        <v>0</v>
      </c>
      <c r="AS113" s="179">
        <f t="shared" si="231"/>
        <v>0</v>
      </c>
      <c r="AT113" s="182">
        <f t="shared" si="231"/>
        <v>0</v>
      </c>
      <c r="AU113" s="177">
        <f t="shared" si="231"/>
        <v>3476354</v>
      </c>
      <c r="AV113" s="178">
        <f t="shared" si="231"/>
        <v>2444208</v>
      </c>
      <c r="AW113" s="178">
        <f t="shared" si="231"/>
        <v>100000</v>
      </c>
      <c r="AX113" s="178">
        <f t="shared" si="231"/>
        <v>859942</v>
      </c>
      <c r="AY113" s="178">
        <f t="shared" si="231"/>
        <v>48884</v>
      </c>
      <c r="AZ113" s="178">
        <f t="shared" si="231"/>
        <v>23320</v>
      </c>
      <c r="BA113" s="179">
        <f t="shared" si="231"/>
        <v>5.31</v>
      </c>
      <c r="BB113" s="179">
        <f t="shared" si="231"/>
        <v>3.56</v>
      </c>
      <c r="BC113" s="180">
        <f t="shared" si="231"/>
        <v>1.75</v>
      </c>
    </row>
    <row r="114" spans="4:55" x14ac:dyDescent="0.2">
      <c r="D114" s="5"/>
      <c r="E114" s="5"/>
      <c r="F114" s="5"/>
      <c r="G114" s="20"/>
      <c r="H114" s="5"/>
    </row>
    <row r="132" spans="44:46" x14ac:dyDescent="0.2">
      <c r="AR132" s="706">
        <f>AJ131+AL131+AM131+AO131+AP131</f>
        <v>0</v>
      </c>
      <c r="AS132" s="706">
        <f>AK131+AN131+AQ131</f>
        <v>0</v>
      </c>
      <c r="AT132" s="706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C133"/>
  <sheetViews>
    <sheetView workbookViewId="0">
      <pane xSplit="8" ySplit="11" topLeftCell="I57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U6" sqref="AU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4" width="9.140625" style="8" customWidth="1"/>
    <col min="25" max="25" width="9.140625" style="8"/>
    <col min="26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9.42578125" style="8" customWidth="1"/>
    <col min="48" max="48" width="9.85546875" style="8" customWidth="1"/>
    <col min="49" max="52" width="9.140625" style="8"/>
    <col min="53" max="53" width="11.42578125" style="7" customWidth="1"/>
    <col min="54" max="55" width="9.28515625" style="7" customWidth="1"/>
    <col min="187" max="187" width="7" customWidth="1"/>
    <col min="188" max="188" width="33.140625" customWidth="1"/>
    <col min="189" max="189" width="6.42578125" customWidth="1"/>
    <col min="190" max="190" width="29" customWidth="1"/>
    <col min="191" max="191" width="11.42578125" customWidth="1"/>
    <col min="192" max="192" width="10.7109375" customWidth="1"/>
    <col min="193" max="193" width="10.85546875" customWidth="1"/>
    <col min="194" max="194" width="11.28515625" customWidth="1"/>
    <col min="196" max="196" width="9.7109375" customWidth="1"/>
    <col min="199" max="199" width="10.42578125" customWidth="1"/>
    <col min="443" max="443" width="7" customWidth="1"/>
    <col min="444" max="444" width="33.140625" customWidth="1"/>
    <col min="445" max="445" width="6.42578125" customWidth="1"/>
    <col min="446" max="446" width="29" customWidth="1"/>
    <col min="447" max="447" width="11.42578125" customWidth="1"/>
    <col min="448" max="448" width="10.7109375" customWidth="1"/>
    <col min="449" max="449" width="10.85546875" customWidth="1"/>
    <col min="450" max="450" width="11.28515625" customWidth="1"/>
    <col min="452" max="452" width="9.7109375" customWidth="1"/>
    <col min="455" max="455" width="10.42578125" customWidth="1"/>
    <col min="699" max="699" width="7" customWidth="1"/>
    <col min="700" max="700" width="33.140625" customWidth="1"/>
    <col min="701" max="701" width="6.42578125" customWidth="1"/>
    <col min="702" max="702" width="29" customWidth="1"/>
    <col min="703" max="703" width="11.42578125" customWidth="1"/>
    <col min="704" max="704" width="10.7109375" customWidth="1"/>
    <col min="705" max="705" width="10.85546875" customWidth="1"/>
    <col min="706" max="706" width="11.28515625" customWidth="1"/>
    <col min="708" max="708" width="9.7109375" customWidth="1"/>
    <col min="711" max="711" width="10.42578125" customWidth="1"/>
    <col min="955" max="955" width="7" customWidth="1"/>
    <col min="956" max="956" width="33.140625" customWidth="1"/>
    <col min="957" max="957" width="6.42578125" customWidth="1"/>
    <col min="958" max="958" width="29" customWidth="1"/>
    <col min="959" max="959" width="11.42578125" customWidth="1"/>
    <col min="960" max="960" width="10.7109375" customWidth="1"/>
    <col min="961" max="961" width="10.85546875" customWidth="1"/>
    <col min="962" max="962" width="11.28515625" customWidth="1"/>
    <col min="964" max="964" width="9.7109375" customWidth="1"/>
    <col min="967" max="967" width="10.42578125" customWidth="1"/>
    <col min="1211" max="1211" width="7" customWidth="1"/>
    <col min="1212" max="1212" width="33.140625" customWidth="1"/>
    <col min="1213" max="1213" width="6.42578125" customWidth="1"/>
    <col min="1214" max="1214" width="29" customWidth="1"/>
    <col min="1215" max="1215" width="11.42578125" customWidth="1"/>
    <col min="1216" max="1216" width="10.7109375" customWidth="1"/>
    <col min="1217" max="1217" width="10.85546875" customWidth="1"/>
    <col min="1218" max="1218" width="11.28515625" customWidth="1"/>
    <col min="1220" max="1220" width="9.7109375" customWidth="1"/>
    <col min="1223" max="1223" width="10.42578125" customWidth="1"/>
    <col min="1467" max="1467" width="7" customWidth="1"/>
    <col min="1468" max="1468" width="33.140625" customWidth="1"/>
    <col min="1469" max="1469" width="6.42578125" customWidth="1"/>
    <col min="1470" max="1470" width="29" customWidth="1"/>
    <col min="1471" max="1471" width="11.42578125" customWidth="1"/>
    <col min="1472" max="1472" width="10.7109375" customWidth="1"/>
    <col min="1473" max="1473" width="10.85546875" customWidth="1"/>
    <col min="1474" max="1474" width="11.28515625" customWidth="1"/>
    <col min="1476" max="1476" width="9.7109375" customWidth="1"/>
    <col min="1479" max="1479" width="10.42578125" customWidth="1"/>
    <col min="1723" max="1723" width="7" customWidth="1"/>
    <col min="1724" max="1724" width="33.140625" customWidth="1"/>
    <col min="1725" max="1725" width="6.42578125" customWidth="1"/>
    <col min="1726" max="1726" width="29" customWidth="1"/>
    <col min="1727" max="1727" width="11.42578125" customWidth="1"/>
    <col min="1728" max="1728" width="10.7109375" customWidth="1"/>
    <col min="1729" max="1729" width="10.85546875" customWidth="1"/>
    <col min="1730" max="1730" width="11.28515625" customWidth="1"/>
    <col min="1732" max="1732" width="9.7109375" customWidth="1"/>
    <col min="1735" max="1735" width="10.42578125" customWidth="1"/>
    <col min="1979" max="1979" width="7" customWidth="1"/>
    <col min="1980" max="1980" width="33.140625" customWidth="1"/>
    <col min="1981" max="1981" width="6.42578125" customWidth="1"/>
    <col min="1982" max="1982" width="29" customWidth="1"/>
    <col min="1983" max="1983" width="11.42578125" customWidth="1"/>
    <col min="1984" max="1984" width="10.7109375" customWidth="1"/>
    <col min="1985" max="1985" width="10.85546875" customWidth="1"/>
    <col min="1986" max="1986" width="11.28515625" customWidth="1"/>
    <col min="1988" max="1988" width="9.7109375" customWidth="1"/>
    <col min="1991" max="1991" width="10.42578125" customWidth="1"/>
    <col min="2235" max="2235" width="7" customWidth="1"/>
    <col min="2236" max="2236" width="33.140625" customWidth="1"/>
    <col min="2237" max="2237" width="6.42578125" customWidth="1"/>
    <col min="2238" max="2238" width="29" customWidth="1"/>
    <col min="2239" max="2239" width="11.42578125" customWidth="1"/>
    <col min="2240" max="2240" width="10.7109375" customWidth="1"/>
    <col min="2241" max="2241" width="10.85546875" customWidth="1"/>
    <col min="2242" max="2242" width="11.28515625" customWidth="1"/>
    <col min="2244" max="2244" width="9.7109375" customWidth="1"/>
    <col min="2247" max="2247" width="10.42578125" customWidth="1"/>
    <col min="2491" max="2491" width="7" customWidth="1"/>
    <col min="2492" max="2492" width="33.140625" customWidth="1"/>
    <col min="2493" max="2493" width="6.42578125" customWidth="1"/>
    <col min="2494" max="2494" width="29" customWidth="1"/>
    <col min="2495" max="2495" width="11.42578125" customWidth="1"/>
    <col min="2496" max="2496" width="10.7109375" customWidth="1"/>
    <col min="2497" max="2497" width="10.85546875" customWidth="1"/>
    <col min="2498" max="2498" width="11.28515625" customWidth="1"/>
    <col min="2500" max="2500" width="9.7109375" customWidth="1"/>
    <col min="2503" max="2503" width="10.42578125" customWidth="1"/>
    <col min="2747" max="2747" width="7" customWidth="1"/>
    <col min="2748" max="2748" width="33.140625" customWidth="1"/>
    <col min="2749" max="2749" width="6.42578125" customWidth="1"/>
    <col min="2750" max="2750" width="29" customWidth="1"/>
    <col min="2751" max="2751" width="11.42578125" customWidth="1"/>
    <col min="2752" max="2752" width="10.7109375" customWidth="1"/>
    <col min="2753" max="2753" width="10.85546875" customWidth="1"/>
    <col min="2754" max="2754" width="11.28515625" customWidth="1"/>
    <col min="2756" max="2756" width="9.7109375" customWidth="1"/>
    <col min="2759" max="2759" width="10.42578125" customWidth="1"/>
    <col min="3003" max="3003" width="7" customWidth="1"/>
    <col min="3004" max="3004" width="33.140625" customWidth="1"/>
    <col min="3005" max="3005" width="6.42578125" customWidth="1"/>
    <col min="3006" max="3006" width="29" customWidth="1"/>
    <col min="3007" max="3007" width="11.42578125" customWidth="1"/>
    <col min="3008" max="3008" width="10.7109375" customWidth="1"/>
    <col min="3009" max="3009" width="10.85546875" customWidth="1"/>
    <col min="3010" max="3010" width="11.28515625" customWidth="1"/>
    <col min="3012" max="3012" width="9.7109375" customWidth="1"/>
    <col min="3015" max="3015" width="10.42578125" customWidth="1"/>
    <col min="3259" max="3259" width="7" customWidth="1"/>
    <col min="3260" max="3260" width="33.140625" customWidth="1"/>
    <col min="3261" max="3261" width="6.42578125" customWidth="1"/>
    <col min="3262" max="3262" width="29" customWidth="1"/>
    <col min="3263" max="3263" width="11.42578125" customWidth="1"/>
    <col min="3264" max="3264" width="10.7109375" customWidth="1"/>
    <col min="3265" max="3265" width="10.85546875" customWidth="1"/>
    <col min="3266" max="3266" width="11.28515625" customWidth="1"/>
    <col min="3268" max="3268" width="9.7109375" customWidth="1"/>
    <col min="3271" max="3271" width="10.42578125" customWidth="1"/>
    <col min="3515" max="3515" width="7" customWidth="1"/>
    <col min="3516" max="3516" width="33.140625" customWidth="1"/>
    <col min="3517" max="3517" width="6.42578125" customWidth="1"/>
    <col min="3518" max="3518" width="29" customWidth="1"/>
    <col min="3519" max="3519" width="11.42578125" customWidth="1"/>
    <col min="3520" max="3520" width="10.7109375" customWidth="1"/>
    <col min="3521" max="3521" width="10.85546875" customWidth="1"/>
    <col min="3522" max="3522" width="11.28515625" customWidth="1"/>
    <col min="3524" max="3524" width="9.7109375" customWidth="1"/>
    <col min="3527" max="3527" width="10.42578125" customWidth="1"/>
    <col min="3771" max="3771" width="7" customWidth="1"/>
    <col min="3772" max="3772" width="33.140625" customWidth="1"/>
    <col min="3773" max="3773" width="6.42578125" customWidth="1"/>
    <col min="3774" max="3774" width="29" customWidth="1"/>
    <col min="3775" max="3775" width="11.42578125" customWidth="1"/>
    <col min="3776" max="3776" width="10.7109375" customWidth="1"/>
    <col min="3777" max="3777" width="10.85546875" customWidth="1"/>
    <col min="3778" max="3778" width="11.28515625" customWidth="1"/>
    <col min="3780" max="3780" width="9.7109375" customWidth="1"/>
    <col min="3783" max="3783" width="10.42578125" customWidth="1"/>
    <col min="4027" max="4027" width="7" customWidth="1"/>
    <col min="4028" max="4028" width="33.140625" customWidth="1"/>
    <col min="4029" max="4029" width="6.42578125" customWidth="1"/>
    <col min="4030" max="4030" width="29" customWidth="1"/>
    <col min="4031" max="4031" width="11.42578125" customWidth="1"/>
    <col min="4032" max="4032" width="10.7109375" customWidth="1"/>
    <col min="4033" max="4033" width="10.85546875" customWidth="1"/>
    <col min="4034" max="4034" width="11.28515625" customWidth="1"/>
    <col min="4036" max="4036" width="9.7109375" customWidth="1"/>
    <col min="4039" max="4039" width="10.42578125" customWidth="1"/>
    <col min="4283" max="4283" width="7" customWidth="1"/>
    <col min="4284" max="4284" width="33.140625" customWidth="1"/>
    <col min="4285" max="4285" width="6.42578125" customWidth="1"/>
    <col min="4286" max="4286" width="29" customWidth="1"/>
    <col min="4287" max="4287" width="11.42578125" customWidth="1"/>
    <col min="4288" max="4288" width="10.7109375" customWidth="1"/>
    <col min="4289" max="4289" width="10.85546875" customWidth="1"/>
    <col min="4290" max="4290" width="11.28515625" customWidth="1"/>
    <col min="4292" max="4292" width="9.7109375" customWidth="1"/>
    <col min="4295" max="4295" width="10.42578125" customWidth="1"/>
    <col min="4539" max="4539" width="7" customWidth="1"/>
    <col min="4540" max="4540" width="33.140625" customWidth="1"/>
    <col min="4541" max="4541" width="6.42578125" customWidth="1"/>
    <col min="4542" max="4542" width="29" customWidth="1"/>
    <col min="4543" max="4543" width="11.42578125" customWidth="1"/>
    <col min="4544" max="4544" width="10.7109375" customWidth="1"/>
    <col min="4545" max="4545" width="10.85546875" customWidth="1"/>
    <col min="4546" max="4546" width="11.28515625" customWidth="1"/>
    <col min="4548" max="4548" width="9.7109375" customWidth="1"/>
    <col min="4551" max="4551" width="10.42578125" customWidth="1"/>
    <col min="4795" max="4795" width="7" customWidth="1"/>
    <col min="4796" max="4796" width="33.140625" customWidth="1"/>
    <col min="4797" max="4797" width="6.42578125" customWidth="1"/>
    <col min="4798" max="4798" width="29" customWidth="1"/>
    <col min="4799" max="4799" width="11.42578125" customWidth="1"/>
    <col min="4800" max="4800" width="10.7109375" customWidth="1"/>
    <col min="4801" max="4801" width="10.85546875" customWidth="1"/>
    <col min="4802" max="4802" width="11.28515625" customWidth="1"/>
    <col min="4804" max="4804" width="9.7109375" customWidth="1"/>
    <col min="4807" max="4807" width="10.42578125" customWidth="1"/>
    <col min="5051" max="5051" width="7" customWidth="1"/>
    <col min="5052" max="5052" width="33.140625" customWidth="1"/>
    <col min="5053" max="5053" width="6.42578125" customWidth="1"/>
    <col min="5054" max="5054" width="29" customWidth="1"/>
    <col min="5055" max="5055" width="11.42578125" customWidth="1"/>
    <col min="5056" max="5056" width="10.7109375" customWidth="1"/>
    <col min="5057" max="5057" width="10.85546875" customWidth="1"/>
    <col min="5058" max="5058" width="11.28515625" customWidth="1"/>
    <col min="5060" max="5060" width="9.7109375" customWidth="1"/>
    <col min="5063" max="5063" width="10.42578125" customWidth="1"/>
    <col min="5307" max="5307" width="7" customWidth="1"/>
    <col min="5308" max="5308" width="33.140625" customWidth="1"/>
    <col min="5309" max="5309" width="6.42578125" customWidth="1"/>
    <col min="5310" max="5310" width="29" customWidth="1"/>
    <col min="5311" max="5311" width="11.42578125" customWidth="1"/>
    <col min="5312" max="5312" width="10.7109375" customWidth="1"/>
    <col min="5313" max="5313" width="10.85546875" customWidth="1"/>
    <col min="5314" max="5314" width="11.28515625" customWidth="1"/>
    <col min="5316" max="5316" width="9.7109375" customWidth="1"/>
    <col min="5319" max="5319" width="10.42578125" customWidth="1"/>
    <col min="5563" max="5563" width="7" customWidth="1"/>
    <col min="5564" max="5564" width="33.140625" customWidth="1"/>
    <col min="5565" max="5565" width="6.42578125" customWidth="1"/>
    <col min="5566" max="5566" width="29" customWidth="1"/>
    <col min="5567" max="5567" width="11.42578125" customWidth="1"/>
    <col min="5568" max="5568" width="10.7109375" customWidth="1"/>
    <col min="5569" max="5569" width="10.85546875" customWidth="1"/>
    <col min="5570" max="5570" width="11.28515625" customWidth="1"/>
    <col min="5572" max="5572" width="9.7109375" customWidth="1"/>
    <col min="5575" max="5575" width="10.42578125" customWidth="1"/>
    <col min="5819" max="5819" width="7" customWidth="1"/>
    <col min="5820" max="5820" width="33.140625" customWidth="1"/>
    <col min="5821" max="5821" width="6.42578125" customWidth="1"/>
    <col min="5822" max="5822" width="29" customWidth="1"/>
    <col min="5823" max="5823" width="11.42578125" customWidth="1"/>
    <col min="5824" max="5824" width="10.7109375" customWidth="1"/>
    <col min="5825" max="5825" width="10.85546875" customWidth="1"/>
    <col min="5826" max="5826" width="11.28515625" customWidth="1"/>
    <col min="5828" max="5828" width="9.7109375" customWidth="1"/>
    <col min="5831" max="5831" width="10.42578125" customWidth="1"/>
    <col min="6075" max="6075" width="7" customWidth="1"/>
    <col min="6076" max="6076" width="33.140625" customWidth="1"/>
    <col min="6077" max="6077" width="6.42578125" customWidth="1"/>
    <col min="6078" max="6078" width="29" customWidth="1"/>
    <col min="6079" max="6079" width="11.42578125" customWidth="1"/>
    <col min="6080" max="6080" width="10.7109375" customWidth="1"/>
    <col min="6081" max="6081" width="10.85546875" customWidth="1"/>
    <col min="6082" max="6082" width="11.28515625" customWidth="1"/>
    <col min="6084" max="6084" width="9.7109375" customWidth="1"/>
    <col min="6087" max="6087" width="10.42578125" customWidth="1"/>
    <col min="6331" max="6331" width="7" customWidth="1"/>
    <col min="6332" max="6332" width="33.140625" customWidth="1"/>
    <col min="6333" max="6333" width="6.42578125" customWidth="1"/>
    <col min="6334" max="6334" width="29" customWidth="1"/>
    <col min="6335" max="6335" width="11.42578125" customWidth="1"/>
    <col min="6336" max="6336" width="10.7109375" customWidth="1"/>
    <col min="6337" max="6337" width="10.85546875" customWidth="1"/>
    <col min="6338" max="6338" width="11.28515625" customWidth="1"/>
    <col min="6340" max="6340" width="9.7109375" customWidth="1"/>
    <col min="6343" max="6343" width="10.42578125" customWidth="1"/>
    <col min="6587" max="6587" width="7" customWidth="1"/>
    <col min="6588" max="6588" width="33.140625" customWidth="1"/>
    <col min="6589" max="6589" width="6.42578125" customWidth="1"/>
    <col min="6590" max="6590" width="29" customWidth="1"/>
    <col min="6591" max="6591" width="11.42578125" customWidth="1"/>
    <col min="6592" max="6592" width="10.7109375" customWidth="1"/>
    <col min="6593" max="6593" width="10.85546875" customWidth="1"/>
    <col min="6594" max="6594" width="11.28515625" customWidth="1"/>
    <col min="6596" max="6596" width="9.7109375" customWidth="1"/>
    <col min="6599" max="6599" width="10.42578125" customWidth="1"/>
    <col min="6843" max="6843" width="7" customWidth="1"/>
    <col min="6844" max="6844" width="33.140625" customWidth="1"/>
    <col min="6845" max="6845" width="6.42578125" customWidth="1"/>
    <col min="6846" max="6846" width="29" customWidth="1"/>
    <col min="6847" max="6847" width="11.42578125" customWidth="1"/>
    <col min="6848" max="6848" width="10.7109375" customWidth="1"/>
    <col min="6849" max="6849" width="10.85546875" customWidth="1"/>
    <col min="6850" max="6850" width="11.28515625" customWidth="1"/>
    <col min="6852" max="6852" width="9.7109375" customWidth="1"/>
    <col min="6855" max="6855" width="10.42578125" customWidth="1"/>
    <col min="7099" max="7099" width="7" customWidth="1"/>
    <col min="7100" max="7100" width="33.140625" customWidth="1"/>
    <col min="7101" max="7101" width="6.42578125" customWidth="1"/>
    <col min="7102" max="7102" width="29" customWidth="1"/>
    <col min="7103" max="7103" width="11.42578125" customWidth="1"/>
    <col min="7104" max="7104" width="10.7109375" customWidth="1"/>
    <col min="7105" max="7105" width="10.85546875" customWidth="1"/>
    <col min="7106" max="7106" width="11.28515625" customWidth="1"/>
    <col min="7108" max="7108" width="9.7109375" customWidth="1"/>
    <col min="7111" max="7111" width="10.42578125" customWidth="1"/>
    <col min="7355" max="7355" width="7" customWidth="1"/>
    <col min="7356" max="7356" width="33.140625" customWidth="1"/>
    <col min="7357" max="7357" width="6.42578125" customWidth="1"/>
    <col min="7358" max="7358" width="29" customWidth="1"/>
    <col min="7359" max="7359" width="11.42578125" customWidth="1"/>
    <col min="7360" max="7360" width="10.7109375" customWidth="1"/>
    <col min="7361" max="7361" width="10.85546875" customWidth="1"/>
    <col min="7362" max="7362" width="11.28515625" customWidth="1"/>
    <col min="7364" max="7364" width="9.7109375" customWidth="1"/>
    <col min="7367" max="7367" width="10.42578125" customWidth="1"/>
    <col min="7611" max="7611" width="7" customWidth="1"/>
    <col min="7612" max="7612" width="33.140625" customWidth="1"/>
    <col min="7613" max="7613" width="6.42578125" customWidth="1"/>
    <col min="7614" max="7614" width="29" customWidth="1"/>
    <col min="7615" max="7615" width="11.42578125" customWidth="1"/>
    <col min="7616" max="7616" width="10.7109375" customWidth="1"/>
    <col min="7617" max="7617" width="10.85546875" customWidth="1"/>
    <col min="7618" max="7618" width="11.28515625" customWidth="1"/>
    <col min="7620" max="7620" width="9.7109375" customWidth="1"/>
    <col min="7623" max="7623" width="10.42578125" customWidth="1"/>
    <col min="7867" max="7867" width="7" customWidth="1"/>
    <col min="7868" max="7868" width="33.140625" customWidth="1"/>
    <col min="7869" max="7869" width="6.42578125" customWidth="1"/>
    <col min="7870" max="7870" width="29" customWidth="1"/>
    <col min="7871" max="7871" width="11.42578125" customWidth="1"/>
    <col min="7872" max="7872" width="10.7109375" customWidth="1"/>
    <col min="7873" max="7873" width="10.85546875" customWidth="1"/>
    <col min="7874" max="7874" width="11.28515625" customWidth="1"/>
    <col min="7876" max="7876" width="9.7109375" customWidth="1"/>
    <col min="7879" max="7879" width="10.42578125" customWidth="1"/>
    <col min="8123" max="8123" width="7" customWidth="1"/>
    <col min="8124" max="8124" width="33.140625" customWidth="1"/>
    <col min="8125" max="8125" width="6.42578125" customWidth="1"/>
    <col min="8126" max="8126" width="29" customWidth="1"/>
    <col min="8127" max="8127" width="11.42578125" customWidth="1"/>
    <col min="8128" max="8128" width="10.7109375" customWidth="1"/>
    <col min="8129" max="8129" width="10.85546875" customWidth="1"/>
    <col min="8130" max="8130" width="11.28515625" customWidth="1"/>
    <col min="8132" max="8132" width="9.7109375" customWidth="1"/>
    <col min="8135" max="8135" width="10.42578125" customWidth="1"/>
    <col min="8379" max="8379" width="7" customWidth="1"/>
    <col min="8380" max="8380" width="33.140625" customWidth="1"/>
    <col min="8381" max="8381" width="6.42578125" customWidth="1"/>
    <col min="8382" max="8382" width="29" customWidth="1"/>
    <col min="8383" max="8383" width="11.42578125" customWidth="1"/>
    <col min="8384" max="8384" width="10.7109375" customWidth="1"/>
    <col min="8385" max="8385" width="10.85546875" customWidth="1"/>
    <col min="8386" max="8386" width="11.28515625" customWidth="1"/>
    <col min="8388" max="8388" width="9.7109375" customWidth="1"/>
    <col min="8391" max="8391" width="10.42578125" customWidth="1"/>
    <col min="8635" max="8635" width="7" customWidth="1"/>
    <col min="8636" max="8636" width="33.140625" customWidth="1"/>
    <col min="8637" max="8637" width="6.42578125" customWidth="1"/>
    <col min="8638" max="8638" width="29" customWidth="1"/>
    <col min="8639" max="8639" width="11.42578125" customWidth="1"/>
    <col min="8640" max="8640" width="10.7109375" customWidth="1"/>
    <col min="8641" max="8641" width="10.85546875" customWidth="1"/>
    <col min="8642" max="8642" width="11.28515625" customWidth="1"/>
    <col min="8644" max="8644" width="9.7109375" customWidth="1"/>
    <col min="8647" max="8647" width="10.42578125" customWidth="1"/>
    <col min="8891" max="8891" width="7" customWidth="1"/>
    <col min="8892" max="8892" width="33.140625" customWidth="1"/>
    <col min="8893" max="8893" width="6.42578125" customWidth="1"/>
    <col min="8894" max="8894" width="29" customWidth="1"/>
    <col min="8895" max="8895" width="11.42578125" customWidth="1"/>
    <col min="8896" max="8896" width="10.7109375" customWidth="1"/>
    <col min="8897" max="8897" width="10.85546875" customWidth="1"/>
    <col min="8898" max="8898" width="11.28515625" customWidth="1"/>
    <col min="8900" max="8900" width="9.7109375" customWidth="1"/>
    <col min="8903" max="8903" width="10.42578125" customWidth="1"/>
    <col min="9147" max="9147" width="7" customWidth="1"/>
    <col min="9148" max="9148" width="33.140625" customWidth="1"/>
    <col min="9149" max="9149" width="6.42578125" customWidth="1"/>
    <col min="9150" max="9150" width="29" customWidth="1"/>
    <col min="9151" max="9151" width="11.42578125" customWidth="1"/>
    <col min="9152" max="9152" width="10.7109375" customWidth="1"/>
    <col min="9153" max="9153" width="10.85546875" customWidth="1"/>
    <col min="9154" max="9154" width="11.28515625" customWidth="1"/>
    <col min="9156" max="9156" width="9.7109375" customWidth="1"/>
    <col min="9159" max="9159" width="10.42578125" customWidth="1"/>
    <col min="9403" max="9403" width="7" customWidth="1"/>
    <col min="9404" max="9404" width="33.140625" customWidth="1"/>
    <col min="9405" max="9405" width="6.42578125" customWidth="1"/>
    <col min="9406" max="9406" width="29" customWidth="1"/>
    <col min="9407" max="9407" width="11.42578125" customWidth="1"/>
    <col min="9408" max="9408" width="10.7109375" customWidth="1"/>
    <col min="9409" max="9409" width="10.85546875" customWidth="1"/>
    <col min="9410" max="9410" width="11.28515625" customWidth="1"/>
    <col min="9412" max="9412" width="9.7109375" customWidth="1"/>
    <col min="9415" max="9415" width="10.42578125" customWidth="1"/>
    <col min="9659" max="9659" width="7" customWidth="1"/>
    <col min="9660" max="9660" width="33.140625" customWidth="1"/>
    <col min="9661" max="9661" width="6.42578125" customWidth="1"/>
    <col min="9662" max="9662" width="29" customWidth="1"/>
    <col min="9663" max="9663" width="11.42578125" customWidth="1"/>
    <col min="9664" max="9664" width="10.7109375" customWidth="1"/>
    <col min="9665" max="9665" width="10.85546875" customWidth="1"/>
    <col min="9666" max="9666" width="11.28515625" customWidth="1"/>
    <col min="9668" max="9668" width="9.7109375" customWidth="1"/>
    <col min="9671" max="9671" width="10.42578125" customWidth="1"/>
    <col min="9915" max="9915" width="7" customWidth="1"/>
    <col min="9916" max="9916" width="33.140625" customWidth="1"/>
    <col min="9917" max="9917" width="6.42578125" customWidth="1"/>
    <col min="9918" max="9918" width="29" customWidth="1"/>
    <col min="9919" max="9919" width="11.42578125" customWidth="1"/>
    <col min="9920" max="9920" width="10.7109375" customWidth="1"/>
    <col min="9921" max="9921" width="10.85546875" customWidth="1"/>
    <col min="9922" max="9922" width="11.28515625" customWidth="1"/>
    <col min="9924" max="9924" width="9.7109375" customWidth="1"/>
    <col min="9927" max="9927" width="10.42578125" customWidth="1"/>
    <col min="10171" max="10171" width="7" customWidth="1"/>
    <col min="10172" max="10172" width="33.140625" customWidth="1"/>
    <col min="10173" max="10173" width="6.42578125" customWidth="1"/>
    <col min="10174" max="10174" width="29" customWidth="1"/>
    <col min="10175" max="10175" width="11.42578125" customWidth="1"/>
    <col min="10176" max="10176" width="10.7109375" customWidth="1"/>
    <col min="10177" max="10177" width="10.85546875" customWidth="1"/>
    <col min="10178" max="10178" width="11.28515625" customWidth="1"/>
    <col min="10180" max="10180" width="9.7109375" customWidth="1"/>
    <col min="10183" max="10183" width="10.42578125" customWidth="1"/>
    <col min="10427" max="10427" width="7" customWidth="1"/>
    <col min="10428" max="10428" width="33.140625" customWidth="1"/>
    <col min="10429" max="10429" width="6.42578125" customWidth="1"/>
    <col min="10430" max="10430" width="29" customWidth="1"/>
    <col min="10431" max="10431" width="11.42578125" customWidth="1"/>
    <col min="10432" max="10432" width="10.7109375" customWidth="1"/>
    <col min="10433" max="10433" width="10.85546875" customWidth="1"/>
    <col min="10434" max="10434" width="11.28515625" customWidth="1"/>
    <col min="10436" max="10436" width="9.7109375" customWidth="1"/>
    <col min="10439" max="10439" width="10.42578125" customWidth="1"/>
    <col min="10683" max="10683" width="7" customWidth="1"/>
    <col min="10684" max="10684" width="33.140625" customWidth="1"/>
    <col min="10685" max="10685" width="6.42578125" customWidth="1"/>
    <col min="10686" max="10686" width="29" customWidth="1"/>
    <col min="10687" max="10687" width="11.42578125" customWidth="1"/>
    <col min="10688" max="10688" width="10.7109375" customWidth="1"/>
    <col min="10689" max="10689" width="10.85546875" customWidth="1"/>
    <col min="10690" max="10690" width="11.28515625" customWidth="1"/>
    <col min="10692" max="10692" width="9.7109375" customWidth="1"/>
    <col min="10695" max="10695" width="10.42578125" customWidth="1"/>
    <col min="10939" max="10939" width="7" customWidth="1"/>
    <col min="10940" max="10940" width="33.140625" customWidth="1"/>
    <col min="10941" max="10941" width="6.42578125" customWidth="1"/>
    <col min="10942" max="10942" width="29" customWidth="1"/>
    <col min="10943" max="10943" width="11.42578125" customWidth="1"/>
    <col min="10944" max="10944" width="10.7109375" customWidth="1"/>
    <col min="10945" max="10945" width="10.85546875" customWidth="1"/>
    <col min="10946" max="10946" width="11.28515625" customWidth="1"/>
    <col min="10948" max="10948" width="9.7109375" customWidth="1"/>
    <col min="10951" max="10951" width="10.42578125" customWidth="1"/>
    <col min="11195" max="11195" width="7" customWidth="1"/>
    <col min="11196" max="11196" width="33.140625" customWidth="1"/>
    <col min="11197" max="11197" width="6.42578125" customWidth="1"/>
    <col min="11198" max="11198" width="29" customWidth="1"/>
    <col min="11199" max="11199" width="11.42578125" customWidth="1"/>
    <col min="11200" max="11200" width="10.7109375" customWidth="1"/>
    <col min="11201" max="11201" width="10.85546875" customWidth="1"/>
    <col min="11202" max="11202" width="11.28515625" customWidth="1"/>
    <col min="11204" max="11204" width="9.7109375" customWidth="1"/>
    <col min="11207" max="11207" width="10.42578125" customWidth="1"/>
    <col min="11451" max="11451" width="7" customWidth="1"/>
    <col min="11452" max="11452" width="33.140625" customWidth="1"/>
    <col min="11453" max="11453" width="6.42578125" customWidth="1"/>
    <col min="11454" max="11454" width="29" customWidth="1"/>
    <col min="11455" max="11455" width="11.42578125" customWidth="1"/>
    <col min="11456" max="11456" width="10.7109375" customWidth="1"/>
    <col min="11457" max="11457" width="10.85546875" customWidth="1"/>
    <col min="11458" max="11458" width="11.28515625" customWidth="1"/>
    <col min="11460" max="11460" width="9.7109375" customWidth="1"/>
    <col min="11463" max="11463" width="10.42578125" customWidth="1"/>
    <col min="11707" max="11707" width="7" customWidth="1"/>
    <col min="11708" max="11708" width="33.140625" customWidth="1"/>
    <col min="11709" max="11709" width="6.42578125" customWidth="1"/>
    <col min="11710" max="11710" width="29" customWidth="1"/>
    <col min="11711" max="11711" width="11.42578125" customWidth="1"/>
    <col min="11712" max="11712" width="10.7109375" customWidth="1"/>
    <col min="11713" max="11713" width="10.85546875" customWidth="1"/>
    <col min="11714" max="11714" width="11.28515625" customWidth="1"/>
    <col min="11716" max="11716" width="9.7109375" customWidth="1"/>
    <col min="11719" max="11719" width="10.42578125" customWidth="1"/>
    <col min="11963" max="11963" width="7" customWidth="1"/>
    <col min="11964" max="11964" width="33.140625" customWidth="1"/>
    <col min="11965" max="11965" width="6.42578125" customWidth="1"/>
    <col min="11966" max="11966" width="29" customWidth="1"/>
    <col min="11967" max="11967" width="11.42578125" customWidth="1"/>
    <col min="11968" max="11968" width="10.7109375" customWidth="1"/>
    <col min="11969" max="11969" width="10.85546875" customWidth="1"/>
    <col min="11970" max="11970" width="11.28515625" customWidth="1"/>
    <col min="11972" max="11972" width="9.7109375" customWidth="1"/>
    <col min="11975" max="11975" width="10.42578125" customWidth="1"/>
    <col min="12219" max="12219" width="7" customWidth="1"/>
    <col min="12220" max="12220" width="33.140625" customWidth="1"/>
    <col min="12221" max="12221" width="6.42578125" customWidth="1"/>
    <col min="12222" max="12222" width="29" customWidth="1"/>
    <col min="12223" max="12223" width="11.42578125" customWidth="1"/>
    <col min="12224" max="12224" width="10.7109375" customWidth="1"/>
    <col min="12225" max="12225" width="10.85546875" customWidth="1"/>
    <col min="12226" max="12226" width="11.28515625" customWidth="1"/>
    <col min="12228" max="12228" width="9.7109375" customWidth="1"/>
    <col min="12231" max="12231" width="10.42578125" customWidth="1"/>
    <col min="12475" max="12475" width="7" customWidth="1"/>
    <col min="12476" max="12476" width="33.140625" customWidth="1"/>
    <col min="12477" max="12477" width="6.42578125" customWidth="1"/>
    <col min="12478" max="12478" width="29" customWidth="1"/>
    <col min="12479" max="12479" width="11.42578125" customWidth="1"/>
    <col min="12480" max="12480" width="10.7109375" customWidth="1"/>
    <col min="12481" max="12481" width="10.85546875" customWidth="1"/>
    <col min="12482" max="12482" width="11.28515625" customWidth="1"/>
    <col min="12484" max="12484" width="9.7109375" customWidth="1"/>
    <col min="12487" max="12487" width="10.42578125" customWidth="1"/>
    <col min="12731" max="12731" width="7" customWidth="1"/>
    <col min="12732" max="12732" width="33.140625" customWidth="1"/>
    <col min="12733" max="12733" width="6.42578125" customWidth="1"/>
    <col min="12734" max="12734" width="29" customWidth="1"/>
    <col min="12735" max="12735" width="11.42578125" customWidth="1"/>
    <col min="12736" max="12736" width="10.7109375" customWidth="1"/>
    <col min="12737" max="12737" width="10.85546875" customWidth="1"/>
    <col min="12738" max="12738" width="11.28515625" customWidth="1"/>
    <col min="12740" max="12740" width="9.7109375" customWidth="1"/>
    <col min="12743" max="12743" width="10.42578125" customWidth="1"/>
    <col min="12987" max="12987" width="7" customWidth="1"/>
    <col min="12988" max="12988" width="33.140625" customWidth="1"/>
    <col min="12989" max="12989" width="6.42578125" customWidth="1"/>
    <col min="12990" max="12990" width="29" customWidth="1"/>
    <col min="12991" max="12991" width="11.42578125" customWidth="1"/>
    <col min="12992" max="12992" width="10.7109375" customWidth="1"/>
    <col min="12993" max="12993" width="10.85546875" customWidth="1"/>
    <col min="12994" max="12994" width="11.28515625" customWidth="1"/>
    <col min="12996" max="12996" width="9.7109375" customWidth="1"/>
    <col min="12999" max="12999" width="10.42578125" customWidth="1"/>
    <col min="13243" max="13243" width="7" customWidth="1"/>
    <col min="13244" max="13244" width="33.140625" customWidth="1"/>
    <col min="13245" max="13245" width="6.42578125" customWidth="1"/>
    <col min="13246" max="13246" width="29" customWidth="1"/>
    <col min="13247" max="13247" width="11.42578125" customWidth="1"/>
    <col min="13248" max="13248" width="10.7109375" customWidth="1"/>
    <col min="13249" max="13249" width="10.85546875" customWidth="1"/>
    <col min="13250" max="13250" width="11.28515625" customWidth="1"/>
    <col min="13252" max="13252" width="9.7109375" customWidth="1"/>
    <col min="13255" max="13255" width="10.42578125" customWidth="1"/>
    <col min="13499" max="13499" width="7" customWidth="1"/>
    <col min="13500" max="13500" width="33.140625" customWidth="1"/>
    <col min="13501" max="13501" width="6.42578125" customWidth="1"/>
    <col min="13502" max="13502" width="29" customWidth="1"/>
    <col min="13503" max="13503" width="11.42578125" customWidth="1"/>
    <col min="13504" max="13504" width="10.7109375" customWidth="1"/>
    <col min="13505" max="13505" width="10.85546875" customWidth="1"/>
    <col min="13506" max="13506" width="11.28515625" customWidth="1"/>
    <col min="13508" max="13508" width="9.7109375" customWidth="1"/>
    <col min="13511" max="13511" width="10.42578125" customWidth="1"/>
    <col min="13755" max="13755" width="7" customWidth="1"/>
    <col min="13756" max="13756" width="33.140625" customWidth="1"/>
    <col min="13757" max="13757" width="6.42578125" customWidth="1"/>
    <col min="13758" max="13758" width="29" customWidth="1"/>
    <col min="13759" max="13759" width="11.42578125" customWidth="1"/>
    <col min="13760" max="13760" width="10.7109375" customWidth="1"/>
    <col min="13761" max="13761" width="10.85546875" customWidth="1"/>
    <col min="13762" max="13762" width="11.28515625" customWidth="1"/>
    <col min="13764" max="13764" width="9.7109375" customWidth="1"/>
    <col min="13767" max="13767" width="10.42578125" customWidth="1"/>
    <col min="14011" max="14011" width="7" customWidth="1"/>
    <col min="14012" max="14012" width="33.140625" customWidth="1"/>
    <col min="14013" max="14013" width="6.42578125" customWidth="1"/>
    <col min="14014" max="14014" width="29" customWidth="1"/>
    <col min="14015" max="14015" width="11.42578125" customWidth="1"/>
    <col min="14016" max="14016" width="10.7109375" customWidth="1"/>
    <col min="14017" max="14017" width="10.85546875" customWidth="1"/>
    <col min="14018" max="14018" width="11.28515625" customWidth="1"/>
    <col min="14020" max="14020" width="9.7109375" customWidth="1"/>
    <col min="14023" max="14023" width="10.42578125" customWidth="1"/>
    <col min="14267" max="14267" width="7" customWidth="1"/>
    <col min="14268" max="14268" width="33.140625" customWidth="1"/>
    <col min="14269" max="14269" width="6.42578125" customWidth="1"/>
    <col min="14270" max="14270" width="29" customWidth="1"/>
    <col min="14271" max="14271" width="11.42578125" customWidth="1"/>
    <col min="14272" max="14272" width="10.7109375" customWidth="1"/>
    <col min="14273" max="14273" width="10.85546875" customWidth="1"/>
    <col min="14274" max="14274" width="11.28515625" customWidth="1"/>
    <col min="14276" max="14276" width="9.7109375" customWidth="1"/>
    <col min="14279" max="14279" width="10.42578125" customWidth="1"/>
    <col min="14523" max="14523" width="7" customWidth="1"/>
    <col min="14524" max="14524" width="33.140625" customWidth="1"/>
    <col min="14525" max="14525" width="6.42578125" customWidth="1"/>
    <col min="14526" max="14526" width="29" customWidth="1"/>
    <col min="14527" max="14527" width="11.42578125" customWidth="1"/>
    <col min="14528" max="14528" width="10.7109375" customWidth="1"/>
    <col min="14529" max="14529" width="10.85546875" customWidth="1"/>
    <col min="14530" max="14530" width="11.28515625" customWidth="1"/>
    <col min="14532" max="14532" width="9.7109375" customWidth="1"/>
    <col min="14535" max="14535" width="10.42578125" customWidth="1"/>
    <col min="14779" max="14779" width="7" customWidth="1"/>
    <col min="14780" max="14780" width="33.140625" customWidth="1"/>
    <col min="14781" max="14781" width="6.42578125" customWidth="1"/>
    <col min="14782" max="14782" width="29" customWidth="1"/>
    <col min="14783" max="14783" width="11.42578125" customWidth="1"/>
    <col min="14784" max="14784" width="10.7109375" customWidth="1"/>
    <col min="14785" max="14785" width="10.85546875" customWidth="1"/>
    <col min="14786" max="14786" width="11.28515625" customWidth="1"/>
    <col min="14788" max="14788" width="9.7109375" customWidth="1"/>
    <col min="14791" max="14791" width="10.42578125" customWidth="1"/>
    <col min="15035" max="15035" width="7" customWidth="1"/>
    <col min="15036" max="15036" width="33.140625" customWidth="1"/>
    <col min="15037" max="15037" width="6.42578125" customWidth="1"/>
    <col min="15038" max="15038" width="29" customWidth="1"/>
    <col min="15039" max="15039" width="11.42578125" customWidth="1"/>
    <col min="15040" max="15040" width="10.7109375" customWidth="1"/>
    <col min="15041" max="15041" width="10.85546875" customWidth="1"/>
    <col min="15042" max="15042" width="11.28515625" customWidth="1"/>
    <col min="15044" max="15044" width="9.7109375" customWidth="1"/>
    <col min="15047" max="15047" width="10.42578125" customWidth="1"/>
    <col min="15291" max="15291" width="7" customWidth="1"/>
    <col min="15292" max="15292" width="33.140625" customWidth="1"/>
    <col min="15293" max="15293" width="6.42578125" customWidth="1"/>
    <col min="15294" max="15294" width="29" customWidth="1"/>
    <col min="15295" max="15295" width="11.42578125" customWidth="1"/>
    <col min="15296" max="15296" width="10.7109375" customWidth="1"/>
    <col min="15297" max="15297" width="10.85546875" customWidth="1"/>
    <col min="15298" max="15298" width="11.28515625" customWidth="1"/>
    <col min="15300" max="15300" width="9.7109375" customWidth="1"/>
    <col min="15303" max="15303" width="10.42578125" customWidth="1"/>
    <col min="15547" max="15547" width="7" customWidth="1"/>
    <col min="15548" max="15548" width="33.140625" customWidth="1"/>
    <col min="15549" max="15549" width="6.42578125" customWidth="1"/>
    <col min="15550" max="15550" width="29" customWidth="1"/>
    <col min="15551" max="15551" width="11.42578125" customWidth="1"/>
    <col min="15552" max="15552" width="10.7109375" customWidth="1"/>
    <col min="15553" max="15553" width="10.85546875" customWidth="1"/>
    <col min="15554" max="15554" width="11.28515625" customWidth="1"/>
    <col min="15556" max="15556" width="9.7109375" customWidth="1"/>
    <col min="15559" max="15559" width="10.42578125" customWidth="1"/>
    <col min="15803" max="15803" width="7" customWidth="1"/>
    <col min="15804" max="15804" width="33.140625" customWidth="1"/>
    <col min="15805" max="15805" width="6.42578125" customWidth="1"/>
    <col min="15806" max="15806" width="29" customWidth="1"/>
    <col min="15807" max="15807" width="11.42578125" customWidth="1"/>
    <col min="15808" max="15808" width="10.7109375" customWidth="1"/>
    <col min="15809" max="15809" width="10.85546875" customWidth="1"/>
    <col min="15810" max="15810" width="11.28515625" customWidth="1"/>
    <col min="15812" max="15812" width="9.7109375" customWidth="1"/>
    <col min="15815" max="15815" width="10.42578125" customWidth="1"/>
    <col min="16059" max="16059" width="7" customWidth="1"/>
    <col min="16060" max="16060" width="33.140625" customWidth="1"/>
    <col min="16061" max="16061" width="6.42578125" customWidth="1"/>
    <col min="16062" max="16062" width="29" customWidth="1"/>
    <col min="16063" max="16063" width="11.42578125" customWidth="1"/>
    <col min="16064" max="16064" width="10.7109375" customWidth="1"/>
    <col min="16065" max="16065" width="10.85546875" customWidth="1"/>
    <col min="16066" max="16066" width="11.28515625" customWidth="1"/>
    <col min="16068" max="16068" width="9.7109375" customWidth="1"/>
    <col min="16071" max="16071" width="10.425781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20" t="s">
        <v>4</v>
      </c>
      <c r="B3" s="820"/>
      <c r="C3" s="820"/>
      <c r="D3" s="820"/>
      <c r="E3" s="82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3.5" customHeight="1" thickBot="1" x14ac:dyDescent="0.25">
      <c r="A9" s="12" t="s">
        <v>809</v>
      </c>
      <c r="D9" s="12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">
      <c r="A12" s="243">
        <v>1</v>
      </c>
      <c r="B12" s="244">
        <v>3475</v>
      </c>
      <c r="C12" s="244">
        <v>691008604</v>
      </c>
      <c r="D12" s="244">
        <v>4624548</v>
      </c>
      <c r="E12" s="245" t="s">
        <v>120</v>
      </c>
      <c r="F12" s="244">
        <v>3111</v>
      </c>
      <c r="G12" s="246" t="s">
        <v>311</v>
      </c>
      <c r="H12" s="247" t="s">
        <v>277</v>
      </c>
      <c r="I12" s="455">
        <v>3543827</v>
      </c>
      <c r="J12" s="456">
        <v>2593356</v>
      </c>
      <c r="K12" s="456">
        <v>0</v>
      </c>
      <c r="L12" s="456">
        <v>876554</v>
      </c>
      <c r="M12" s="456">
        <v>51867</v>
      </c>
      <c r="N12" s="456">
        <v>22050</v>
      </c>
      <c r="O12" s="457">
        <v>5.5542999999999996</v>
      </c>
      <c r="P12" s="458">
        <v>4.0644999999999998</v>
      </c>
      <c r="Q12" s="482">
        <v>1.4898</v>
      </c>
      <c r="R12" s="462">
        <f t="shared" ref="R12:R14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3543827</v>
      </c>
      <c r="AV12" s="460">
        <f>J12+X12</f>
        <v>2593356</v>
      </c>
      <c r="AW12" s="460">
        <f>K12+AB12</f>
        <v>0</v>
      </c>
      <c r="AX12" s="460">
        <f t="shared" ref="AX12:AY14" si="8">L12+AD12</f>
        <v>876554</v>
      </c>
      <c r="AY12" s="460">
        <f t="shared" si="8"/>
        <v>51867</v>
      </c>
      <c r="AZ12" s="460">
        <f>N12+AH12</f>
        <v>22050</v>
      </c>
      <c r="BA12" s="461">
        <f>O12+AT12</f>
        <v>5.5542999999999996</v>
      </c>
      <c r="BB12" s="461">
        <f t="shared" ref="BB12:BC14" si="9">P12+AR12</f>
        <v>4.0644999999999998</v>
      </c>
      <c r="BC12" s="463">
        <f t="shared" si="9"/>
        <v>1.4898</v>
      </c>
    </row>
    <row r="13" spans="1:55" ht="13.5" customHeight="1" x14ac:dyDescent="0.2">
      <c r="A13" s="216">
        <v>1</v>
      </c>
      <c r="B13" s="217">
        <v>3475</v>
      </c>
      <c r="C13" s="217">
        <v>691008604</v>
      </c>
      <c r="D13" s="217">
        <v>4624548</v>
      </c>
      <c r="E13" s="215" t="s">
        <v>121</v>
      </c>
      <c r="F13" s="217">
        <v>3111</v>
      </c>
      <c r="G13" s="218" t="s">
        <v>312</v>
      </c>
      <c r="H13" s="219" t="s">
        <v>278</v>
      </c>
      <c r="I13" s="477">
        <v>352854</v>
      </c>
      <c r="J13" s="472">
        <v>259833</v>
      </c>
      <c r="K13" s="472">
        <v>0</v>
      </c>
      <c r="L13" s="472">
        <v>87824</v>
      </c>
      <c r="M13" s="472">
        <v>5197</v>
      </c>
      <c r="N13" s="472">
        <v>0</v>
      </c>
      <c r="O13" s="473">
        <v>0.75</v>
      </c>
      <c r="P13" s="474">
        <v>0.75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 t="shared" ref="AU13:AU72" si="10">I13+AI13</f>
        <v>352854</v>
      </c>
      <c r="AV13" s="475">
        <f t="shared" ref="AV13:AV72" si="11">J13+X13</f>
        <v>259833</v>
      </c>
      <c r="AW13" s="475">
        <f>K13+AB13</f>
        <v>0</v>
      </c>
      <c r="AX13" s="475">
        <f t="shared" si="8"/>
        <v>87824</v>
      </c>
      <c r="AY13" s="475">
        <f t="shared" si="8"/>
        <v>5197</v>
      </c>
      <c r="AZ13" s="475">
        <f t="shared" ref="AZ13:AZ72" si="12">N13+AH13</f>
        <v>0</v>
      </c>
      <c r="BA13" s="476">
        <f t="shared" ref="BA13:BA72" si="13">O13+AT13</f>
        <v>0.75</v>
      </c>
      <c r="BB13" s="476">
        <f t="shared" si="9"/>
        <v>0.75</v>
      </c>
      <c r="BC13" s="478">
        <f t="shared" si="9"/>
        <v>0</v>
      </c>
    </row>
    <row r="14" spans="1:55" ht="13.5" customHeight="1" x14ac:dyDescent="0.2">
      <c r="A14" s="216">
        <v>1</v>
      </c>
      <c r="B14" s="217">
        <v>3475</v>
      </c>
      <c r="C14" s="217">
        <v>691008604</v>
      </c>
      <c r="D14" s="217">
        <v>4624548</v>
      </c>
      <c r="E14" s="215" t="s">
        <v>121</v>
      </c>
      <c r="F14" s="217">
        <v>3141</v>
      </c>
      <c r="G14" s="218" t="s">
        <v>315</v>
      </c>
      <c r="H14" s="219" t="s">
        <v>278</v>
      </c>
      <c r="I14" s="477">
        <v>678079</v>
      </c>
      <c r="J14" s="472">
        <v>487376</v>
      </c>
      <c r="K14" s="472">
        <v>10000</v>
      </c>
      <c r="L14" s="472">
        <v>168113</v>
      </c>
      <c r="M14" s="472">
        <v>9748</v>
      </c>
      <c r="N14" s="472">
        <v>2842</v>
      </c>
      <c r="O14" s="473">
        <v>1.57</v>
      </c>
      <c r="P14" s="474">
        <v>0</v>
      </c>
      <c r="Q14" s="483">
        <v>1.57</v>
      </c>
      <c r="R14" s="485">
        <f t="shared" si="0"/>
        <v>0</v>
      </c>
      <c r="S14" s="475">
        <v>0</v>
      </c>
      <c r="T14" s="475">
        <v>-11832</v>
      </c>
      <c r="U14" s="475">
        <v>0</v>
      </c>
      <c r="V14" s="475">
        <v>0</v>
      </c>
      <c r="W14" s="475">
        <v>0</v>
      </c>
      <c r="X14" s="475">
        <f>SUM(R14:W14)</f>
        <v>-11832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-11832</v>
      </c>
      <c r="AD14" s="70">
        <f t="shared" si="3"/>
        <v>-3999</v>
      </c>
      <c r="AE14" s="70">
        <f t="shared" si="4"/>
        <v>-237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-16068</v>
      </c>
      <c r="AJ14" s="476">
        <v>0</v>
      </c>
      <c r="AK14" s="476">
        <v>0</v>
      </c>
      <c r="AL14" s="476">
        <v>0</v>
      </c>
      <c r="AM14" s="476">
        <v>0</v>
      </c>
      <c r="AN14" s="476">
        <v>-0.04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-0.04</v>
      </c>
      <c r="AT14" s="478">
        <f t="shared" si="7"/>
        <v>-0.04</v>
      </c>
      <c r="AU14" s="484">
        <f t="shared" si="10"/>
        <v>662011</v>
      </c>
      <c r="AV14" s="475">
        <f t="shared" si="11"/>
        <v>475544</v>
      </c>
      <c r="AW14" s="475">
        <f>K14+AB14</f>
        <v>10000</v>
      </c>
      <c r="AX14" s="475">
        <f t="shared" si="8"/>
        <v>164114</v>
      </c>
      <c r="AY14" s="475">
        <f t="shared" si="8"/>
        <v>9511</v>
      </c>
      <c r="AZ14" s="475">
        <f t="shared" si="12"/>
        <v>2842</v>
      </c>
      <c r="BA14" s="476">
        <f t="shared" si="13"/>
        <v>1.53</v>
      </c>
      <c r="BB14" s="476">
        <f t="shared" si="9"/>
        <v>0</v>
      </c>
      <c r="BC14" s="478">
        <f t="shared" si="9"/>
        <v>1.53</v>
      </c>
    </row>
    <row r="15" spans="1:55" ht="13.5" customHeight="1" x14ac:dyDescent="0.2">
      <c r="A15" s="162">
        <v>1</v>
      </c>
      <c r="B15" s="18">
        <v>3475</v>
      </c>
      <c r="C15" s="18">
        <v>691008604</v>
      </c>
      <c r="D15" s="18">
        <v>4624548</v>
      </c>
      <c r="E15" s="171" t="s">
        <v>122</v>
      </c>
      <c r="F15" s="18"/>
      <c r="G15" s="161"/>
      <c r="H15" s="195"/>
      <c r="I15" s="529">
        <v>4574760</v>
      </c>
      <c r="J15" s="526">
        <v>3340565</v>
      </c>
      <c r="K15" s="526">
        <v>10000</v>
      </c>
      <c r="L15" s="526">
        <v>1132491</v>
      </c>
      <c r="M15" s="526">
        <v>66812</v>
      </c>
      <c r="N15" s="526">
        <v>24892</v>
      </c>
      <c r="O15" s="527">
        <v>7.8742999999999999</v>
      </c>
      <c r="P15" s="527">
        <v>4.8144999999999998</v>
      </c>
      <c r="Q15" s="531">
        <v>3.0598000000000001</v>
      </c>
      <c r="R15" s="529">
        <f t="shared" ref="R15:BC15" si="14">SUM(R12:R14)</f>
        <v>0</v>
      </c>
      <c r="S15" s="526">
        <f t="shared" si="14"/>
        <v>0</v>
      </c>
      <c r="T15" s="526">
        <f t="shared" si="14"/>
        <v>-11832</v>
      </c>
      <c r="U15" s="526">
        <f t="shared" si="14"/>
        <v>0</v>
      </c>
      <c r="V15" s="526">
        <f t="shared" si="14"/>
        <v>0</v>
      </c>
      <c r="W15" s="526">
        <f t="shared" si="14"/>
        <v>0</v>
      </c>
      <c r="X15" s="526">
        <f t="shared" si="14"/>
        <v>-11832</v>
      </c>
      <c r="Y15" s="526">
        <f t="shared" si="14"/>
        <v>0</v>
      </c>
      <c r="Z15" s="526">
        <f t="shared" si="14"/>
        <v>0</v>
      </c>
      <c r="AA15" s="526">
        <f t="shared" si="14"/>
        <v>0</v>
      </c>
      <c r="AB15" s="526">
        <f t="shared" si="14"/>
        <v>0</v>
      </c>
      <c r="AC15" s="526">
        <f t="shared" si="14"/>
        <v>-11832</v>
      </c>
      <c r="AD15" s="526">
        <f t="shared" si="14"/>
        <v>-3999</v>
      </c>
      <c r="AE15" s="526">
        <f t="shared" si="14"/>
        <v>-237</v>
      </c>
      <c r="AF15" s="526">
        <f t="shared" si="14"/>
        <v>0</v>
      </c>
      <c r="AG15" s="526">
        <f t="shared" si="14"/>
        <v>0</v>
      </c>
      <c r="AH15" s="526">
        <f t="shared" si="14"/>
        <v>0</v>
      </c>
      <c r="AI15" s="526">
        <f t="shared" si="14"/>
        <v>-16068</v>
      </c>
      <c r="AJ15" s="527">
        <f t="shared" si="14"/>
        <v>0</v>
      </c>
      <c r="AK15" s="527">
        <f t="shared" si="14"/>
        <v>0</v>
      </c>
      <c r="AL15" s="527">
        <f t="shared" si="14"/>
        <v>0</v>
      </c>
      <c r="AM15" s="527">
        <f t="shared" si="14"/>
        <v>0</v>
      </c>
      <c r="AN15" s="527">
        <f t="shared" si="14"/>
        <v>-0.04</v>
      </c>
      <c r="AO15" s="527">
        <f t="shared" si="14"/>
        <v>0</v>
      </c>
      <c r="AP15" s="527">
        <f t="shared" si="14"/>
        <v>0</v>
      </c>
      <c r="AQ15" s="527">
        <f t="shared" si="14"/>
        <v>0</v>
      </c>
      <c r="AR15" s="527">
        <f t="shared" si="14"/>
        <v>0</v>
      </c>
      <c r="AS15" s="527">
        <f t="shared" si="14"/>
        <v>-0.04</v>
      </c>
      <c r="AT15" s="40">
        <f t="shared" si="14"/>
        <v>-0.04</v>
      </c>
      <c r="AU15" s="533">
        <f t="shared" si="14"/>
        <v>4558692</v>
      </c>
      <c r="AV15" s="526">
        <f t="shared" si="14"/>
        <v>3328733</v>
      </c>
      <c r="AW15" s="526">
        <f t="shared" si="14"/>
        <v>10000</v>
      </c>
      <c r="AX15" s="526">
        <f t="shared" si="14"/>
        <v>1128492</v>
      </c>
      <c r="AY15" s="526">
        <f t="shared" si="14"/>
        <v>66575</v>
      </c>
      <c r="AZ15" s="526">
        <f t="shared" si="14"/>
        <v>24892</v>
      </c>
      <c r="BA15" s="527">
        <f t="shared" si="14"/>
        <v>7.8342999999999998</v>
      </c>
      <c r="BB15" s="527">
        <f t="shared" si="14"/>
        <v>4.8144999999999998</v>
      </c>
      <c r="BC15" s="40">
        <f t="shared" si="14"/>
        <v>3.0198</v>
      </c>
    </row>
    <row r="16" spans="1:55" ht="13.5" customHeight="1" x14ac:dyDescent="0.2">
      <c r="A16" s="216">
        <v>2</v>
      </c>
      <c r="B16" s="217">
        <v>3449</v>
      </c>
      <c r="C16" s="217">
        <v>600078116</v>
      </c>
      <c r="D16" s="217">
        <v>70695016</v>
      </c>
      <c r="E16" s="215" t="s">
        <v>123</v>
      </c>
      <c r="F16" s="217">
        <v>3111</v>
      </c>
      <c r="G16" s="218" t="s">
        <v>311</v>
      </c>
      <c r="H16" s="219" t="s">
        <v>277</v>
      </c>
      <c r="I16" s="477">
        <v>5010757</v>
      </c>
      <c r="J16" s="472">
        <v>3647899</v>
      </c>
      <c r="K16" s="472">
        <v>20000</v>
      </c>
      <c r="L16" s="472">
        <v>1239750</v>
      </c>
      <c r="M16" s="472">
        <v>72958</v>
      </c>
      <c r="N16" s="472">
        <v>30150</v>
      </c>
      <c r="O16" s="473">
        <v>8.1441999999999997</v>
      </c>
      <c r="P16" s="474">
        <v>6</v>
      </c>
      <c r="Q16" s="483">
        <v>2.1442000000000001</v>
      </c>
      <c r="R16" s="485">
        <f t="shared" ref="R16:R18" si="15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ref="AB16:AB18" si="16">SUM(Y16:AA16)</f>
        <v>0</v>
      </c>
      <c r="AC16" s="475">
        <f t="shared" ref="AC16:AC18" si="17">X16+AB16</f>
        <v>0</v>
      </c>
      <c r="AD16" s="70">
        <f t="shared" ref="AD16:AD18" si="18">ROUND((X16+Y16+Z16)*33.8%,0)</f>
        <v>0</v>
      </c>
      <c r="AE16" s="70">
        <f t="shared" ref="AE16:AE18" si="19">ROUND(X16*2%,0)</f>
        <v>0</v>
      </c>
      <c r="AF16" s="475">
        <v>0</v>
      </c>
      <c r="AG16" s="475">
        <v>0</v>
      </c>
      <c r="AH16" s="475">
        <f t="shared" ref="AH16:AH18" si="20">SUM(AF16:AG16)</f>
        <v>0</v>
      </c>
      <c r="AI16" s="475">
        <f t="shared" ref="AI16:AI18" si="21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:AT18" si="22">SUM(AR16:AS16)</f>
        <v>0</v>
      </c>
      <c r="AU16" s="484">
        <f t="shared" si="10"/>
        <v>5010757</v>
      </c>
      <c r="AV16" s="475">
        <f t="shared" si="11"/>
        <v>3647899</v>
      </c>
      <c r="AW16" s="475">
        <f t="shared" ref="AW16:AW18" si="23">K16+AB16</f>
        <v>20000</v>
      </c>
      <c r="AX16" s="475">
        <f t="shared" ref="AX16:AY18" si="24">L16+AD16</f>
        <v>1239750</v>
      </c>
      <c r="AY16" s="475">
        <f t="shared" si="24"/>
        <v>72958</v>
      </c>
      <c r="AZ16" s="475">
        <f t="shared" si="12"/>
        <v>30150</v>
      </c>
      <c r="BA16" s="476">
        <f t="shared" si="13"/>
        <v>8.1441999999999997</v>
      </c>
      <c r="BB16" s="476">
        <f t="shared" ref="BB16:BC18" si="25">P16+AR16</f>
        <v>6</v>
      </c>
      <c r="BC16" s="478">
        <f t="shared" si="25"/>
        <v>2.1442000000000001</v>
      </c>
    </row>
    <row r="17" spans="1:55" ht="13.5" customHeight="1" x14ac:dyDescent="0.2">
      <c r="A17" s="216">
        <v>2</v>
      </c>
      <c r="B17" s="217">
        <v>3449</v>
      </c>
      <c r="C17" s="217">
        <v>600078116</v>
      </c>
      <c r="D17" s="217">
        <v>70695016</v>
      </c>
      <c r="E17" s="215" t="s">
        <v>123</v>
      </c>
      <c r="F17" s="217">
        <v>3111</v>
      </c>
      <c r="G17" s="218" t="s">
        <v>312</v>
      </c>
      <c r="H17" s="219" t="s">
        <v>278</v>
      </c>
      <c r="I17" s="477">
        <v>470470</v>
      </c>
      <c r="J17" s="472">
        <v>346443</v>
      </c>
      <c r="K17" s="472">
        <v>0</v>
      </c>
      <c r="L17" s="472">
        <v>117098</v>
      </c>
      <c r="M17" s="472">
        <v>6929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5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6"/>
        <v>0</v>
      </c>
      <c r="AC17" s="475">
        <f t="shared" si="17"/>
        <v>0</v>
      </c>
      <c r="AD17" s="70">
        <f t="shared" si="18"/>
        <v>0</v>
      </c>
      <c r="AE17" s="70">
        <f t="shared" si="19"/>
        <v>0</v>
      </c>
      <c r="AF17" s="475">
        <v>0</v>
      </c>
      <c r="AG17" s="475">
        <v>0</v>
      </c>
      <c r="AH17" s="475">
        <f t="shared" si="20"/>
        <v>0</v>
      </c>
      <c r="AI17" s="475">
        <f t="shared" si="21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22"/>
        <v>0</v>
      </c>
      <c r="AU17" s="484">
        <f t="shared" si="10"/>
        <v>470470</v>
      </c>
      <c r="AV17" s="475">
        <f t="shared" si="11"/>
        <v>346443</v>
      </c>
      <c r="AW17" s="475">
        <f t="shared" si="23"/>
        <v>0</v>
      </c>
      <c r="AX17" s="475">
        <f t="shared" si="24"/>
        <v>117098</v>
      </c>
      <c r="AY17" s="475">
        <f t="shared" si="24"/>
        <v>6929</v>
      </c>
      <c r="AZ17" s="475">
        <f t="shared" si="12"/>
        <v>0</v>
      </c>
      <c r="BA17" s="476">
        <f t="shared" si="13"/>
        <v>1</v>
      </c>
      <c r="BB17" s="476">
        <f t="shared" si="25"/>
        <v>1</v>
      </c>
      <c r="BC17" s="478">
        <f t="shared" si="25"/>
        <v>0</v>
      </c>
    </row>
    <row r="18" spans="1:55" ht="13.5" customHeight="1" x14ac:dyDescent="0.2">
      <c r="A18" s="216">
        <v>2</v>
      </c>
      <c r="B18" s="217">
        <v>3449</v>
      </c>
      <c r="C18" s="217">
        <v>600078116</v>
      </c>
      <c r="D18" s="217">
        <v>70695016</v>
      </c>
      <c r="E18" s="215" t="s">
        <v>123</v>
      </c>
      <c r="F18" s="217">
        <v>3141</v>
      </c>
      <c r="G18" s="218" t="s">
        <v>315</v>
      </c>
      <c r="H18" s="219" t="s">
        <v>278</v>
      </c>
      <c r="I18" s="477">
        <v>837352</v>
      </c>
      <c r="J18" s="472">
        <v>564481</v>
      </c>
      <c r="K18" s="472">
        <v>50000</v>
      </c>
      <c r="L18" s="472">
        <v>207695</v>
      </c>
      <c r="M18" s="472">
        <v>11290</v>
      </c>
      <c r="N18" s="472">
        <v>3886</v>
      </c>
      <c r="O18" s="473">
        <v>1.8199999999999998</v>
      </c>
      <c r="P18" s="474">
        <v>0</v>
      </c>
      <c r="Q18" s="483">
        <v>1.8199999999999998</v>
      </c>
      <c r="R18" s="485">
        <f t="shared" si="15"/>
        <v>0</v>
      </c>
      <c r="S18" s="475">
        <v>0</v>
      </c>
      <c r="T18" s="475">
        <v>-10411</v>
      </c>
      <c r="U18" s="475">
        <v>0</v>
      </c>
      <c r="V18" s="475">
        <v>0</v>
      </c>
      <c r="W18" s="475">
        <v>0</v>
      </c>
      <c r="X18" s="475">
        <f>SUM(R18:W18)</f>
        <v>-10411</v>
      </c>
      <c r="Y18" s="475">
        <v>0</v>
      </c>
      <c r="Z18" s="475">
        <v>0</v>
      </c>
      <c r="AA18" s="475">
        <v>0</v>
      </c>
      <c r="AB18" s="475">
        <f t="shared" si="16"/>
        <v>0</v>
      </c>
      <c r="AC18" s="475">
        <f t="shared" si="17"/>
        <v>-10411</v>
      </c>
      <c r="AD18" s="70">
        <f t="shared" si="18"/>
        <v>-3519</v>
      </c>
      <c r="AE18" s="70">
        <f t="shared" si="19"/>
        <v>-208</v>
      </c>
      <c r="AF18" s="475">
        <v>0</v>
      </c>
      <c r="AG18" s="475">
        <v>0</v>
      </c>
      <c r="AH18" s="475">
        <f t="shared" si="20"/>
        <v>0</v>
      </c>
      <c r="AI18" s="475">
        <f t="shared" si="21"/>
        <v>-14138</v>
      </c>
      <c r="AJ18" s="476">
        <v>0</v>
      </c>
      <c r="AK18" s="476">
        <v>0</v>
      </c>
      <c r="AL18" s="476">
        <v>0</v>
      </c>
      <c r="AM18" s="476">
        <v>0</v>
      </c>
      <c r="AN18" s="476">
        <v>-0.04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-0.04</v>
      </c>
      <c r="AT18" s="478">
        <f t="shared" si="22"/>
        <v>-0.04</v>
      </c>
      <c r="AU18" s="484">
        <f t="shared" si="10"/>
        <v>823214</v>
      </c>
      <c r="AV18" s="475">
        <f t="shared" si="11"/>
        <v>554070</v>
      </c>
      <c r="AW18" s="475">
        <f t="shared" si="23"/>
        <v>50000</v>
      </c>
      <c r="AX18" s="475">
        <f t="shared" si="24"/>
        <v>204176</v>
      </c>
      <c r="AY18" s="475">
        <f t="shared" si="24"/>
        <v>11082</v>
      </c>
      <c r="AZ18" s="475">
        <f t="shared" si="12"/>
        <v>3886</v>
      </c>
      <c r="BA18" s="476">
        <f t="shared" si="13"/>
        <v>1.7799999999999998</v>
      </c>
      <c r="BB18" s="476">
        <f t="shared" si="25"/>
        <v>0</v>
      </c>
      <c r="BC18" s="478">
        <f t="shared" si="25"/>
        <v>1.7799999999999998</v>
      </c>
    </row>
    <row r="19" spans="1:55" ht="13.5" customHeight="1" x14ac:dyDescent="0.2">
      <c r="A19" s="162">
        <v>2</v>
      </c>
      <c r="B19" s="18">
        <v>3449</v>
      </c>
      <c r="C19" s="18">
        <v>600078116</v>
      </c>
      <c r="D19" s="18">
        <v>70695016</v>
      </c>
      <c r="E19" s="171" t="s">
        <v>124</v>
      </c>
      <c r="F19" s="18"/>
      <c r="G19" s="161"/>
      <c r="H19" s="195"/>
      <c r="I19" s="529">
        <v>6318579</v>
      </c>
      <c r="J19" s="526">
        <v>4558823</v>
      </c>
      <c r="K19" s="526">
        <v>70000</v>
      </c>
      <c r="L19" s="526">
        <v>1564543</v>
      </c>
      <c r="M19" s="526">
        <v>91177</v>
      </c>
      <c r="N19" s="526">
        <v>34036</v>
      </c>
      <c r="O19" s="527">
        <v>10.9642</v>
      </c>
      <c r="P19" s="527">
        <v>7</v>
      </c>
      <c r="Q19" s="531">
        <v>3.9641999999999999</v>
      </c>
      <c r="R19" s="529">
        <f t="shared" ref="R19:BC19" si="26">SUM(R16:R18)</f>
        <v>0</v>
      </c>
      <c r="S19" s="526">
        <f t="shared" si="26"/>
        <v>0</v>
      </c>
      <c r="T19" s="526">
        <f t="shared" si="26"/>
        <v>-10411</v>
      </c>
      <c r="U19" s="526">
        <f t="shared" si="26"/>
        <v>0</v>
      </c>
      <c r="V19" s="526">
        <f t="shared" si="26"/>
        <v>0</v>
      </c>
      <c r="W19" s="526">
        <f t="shared" si="26"/>
        <v>0</v>
      </c>
      <c r="X19" s="526">
        <f t="shared" si="26"/>
        <v>-10411</v>
      </c>
      <c r="Y19" s="526">
        <f t="shared" si="26"/>
        <v>0</v>
      </c>
      <c r="Z19" s="526">
        <f t="shared" si="26"/>
        <v>0</v>
      </c>
      <c r="AA19" s="526">
        <f t="shared" si="26"/>
        <v>0</v>
      </c>
      <c r="AB19" s="526">
        <f t="shared" si="26"/>
        <v>0</v>
      </c>
      <c r="AC19" s="526">
        <f t="shared" si="26"/>
        <v>-10411</v>
      </c>
      <c r="AD19" s="526">
        <f t="shared" si="26"/>
        <v>-3519</v>
      </c>
      <c r="AE19" s="526">
        <f t="shared" si="26"/>
        <v>-208</v>
      </c>
      <c r="AF19" s="526">
        <f t="shared" si="26"/>
        <v>0</v>
      </c>
      <c r="AG19" s="526">
        <f t="shared" si="26"/>
        <v>0</v>
      </c>
      <c r="AH19" s="526">
        <f t="shared" si="26"/>
        <v>0</v>
      </c>
      <c r="AI19" s="526">
        <f t="shared" si="26"/>
        <v>-14138</v>
      </c>
      <c r="AJ19" s="527">
        <f t="shared" si="26"/>
        <v>0</v>
      </c>
      <c r="AK19" s="527">
        <f t="shared" si="26"/>
        <v>0</v>
      </c>
      <c r="AL19" s="527">
        <f t="shared" si="26"/>
        <v>0</v>
      </c>
      <c r="AM19" s="527">
        <f t="shared" si="26"/>
        <v>0</v>
      </c>
      <c r="AN19" s="527">
        <f t="shared" si="26"/>
        <v>-0.04</v>
      </c>
      <c r="AO19" s="527">
        <f t="shared" si="26"/>
        <v>0</v>
      </c>
      <c r="AP19" s="527">
        <f t="shared" si="26"/>
        <v>0</v>
      </c>
      <c r="AQ19" s="527">
        <f t="shared" si="26"/>
        <v>0</v>
      </c>
      <c r="AR19" s="527">
        <f t="shared" si="26"/>
        <v>0</v>
      </c>
      <c r="AS19" s="527">
        <f t="shared" si="26"/>
        <v>-0.04</v>
      </c>
      <c r="AT19" s="40">
        <f t="shared" si="26"/>
        <v>-0.04</v>
      </c>
      <c r="AU19" s="533">
        <f t="shared" si="26"/>
        <v>6304441</v>
      </c>
      <c r="AV19" s="526">
        <f t="shared" si="26"/>
        <v>4548412</v>
      </c>
      <c r="AW19" s="526">
        <f t="shared" si="26"/>
        <v>70000</v>
      </c>
      <c r="AX19" s="526">
        <f t="shared" si="26"/>
        <v>1561024</v>
      </c>
      <c r="AY19" s="526">
        <f t="shared" si="26"/>
        <v>90969</v>
      </c>
      <c r="AZ19" s="526">
        <f t="shared" si="26"/>
        <v>34036</v>
      </c>
      <c r="BA19" s="527">
        <f t="shared" si="26"/>
        <v>10.924199999999999</v>
      </c>
      <c r="BB19" s="527">
        <f t="shared" si="26"/>
        <v>7</v>
      </c>
      <c r="BC19" s="40">
        <f t="shared" si="26"/>
        <v>3.9241999999999999</v>
      </c>
    </row>
    <row r="20" spans="1:55" ht="13.5" customHeight="1" x14ac:dyDescent="0.2">
      <c r="A20" s="216">
        <v>3</v>
      </c>
      <c r="B20" s="217">
        <v>3451</v>
      </c>
      <c r="C20" s="217">
        <v>600078621</v>
      </c>
      <c r="D20" s="217">
        <v>70694991</v>
      </c>
      <c r="E20" s="215" t="s">
        <v>125</v>
      </c>
      <c r="F20" s="217">
        <v>3111</v>
      </c>
      <c r="G20" s="218" t="s">
        <v>311</v>
      </c>
      <c r="H20" s="219" t="s">
        <v>277</v>
      </c>
      <c r="I20" s="477">
        <v>5185693</v>
      </c>
      <c r="J20" s="472">
        <v>3789870</v>
      </c>
      <c r="K20" s="472">
        <v>0</v>
      </c>
      <c r="L20" s="472">
        <v>1280976</v>
      </c>
      <c r="M20" s="472">
        <v>75797</v>
      </c>
      <c r="N20" s="472">
        <v>39050</v>
      </c>
      <c r="O20" s="473">
        <v>8.2311999999999994</v>
      </c>
      <c r="P20" s="474">
        <v>6</v>
      </c>
      <c r="Q20" s="483">
        <v>2.2311999999999999</v>
      </c>
      <c r="R20" s="485">
        <f t="shared" ref="R20:R22" si="27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ref="AB20:AB22" si="28">SUM(Y20:AA20)</f>
        <v>0</v>
      </c>
      <c r="AC20" s="475">
        <f t="shared" ref="AC20:AC22" si="29">X20+AB20</f>
        <v>0</v>
      </c>
      <c r="AD20" s="70">
        <f t="shared" ref="AD20:AD22" si="30">ROUND((X20+Y20+Z20)*33.8%,0)</f>
        <v>0</v>
      </c>
      <c r="AE20" s="70">
        <f t="shared" ref="AE20:AE22" si="31">ROUND(X20*2%,0)</f>
        <v>0</v>
      </c>
      <c r="AF20" s="475">
        <v>0</v>
      </c>
      <c r="AG20" s="475">
        <v>0</v>
      </c>
      <c r="AH20" s="475">
        <f t="shared" ref="AH20:AH22" si="32">SUM(AF20:AG20)</f>
        <v>0</v>
      </c>
      <c r="AI20" s="475">
        <f t="shared" ref="AI20:AI22" si="33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ref="AT20:AT22" si="34">SUM(AR20:AS20)</f>
        <v>0</v>
      </c>
      <c r="AU20" s="484">
        <f t="shared" si="10"/>
        <v>5185693</v>
      </c>
      <c r="AV20" s="475">
        <f t="shared" si="11"/>
        <v>3789870</v>
      </c>
      <c r="AW20" s="475">
        <f t="shared" ref="AW20:AW22" si="35">K20+AB20</f>
        <v>0</v>
      </c>
      <c r="AX20" s="475">
        <f t="shared" ref="AX20:AY22" si="36">L20+AD20</f>
        <v>1280976</v>
      </c>
      <c r="AY20" s="475">
        <f t="shared" si="36"/>
        <v>75797</v>
      </c>
      <c r="AZ20" s="475">
        <f t="shared" si="12"/>
        <v>39050</v>
      </c>
      <c r="BA20" s="476">
        <f t="shared" si="13"/>
        <v>8.2311999999999994</v>
      </c>
      <c r="BB20" s="476">
        <f t="shared" ref="BB20:BC22" si="37">P20+AR20</f>
        <v>6</v>
      </c>
      <c r="BC20" s="478">
        <f t="shared" si="37"/>
        <v>2.2311999999999999</v>
      </c>
    </row>
    <row r="21" spans="1:55" ht="13.5" customHeight="1" x14ac:dyDescent="0.2">
      <c r="A21" s="216">
        <v>3</v>
      </c>
      <c r="B21" s="217">
        <v>3451</v>
      </c>
      <c r="C21" s="217">
        <v>600078621</v>
      </c>
      <c r="D21" s="217">
        <v>70694991</v>
      </c>
      <c r="E21" s="215" t="s">
        <v>125</v>
      </c>
      <c r="F21" s="217">
        <v>3111</v>
      </c>
      <c r="G21" s="218" t="s">
        <v>312</v>
      </c>
      <c r="H21" s="219" t="s">
        <v>278</v>
      </c>
      <c r="I21" s="477">
        <v>235235</v>
      </c>
      <c r="J21" s="472">
        <v>173222</v>
      </c>
      <c r="K21" s="472">
        <v>0</v>
      </c>
      <c r="L21" s="472">
        <v>58549</v>
      </c>
      <c r="M21" s="472">
        <v>3464</v>
      </c>
      <c r="N21" s="472">
        <v>0</v>
      </c>
      <c r="O21" s="473">
        <v>0.5</v>
      </c>
      <c r="P21" s="474">
        <v>0.5</v>
      </c>
      <c r="Q21" s="483">
        <v>0</v>
      </c>
      <c r="R21" s="485">
        <f t="shared" si="27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28"/>
        <v>0</v>
      </c>
      <c r="AC21" s="475">
        <f t="shared" si="29"/>
        <v>0</v>
      </c>
      <c r="AD21" s="70">
        <f t="shared" si="30"/>
        <v>0</v>
      </c>
      <c r="AE21" s="70">
        <f t="shared" si="31"/>
        <v>0</v>
      </c>
      <c r="AF21" s="475">
        <v>0</v>
      </c>
      <c r="AG21" s="475">
        <v>0</v>
      </c>
      <c r="AH21" s="475">
        <f t="shared" si="32"/>
        <v>0</v>
      </c>
      <c r="AI21" s="475">
        <f t="shared" si="33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4"/>
        <v>0</v>
      </c>
      <c r="AU21" s="484">
        <f t="shared" si="10"/>
        <v>235235</v>
      </c>
      <c r="AV21" s="475">
        <f t="shared" si="11"/>
        <v>173222</v>
      </c>
      <c r="AW21" s="475">
        <f t="shared" si="35"/>
        <v>0</v>
      </c>
      <c r="AX21" s="475">
        <f t="shared" si="36"/>
        <v>58549</v>
      </c>
      <c r="AY21" s="475">
        <f t="shared" si="36"/>
        <v>3464</v>
      </c>
      <c r="AZ21" s="475">
        <f t="shared" si="12"/>
        <v>0</v>
      </c>
      <c r="BA21" s="476">
        <f t="shared" si="13"/>
        <v>0.5</v>
      </c>
      <c r="BB21" s="476">
        <f t="shared" si="37"/>
        <v>0.5</v>
      </c>
      <c r="BC21" s="478">
        <f t="shared" si="37"/>
        <v>0</v>
      </c>
    </row>
    <row r="22" spans="1:55" ht="13.5" customHeight="1" x14ac:dyDescent="0.2">
      <c r="A22" s="216">
        <v>3</v>
      </c>
      <c r="B22" s="217">
        <v>3451</v>
      </c>
      <c r="C22" s="217">
        <v>600078621</v>
      </c>
      <c r="D22" s="217">
        <v>70694991</v>
      </c>
      <c r="E22" s="215" t="s">
        <v>125</v>
      </c>
      <c r="F22" s="217">
        <v>3141</v>
      </c>
      <c r="G22" s="218" t="s">
        <v>315</v>
      </c>
      <c r="H22" s="219" t="s">
        <v>278</v>
      </c>
      <c r="I22" s="477">
        <v>821195</v>
      </c>
      <c r="J22" s="472">
        <v>592080</v>
      </c>
      <c r="K22" s="472">
        <v>10000</v>
      </c>
      <c r="L22" s="472">
        <v>203503</v>
      </c>
      <c r="M22" s="472">
        <v>11842</v>
      </c>
      <c r="N22" s="472">
        <v>3770</v>
      </c>
      <c r="O22" s="473">
        <v>1.8599999999999999</v>
      </c>
      <c r="P22" s="474">
        <v>0</v>
      </c>
      <c r="Q22" s="483">
        <v>1.8599999999999999</v>
      </c>
      <c r="R22" s="485">
        <f t="shared" si="27"/>
        <v>0</v>
      </c>
      <c r="S22" s="475">
        <v>0</v>
      </c>
      <c r="T22" s="475">
        <v>-10520</v>
      </c>
      <c r="U22" s="475">
        <v>0</v>
      </c>
      <c r="V22" s="475">
        <v>0</v>
      </c>
      <c r="W22" s="475">
        <v>0</v>
      </c>
      <c r="X22" s="475">
        <f>SUM(R22:W22)</f>
        <v>-10520</v>
      </c>
      <c r="Y22" s="475">
        <v>0</v>
      </c>
      <c r="Z22" s="475">
        <v>0</v>
      </c>
      <c r="AA22" s="475">
        <v>0</v>
      </c>
      <c r="AB22" s="475">
        <f t="shared" si="28"/>
        <v>0</v>
      </c>
      <c r="AC22" s="475">
        <f t="shared" si="29"/>
        <v>-10520</v>
      </c>
      <c r="AD22" s="70">
        <f t="shared" si="30"/>
        <v>-3556</v>
      </c>
      <c r="AE22" s="70">
        <f t="shared" si="31"/>
        <v>-210</v>
      </c>
      <c r="AF22" s="475">
        <v>0</v>
      </c>
      <c r="AG22" s="475">
        <v>0</v>
      </c>
      <c r="AH22" s="475">
        <f t="shared" si="32"/>
        <v>0</v>
      </c>
      <c r="AI22" s="475">
        <f t="shared" si="33"/>
        <v>-14286</v>
      </c>
      <c r="AJ22" s="476">
        <v>0</v>
      </c>
      <c r="AK22" s="476">
        <v>0</v>
      </c>
      <c r="AL22" s="476">
        <v>0</v>
      </c>
      <c r="AM22" s="476">
        <v>0</v>
      </c>
      <c r="AN22" s="476">
        <v>-0.03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-0.03</v>
      </c>
      <c r="AT22" s="478">
        <f t="shared" si="34"/>
        <v>-0.03</v>
      </c>
      <c r="AU22" s="484">
        <f t="shared" si="10"/>
        <v>806909</v>
      </c>
      <c r="AV22" s="475">
        <f t="shared" si="11"/>
        <v>581560</v>
      </c>
      <c r="AW22" s="475">
        <f t="shared" si="35"/>
        <v>10000</v>
      </c>
      <c r="AX22" s="475">
        <f t="shared" si="36"/>
        <v>199947</v>
      </c>
      <c r="AY22" s="475">
        <f t="shared" si="36"/>
        <v>11632</v>
      </c>
      <c r="AZ22" s="475">
        <f t="shared" si="12"/>
        <v>3770</v>
      </c>
      <c r="BA22" s="476">
        <f t="shared" si="13"/>
        <v>1.8299999999999998</v>
      </c>
      <c r="BB22" s="476">
        <f t="shared" si="37"/>
        <v>0</v>
      </c>
      <c r="BC22" s="478">
        <f t="shared" si="37"/>
        <v>1.8299999999999998</v>
      </c>
    </row>
    <row r="23" spans="1:55" ht="13.5" customHeight="1" x14ac:dyDescent="0.2">
      <c r="A23" s="162">
        <v>3</v>
      </c>
      <c r="B23" s="18">
        <v>3451</v>
      </c>
      <c r="C23" s="18">
        <v>600078621</v>
      </c>
      <c r="D23" s="18">
        <v>70694991</v>
      </c>
      <c r="E23" s="171" t="s">
        <v>126</v>
      </c>
      <c r="F23" s="18"/>
      <c r="G23" s="161"/>
      <c r="H23" s="195"/>
      <c r="I23" s="529">
        <v>6242123</v>
      </c>
      <c r="J23" s="526">
        <v>4555172</v>
      </c>
      <c r="K23" s="526">
        <v>10000</v>
      </c>
      <c r="L23" s="526">
        <v>1543028</v>
      </c>
      <c r="M23" s="526">
        <v>91103</v>
      </c>
      <c r="N23" s="526">
        <v>42820</v>
      </c>
      <c r="O23" s="527">
        <v>10.591199999999999</v>
      </c>
      <c r="P23" s="527">
        <v>6.5</v>
      </c>
      <c r="Q23" s="531">
        <v>4.0911999999999997</v>
      </c>
      <c r="R23" s="529">
        <f t="shared" ref="R23:BC23" si="38">SUM(R20:R22)</f>
        <v>0</v>
      </c>
      <c r="S23" s="526">
        <f t="shared" si="38"/>
        <v>0</v>
      </c>
      <c r="T23" s="526">
        <f t="shared" si="38"/>
        <v>-10520</v>
      </c>
      <c r="U23" s="526">
        <f t="shared" si="38"/>
        <v>0</v>
      </c>
      <c r="V23" s="526">
        <f t="shared" si="38"/>
        <v>0</v>
      </c>
      <c r="W23" s="526">
        <f t="shared" si="38"/>
        <v>0</v>
      </c>
      <c r="X23" s="526">
        <f t="shared" si="38"/>
        <v>-10520</v>
      </c>
      <c r="Y23" s="526">
        <f t="shared" si="38"/>
        <v>0</v>
      </c>
      <c r="Z23" s="526">
        <f t="shared" si="38"/>
        <v>0</v>
      </c>
      <c r="AA23" s="526">
        <f t="shared" si="38"/>
        <v>0</v>
      </c>
      <c r="AB23" s="526">
        <f t="shared" si="38"/>
        <v>0</v>
      </c>
      <c r="AC23" s="526">
        <f t="shared" si="38"/>
        <v>-10520</v>
      </c>
      <c r="AD23" s="526">
        <f t="shared" si="38"/>
        <v>-3556</v>
      </c>
      <c r="AE23" s="526">
        <f t="shared" si="38"/>
        <v>-210</v>
      </c>
      <c r="AF23" s="526">
        <f t="shared" si="38"/>
        <v>0</v>
      </c>
      <c r="AG23" s="526">
        <f t="shared" si="38"/>
        <v>0</v>
      </c>
      <c r="AH23" s="526">
        <f t="shared" si="38"/>
        <v>0</v>
      </c>
      <c r="AI23" s="526">
        <f t="shared" si="38"/>
        <v>-14286</v>
      </c>
      <c r="AJ23" s="527">
        <f t="shared" si="38"/>
        <v>0</v>
      </c>
      <c r="AK23" s="527">
        <f t="shared" si="38"/>
        <v>0</v>
      </c>
      <c r="AL23" s="527">
        <f t="shared" si="38"/>
        <v>0</v>
      </c>
      <c r="AM23" s="527">
        <f t="shared" si="38"/>
        <v>0</v>
      </c>
      <c r="AN23" s="527">
        <f t="shared" si="38"/>
        <v>-0.03</v>
      </c>
      <c r="AO23" s="527">
        <f t="shared" si="38"/>
        <v>0</v>
      </c>
      <c r="AP23" s="527">
        <f t="shared" si="38"/>
        <v>0</v>
      </c>
      <c r="AQ23" s="527">
        <f t="shared" si="38"/>
        <v>0</v>
      </c>
      <c r="AR23" s="527">
        <f t="shared" si="38"/>
        <v>0</v>
      </c>
      <c r="AS23" s="527">
        <f t="shared" si="38"/>
        <v>-0.03</v>
      </c>
      <c r="AT23" s="40">
        <f t="shared" si="38"/>
        <v>-0.03</v>
      </c>
      <c r="AU23" s="533">
        <f t="shared" si="38"/>
        <v>6227837</v>
      </c>
      <c r="AV23" s="526">
        <f t="shared" si="38"/>
        <v>4544652</v>
      </c>
      <c r="AW23" s="526">
        <f t="shared" si="38"/>
        <v>10000</v>
      </c>
      <c r="AX23" s="526">
        <f t="shared" si="38"/>
        <v>1539472</v>
      </c>
      <c r="AY23" s="526">
        <f t="shared" si="38"/>
        <v>90893</v>
      </c>
      <c r="AZ23" s="526">
        <f t="shared" si="38"/>
        <v>42820</v>
      </c>
      <c r="BA23" s="527">
        <f t="shared" si="38"/>
        <v>10.561199999999999</v>
      </c>
      <c r="BB23" s="527">
        <f t="shared" si="38"/>
        <v>6.5</v>
      </c>
      <c r="BC23" s="40">
        <f t="shared" si="38"/>
        <v>4.0611999999999995</v>
      </c>
    </row>
    <row r="24" spans="1:55" ht="13.5" customHeight="1" x14ac:dyDescent="0.2">
      <c r="A24" s="216">
        <v>4</v>
      </c>
      <c r="B24" s="217">
        <v>3456</v>
      </c>
      <c r="C24" s="217">
        <v>600029051</v>
      </c>
      <c r="D24" s="217">
        <v>75125439</v>
      </c>
      <c r="E24" s="215" t="s">
        <v>127</v>
      </c>
      <c r="F24" s="217">
        <v>3233</v>
      </c>
      <c r="G24" s="218" t="s">
        <v>318</v>
      </c>
      <c r="H24" s="219" t="s">
        <v>278</v>
      </c>
      <c r="I24" s="477">
        <v>3327071</v>
      </c>
      <c r="J24" s="472">
        <v>2230811</v>
      </c>
      <c r="K24" s="472">
        <v>200000</v>
      </c>
      <c r="L24" s="472">
        <v>821614</v>
      </c>
      <c r="M24" s="472">
        <v>44616</v>
      </c>
      <c r="N24" s="472">
        <v>30030</v>
      </c>
      <c r="O24" s="473">
        <v>4.9300000000000006</v>
      </c>
      <c r="P24" s="474">
        <v>3.1700000000000004</v>
      </c>
      <c r="Q24" s="483">
        <v>1.76</v>
      </c>
      <c r="R24" s="485">
        <f t="shared" ref="R24" si="39">Y24*-1</f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ref="AB24" si="40">SUM(Y24:AA24)</f>
        <v>0</v>
      </c>
      <c r="AC24" s="475">
        <f t="shared" ref="AC24" si="41">X24+AB24</f>
        <v>0</v>
      </c>
      <c r="AD24" s="70">
        <f t="shared" ref="AD24" si="42">ROUND((X24+Y24+Z24)*33.8%,0)</f>
        <v>0</v>
      </c>
      <c r="AE24" s="70">
        <f t="shared" ref="AE24" si="43">ROUND(X24*2%,0)</f>
        <v>0</v>
      </c>
      <c r="AF24" s="475">
        <v>0</v>
      </c>
      <c r="AG24" s="475">
        <v>0</v>
      </c>
      <c r="AH24" s="475">
        <f t="shared" ref="AH24" si="44">SUM(AF24:AG24)</f>
        <v>0</v>
      </c>
      <c r="AI24" s="475">
        <f t="shared" ref="AI24" si="45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" si="46">SUM(AR24:AS24)</f>
        <v>0</v>
      </c>
      <c r="AU24" s="484">
        <f t="shared" si="10"/>
        <v>3327071</v>
      </c>
      <c r="AV24" s="475">
        <f t="shared" si="11"/>
        <v>2230811</v>
      </c>
      <c r="AW24" s="475">
        <f>K24+AB24</f>
        <v>200000</v>
      </c>
      <c r="AX24" s="475">
        <f>L24+AD24</f>
        <v>821614</v>
      </c>
      <c r="AY24" s="475">
        <f>M24+AE24</f>
        <v>44616</v>
      </c>
      <c r="AZ24" s="475">
        <f t="shared" si="12"/>
        <v>30030</v>
      </c>
      <c r="BA24" s="476">
        <f t="shared" si="13"/>
        <v>4.9300000000000006</v>
      </c>
      <c r="BB24" s="476">
        <f>P24+AR24</f>
        <v>3.1700000000000004</v>
      </c>
      <c r="BC24" s="478">
        <f>Q24+AS24</f>
        <v>1.76</v>
      </c>
    </row>
    <row r="25" spans="1:55" ht="13.5" customHeight="1" x14ac:dyDescent="0.2">
      <c r="A25" s="162">
        <v>4</v>
      </c>
      <c r="B25" s="18">
        <v>3456</v>
      </c>
      <c r="C25" s="18">
        <v>600029051</v>
      </c>
      <c r="D25" s="18">
        <v>75125439</v>
      </c>
      <c r="E25" s="171" t="s">
        <v>128</v>
      </c>
      <c r="F25" s="18"/>
      <c r="G25" s="161"/>
      <c r="H25" s="195"/>
      <c r="I25" s="529">
        <v>3327071</v>
      </c>
      <c r="J25" s="526">
        <v>2230811</v>
      </c>
      <c r="K25" s="526">
        <v>200000</v>
      </c>
      <c r="L25" s="526">
        <v>821614</v>
      </c>
      <c r="M25" s="526">
        <v>44616</v>
      </c>
      <c r="N25" s="526">
        <v>30030</v>
      </c>
      <c r="O25" s="527">
        <v>4.9300000000000006</v>
      </c>
      <c r="P25" s="527">
        <v>3.1700000000000004</v>
      </c>
      <c r="Q25" s="531">
        <v>1.76</v>
      </c>
      <c r="R25" s="529">
        <f t="shared" ref="R25:BC25" si="47">SUM(R24)</f>
        <v>0</v>
      </c>
      <c r="S25" s="526">
        <f t="shared" si="47"/>
        <v>0</v>
      </c>
      <c r="T25" s="526">
        <f t="shared" si="47"/>
        <v>0</v>
      </c>
      <c r="U25" s="526">
        <f t="shared" si="47"/>
        <v>0</v>
      </c>
      <c r="V25" s="526">
        <f t="shared" si="47"/>
        <v>0</v>
      </c>
      <c r="W25" s="526">
        <f t="shared" si="47"/>
        <v>0</v>
      </c>
      <c r="X25" s="526">
        <f t="shared" si="47"/>
        <v>0</v>
      </c>
      <c r="Y25" s="526">
        <f t="shared" si="47"/>
        <v>0</v>
      </c>
      <c r="Z25" s="526">
        <f t="shared" si="47"/>
        <v>0</v>
      </c>
      <c r="AA25" s="526">
        <f t="shared" si="47"/>
        <v>0</v>
      </c>
      <c r="AB25" s="526">
        <f t="shared" si="47"/>
        <v>0</v>
      </c>
      <c r="AC25" s="526">
        <f t="shared" si="47"/>
        <v>0</v>
      </c>
      <c r="AD25" s="526">
        <f t="shared" si="47"/>
        <v>0</v>
      </c>
      <c r="AE25" s="526">
        <f t="shared" si="47"/>
        <v>0</v>
      </c>
      <c r="AF25" s="526">
        <f t="shared" si="47"/>
        <v>0</v>
      </c>
      <c r="AG25" s="526">
        <f t="shared" si="47"/>
        <v>0</v>
      </c>
      <c r="AH25" s="526">
        <f t="shared" si="47"/>
        <v>0</v>
      </c>
      <c r="AI25" s="526">
        <f t="shared" si="47"/>
        <v>0</v>
      </c>
      <c r="AJ25" s="527">
        <f t="shared" si="47"/>
        <v>0</v>
      </c>
      <c r="AK25" s="527">
        <f t="shared" si="47"/>
        <v>0</v>
      </c>
      <c r="AL25" s="527">
        <f t="shared" si="47"/>
        <v>0</v>
      </c>
      <c r="AM25" s="527">
        <f t="shared" si="47"/>
        <v>0</v>
      </c>
      <c r="AN25" s="527">
        <f t="shared" si="47"/>
        <v>0</v>
      </c>
      <c r="AO25" s="527">
        <f t="shared" si="47"/>
        <v>0</v>
      </c>
      <c r="AP25" s="527">
        <f t="shared" si="47"/>
        <v>0</v>
      </c>
      <c r="AQ25" s="527">
        <f t="shared" si="47"/>
        <v>0</v>
      </c>
      <c r="AR25" s="527">
        <f t="shared" si="47"/>
        <v>0</v>
      </c>
      <c r="AS25" s="527">
        <f t="shared" si="47"/>
        <v>0</v>
      </c>
      <c r="AT25" s="40">
        <f t="shared" si="47"/>
        <v>0</v>
      </c>
      <c r="AU25" s="533">
        <f t="shared" si="47"/>
        <v>3327071</v>
      </c>
      <c r="AV25" s="526">
        <f t="shared" si="47"/>
        <v>2230811</v>
      </c>
      <c r="AW25" s="526">
        <f t="shared" si="47"/>
        <v>200000</v>
      </c>
      <c r="AX25" s="526">
        <f t="shared" si="47"/>
        <v>821614</v>
      </c>
      <c r="AY25" s="526">
        <f t="shared" si="47"/>
        <v>44616</v>
      </c>
      <c r="AZ25" s="526">
        <f t="shared" si="47"/>
        <v>30030</v>
      </c>
      <c r="BA25" s="527">
        <f t="shared" si="47"/>
        <v>4.9300000000000006</v>
      </c>
      <c r="BB25" s="527">
        <f t="shared" si="47"/>
        <v>3.1700000000000004</v>
      </c>
      <c r="BC25" s="40">
        <f t="shared" si="47"/>
        <v>1.76</v>
      </c>
    </row>
    <row r="26" spans="1:55" ht="13.5" customHeight="1" x14ac:dyDescent="0.2">
      <c r="A26" s="216">
        <v>5</v>
      </c>
      <c r="B26" s="217">
        <v>3447</v>
      </c>
      <c r="C26" s="217">
        <v>600078531</v>
      </c>
      <c r="D26" s="217">
        <v>70694982</v>
      </c>
      <c r="E26" s="215" t="s">
        <v>129</v>
      </c>
      <c r="F26" s="217">
        <v>3113</v>
      </c>
      <c r="G26" s="218" t="s">
        <v>314</v>
      </c>
      <c r="H26" s="219" t="s">
        <v>277</v>
      </c>
      <c r="I26" s="477">
        <v>17816052</v>
      </c>
      <c r="J26" s="472">
        <v>12864309</v>
      </c>
      <c r="K26" s="472">
        <v>240</v>
      </c>
      <c r="L26" s="472">
        <v>4348218</v>
      </c>
      <c r="M26" s="472">
        <v>257285</v>
      </c>
      <c r="N26" s="472">
        <v>346000</v>
      </c>
      <c r="O26" s="473">
        <v>23.293700000000001</v>
      </c>
      <c r="P26" s="474">
        <v>17.636600000000001</v>
      </c>
      <c r="Q26" s="483">
        <v>5.6570999999999998</v>
      </c>
      <c r="R26" s="485">
        <f t="shared" ref="R26:R31" si="48">Y26*-1</f>
        <v>0</v>
      </c>
      <c r="S26" s="475">
        <v>0</v>
      </c>
      <c r="T26" s="475">
        <v>93378</v>
      </c>
      <c r="U26" s="475">
        <v>0</v>
      </c>
      <c r="V26" s="475">
        <v>0</v>
      </c>
      <c r="W26" s="475">
        <v>0</v>
      </c>
      <c r="X26" s="475">
        <f t="shared" ref="X26:X31" si="49">SUM(R26:W26)</f>
        <v>93378</v>
      </c>
      <c r="Y26" s="475">
        <v>0</v>
      </c>
      <c r="Z26" s="475">
        <v>0</v>
      </c>
      <c r="AA26" s="475">
        <v>0</v>
      </c>
      <c r="AB26" s="475">
        <f t="shared" ref="AB26:AB31" si="50">SUM(Y26:AA26)</f>
        <v>0</v>
      </c>
      <c r="AC26" s="475">
        <f t="shared" ref="AC26:AC31" si="51">X26+AB26</f>
        <v>93378</v>
      </c>
      <c r="AD26" s="70">
        <f t="shared" ref="AD26:AD31" si="52">ROUND((X26+Y26+Z26)*33.8%,0)</f>
        <v>31562</v>
      </c>
      <c r="AE26" s="70">
        <f t="shared" ref="AE26:AE31" si="53">ROUND(X26*2%,0)</f>
        <v>1868</v>
      </c>
      <c r="AF26" s="475">
        <v>0</v>
      </c>
      <c r="AG26" s="475">
        <v>0</v>
      </c>
      <c r="AH26" s="475">
        <f t="shared" ref="AH26:AH31" si="54">SUM(AF26:AG26)</f>
        <v>0</v>
      </c>
      <c r="AI26" s="475">
        <f t="shared" ref="AI26:AI31" si="55">AC26+AD26+AE26+AH26</f>
        <v>126808</v>
      </c>
      <c r="AJ26" s="476">
        <v>0</v>
      </c>
      <c r="AK26" s="476">
        <v>0</v>
      </c>
      <c r="AL26" s="476">
        <v>0</v>
      </c>
      <c r="AM26" s="476">
        <v>0.15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ref="AR26:AR31" si="56">AJ26+AL26+AM26+AO26+AP26</f>
        <v>0.15</v>
      </c>
      <c r="AS26" s="476">
        <f t="shared" ref="AS26:AS31" si="57">AK26+AN26+AQ26</f>
        <v>0</v>
      </c>
      <c r="AT26" s="478">
        <f t="shared" ref="AT26:AT31" si="58">SUM(AR26:AS26)</f>
        <v>0.15</v>
      </c>
      <c r="AU26" s="484">
        <f t="shared" si="10"/>
        <v>17942860</v>
      </c>
      <c r="AV26" s="475">
        <f t="shared" si="11"/>
        <v>12957687</v>
      </c>
      <c r="AW26" s="475">
        <f t="shared" ref="AW26:AW31" si="59">K26+AB26</f>
        <v>240</v>
      </c>
      <c r="AX26" s="475">
        <f t="shared" ref="AX26:AY31" si="60">L26+AD26</f>
        <v>4379780</v>
      </c>
      <c r="AY26" s="475">
        <f t="shared" si="60"/>
        <v>259153</v>
      </c>
      <c r="AZ26" s="475">
        <f t="shared" si="12"/>
        <v>346000</v>
      </c>
      <c r="BA26" s="476">
        <f t="shared" si="13"/>
        <v>23.4437</v>
      </c>
      <c r="BB26" s="476">
        <f t="shared" ref="BB26:BC31" si="61">P26+AR26</f>
        <v>17.7866</v>
      </c>
      <c r="BC26" s="478">
        <f t="shared" si="61"/>
        <v>5.6570999999999998</v>
      </c>
    </row>
    <row r="27" spans="1:55" ht="13.5" customHeight="1" x14ac:dyDescent="0.2">
      <c r="A27" s="216">
        <v>5</v>
      </c>
      <c r="B27" s="217">
        <v>3447</v>
      </c>
      <c r="C27" s="217">
        <v>600078531</v>
      </c>
      <c r="D27" s="217">
        <v>70694982</v>
      </c>
      <c r="E27" s="215" t="s">
        <v>129</v>
      </c>
      <c r="F27" s="217">
        <v>3113</v>
      </c>
      <c r="G27" s="218" t="s">
        <v>313</v>
      </c>
      <c r="H27" s="219" t="s">
        <v>277</v>
      </c>
      <c r="I27" s="477">
        <v>452092</v>
      </c>
      <c r="J27" s="472">
        <v>332910</v>
      </c>
      <c r="K27" s="472">
        <v>0</v>
      </c>
      <c r="L27" s="472">
        <v>112524</v>
      </c>
      <c r="M27" s="472">
        <v>6658</v>
      </c>
      <c r="N27" s="472">
        <v>0</v>
      </c>
      <c r="O27" s="473">
        <v>0.75</v>
      </c>
      <c r="P27" s="474">
        <v>0.75</v>
      </c>
      <c r="Q27" s="483">
        <v>0</v>
      </c>
      <c r="R27" s="485">
        <f t="shared" si="48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49"/>
        <v>0</v>
      </c>
      <c r="Y27" s="475">
        <v>0</v>
      </c>
      <c r="Z27" s="475">
        <v>0</v>
      </c>
      <c r="AA27" s="475">
        <v>0</v>
      </c>
      <c r="AB27" s="475">
        <f t="shared" si="50"/>
        <v>0</v>
      </c>
      <c r="AC27" s="475">
        <f t="shared" si="51"/>
        <v>0</v>
      </c>
      <c r="AD27" s="70">
        <f t="shared" si="52"/>
        <v>0</v>
      </c>
      <c r="AE27" s="70">
        <f t="shared" si="53"/>
        <v>0</v>
      </c>
      <c r="AF27" s="475">
        <v>0</v>
      </c>
      <c r="AG27" s="475">
        <v>0</v>
      </c>
      <c r="AH27" s="475">
        <f t="shared" si="54"/>
        <v>0</v>
      </c>
      <c r="AI27" s="475">
        <f t="shared" si="55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 t="shared" si="56"/>
        <v>0</v>
      </c>
      <c r="AS27" s="476">
        <f t="shared" si="57"/>
        <v>0</v>
      </c>
      <c r="AT27" s="478">
        <f t="shared" si="58"/>
        <v>0</v>
      </c>
      <c r="AU27" s="484">
        <f t="shared" si="10"/>
        <v>452092</v>
      </c>
      <c r="AV27" s="475">
        <f t="shared" si="11"/>
        <v>332910</v>
      </c>
      <c r="AW27" s="475">
        <f t="shared" si="59"/>
        <v>0</v>
      </c>
      <c r="AX27" s="475">
        <f t="shared" si="60"/>
        <v>112524</v>
      </c>
      <c r="AY27" s="475">
        <f t="shared" si="60"/>
        <v>6658</v>
      </c>
      <c r="AZ27" s="475">
        <f t="shared" si="12"/>
        <v>0</v>
      </c>
      <c r="BA27" s="476">
        <f t="shared" si="13"/>
        <v>0.75</v>
      </c>
      <c r="BB27" s="476">
        <f t="shared" si="61"/>
        <v>0.75</v>
      </c>
      <c r="BC27" s="478">
        <f t="shared" si="61"/>
        <v>0</v>
      </c>
    </row>
    <row r="28" spans="1:55" ht="13.5" customHeight="1" x14ac:dyDescent="0.2">
      <c r="A28" s="216">
        <v>5</v>
      </c>
      <c r="B28" s="217">
        <v>3447</v>
      </c>
      <c r="C28" s="217">
        <v>600078531</v>
      </c>
      <c r="D28" s="217">
        <v>70694982</v>
      </c>
      <c r="E28" s="215" t="s">
        <v>129</v>
      </c>
      <c r="F28" s="217">
        <v>3113</v>
      </c>
      <c r="G28" s="218" t="s">
        <v>319</v>
      </c>
      <c r="H28" s="219" t="s">
        <v>278</v>
      </c>
      <c r="I28" s="477">
        <v>1781176</v>
      </c>
      <c r="J28" s="472">
        <v>1311617</v>
      </c>
      <c r="K28" s="472">
        <v>0</v>
      </c>
      <c r="L28" s="472">
        <v>443326</v>
      </c>
      <c r="M28" s="472">
        <v>26233</v>
      </c>
      <c r="N28" s="472">
        <v>0</v>
      </c>
      <c r="O28" s="473">
        <v>3.66</v>
      </c>
      <c r="P28" s="474">
        <v>3.66</v>
      </c>
      <c r="Q28" s="483">
        <v>0</v>
      </c>
      <c r="R28" s="485">
        <f t="shared" si="48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49"/>
        <v>0</v>
      </c>
      <c r="Y28" s="475">
        <v>0</v>
      </c>
      <c r="Z28" s="475">
        <v>0</v>
      </c>
      <c r="AA28" s="475">
        <v>0</v>
      </c>
      <c r="AB28" s="475">
        <f t="shared" si="50"/>
        <v>0</v>
      </c>
      <c r="AC28" s="475">
        <f t="shared" si="51"/>
        <v>0</v>
      </c>
      <c r="AD28" s="70">
        <f t="shared" si="52"/>
        <v>0</v>
      </c>
      <c r="AE28" s="70">
        <f t="shared" si="53"/>
        <v>0</v>
      </c>
      <c r="AF28" s="475">
        <v>0</v>
      </c>
      <c r="AG28" s="475">
        <v>0</v>
      </c>
      <c r="AH28" s="475">
        <f t="shared" si="54"/>
        <v>0</v>
      </c>
      <c r="AI28" s="475">
        <f t="shared" si="55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 t="shared" si="56"/>
        <v>0</v>
      </c>
      <c r="AS28" s="476">
        <f t="shared" si="57"/>
        <v>0</v>
      </c>
      <c r="AT28" s="478">
        <f t="shared" si="58"/>
        <v>0</v>
      </c>
      <c r="AU28" s="484">
        <f t="shared" si="10"/>
        <v>1781176</v>
      </c>
      <c r="AV28" s="475">
        <f t="shared" si="11"/>
        <v>1311617</v>
      </c>
      <c r="AW28" s="475">
        <f t="shared" si="59"/>
        <v>0</v>
      </c>
      <c r="AX28" s="475">
        <f t="shared" si="60"/>
        <v>443326</v>
      </c>
      <c r="AY28" s="475">
        <f t="shared" si="60"/>
        <v>26233</v>
      </c>
      <c r="AZ28" s="475">
        <f t="shared" si="12"/>
        <v>0</v>
      </c>
      <c r="BA28" s="476">
        <f t="shared" si="13"/>
        <v>3.66</v>
      </c>
      <c r="BB28" s="476">
        <f t="shared" si="61"/>
        <v>3.66</v>
      </c>
      <c r="BC28" s="478">
        <f t="shared" si="61"/>
        <v>0</v>
      </c>
    </row>
    <row r="29" spans="1:55" ht="13.5" customHeight="1" x14ac:dyDescent="0.2">
      <c r="A29" s="216">
        <v>5</v>
      </c>
      <c r="B29" s="217">
        <v>3447</v>
      </c>
      <c r="C29" s="217">
        <v>600078531</v>
      </c>
      <c r="D29" s="217">
        <v>70694982</v>
      </c>
      <c r="E29" s="215" t="s">
        <v>129</v>
      </c>
      <c r="F29" s="217">
        <v>3141</v>
      </c>
      <c r="G29" s="218" t="s">
        <v>315</v>
      </c>
      <c r="H29" s="219" t="s">
        <v>278</v>
      </c>
      <c r="I29" s="477">
        <v>1538537</v>
      </c>
      <c r="J29" s="472">
        <v>1118319</v>
      </c>
      <c r="K29" s="472">
        <v>6000</v>
      </c>
      <c r="L29" s="472">
        <v>380020</v>
      </c>
      <c r="M29" s="472">
        <v>22366</v>
      </c>
      <c r="N29" s="472">
        <v>11832</v>
      </c>
      <c r="O29" s="473">
        <v>3.54</v>
      </c>
      <c r="P29" s="474">
        <v>0</v>
      </c>
      <c r="Q29" s="483">
        <v>3.54</v>
      </c>
      <c r="R29" s="485">
        <f t="shared" si="48"/>
        <v>0</v>
      </c>
      <c r="S29" s="475">
        <v>0</v>
      </c>
      <c r="T29" s="475">
        <v>7232</v>
      </c>
      <c r="U29" s="475">
        <v>0</v>
      </c>
      <c r="V29" s="475">
        <v>0</v>
      </c>
      <c r="W29" s="475">
        <v>0</v>
      </c>
      <c r="X29" s="475">
        <f t="shared" si="49"/>
        <v>7232</v>
      </c>
      <c r="Y29" s="475">
        <v>0</v>
      </c>
      <c r="Z29" s="475">
        <v>0</v>
      </c>
      <c r="AA29" s="475">
        <v>0</v>
      </c>
      <c r="AB29" s="475">
        <f t="shared" si="50"/>
        <v>0</v>
      </c>
      <c r="AC29" s="475">
        <f t="shared" si="51"/>
        <v>7232</v>
      </c>
      <c r="AD29" s="70">
        <f t="shared" si="52"/>
        <v>2444</v>
      </c>
      <c r="AE29" s="70">
        <f t="shared" si="53"/>
        <v>145</v>
      </c>
      <c r="AF29" s="475">
        <v>0</v>
      </c>
      <c r="AG29" s="475">
        <v>0</v>
      </c>
      <c r="AH29" s="475">
        <f t="shared" si="54"/>
        <v>0</v>
      </c>
      <c r="AI29" s="475">
        <f t="shared" si="55"/>
        <v>9821</v>
      </c>
      <c r="AJ29" s="476">
        <v>0</v>
      </c>
      <c r="AK29" s="476">
        <v>0</v>
      </c>
      <c r="AL29" s="476">
        <v>0</v>
      </c>
      <c r="AM29" s="476">
        <v>0</v>
      </c>
      <c r="AN29" s="476">
        <v>0.02</v>
      </c>
      <c r="AO29" s="476">
        <v>0</v>
      </c>
      <c r="AP29" s="476">
        <v>0</v>
      </c>
      <c r="AQ29" s="476">
        <v>0</v>
      </c>
      <c r="AR29" s="476">
        <f t="shared" si="56"/>
        <v>0</v>
      </c>
      <c r="AS29" s="476">
        <f t="shared" si="57"/>
        <v>0.02</v>
      </c>
      <c r="AT29" s="478">
        <f t="shared" si="58"/>
        <v>0.02</v>
      </c>
      <c r="AU29" s="484">
        <f t="shared" si="10"/>
        <v>1548358</v>
      </c>
      <c r="AV29" s="475">
        <f t="shared" si="11"/>
        <v>1125551</v>
      </c>
      <c r="AW29" s="475">
        <f t="shared" si="59"/>
        <v>6000</v>
      </c>
      <c r="AX29" s="475">
        <f t="shared" si="60"/>
        <v>382464</v>
      </c>
      <c r="AY29" s="475">
        <f t="shared" si="60"/>
        <v>22511</v>
      </c>
      <c r="AZ29" s="475">
        <f t="shared" si="12"/>
        <v>11832</v>
      </c>
      <c r="BA29" s="476">
        <f t="shared" si="13"/>
        <v>3.56</v>
      </c>
      <c r="BB29" s="476">
        <f t="shared" si="61"/>
        <v>0</v>
      </c>
      <c r="BC29" s="478">
        <f t="shared" si="61"/>
        <v>3.56</v>
      </c>
    </row>
    <row r="30" spans="1:55" ht="13.5" customHeight="1" x14ac:dyDescent="0.2">
      <c r="A30" s="216">
        <v>5</v>
      </c>
      <c r="B30" s="217">
        <v>3447</v>
      </c>
      <c r="C30" s="217">
        <v>600078531</v>
      </c>
      <c r="D30" s="217">
        <v>70694982</v>
      </c>
      <c r="E30" s="215" t="s">
        <v>129</v>
      </c>
      <c r="F30" s="217">
        <v>3143</v>
      </c>
      <c r="G30" s="218" t="s">
        <v>626</v>
      </c>
      <c r="H30" s="239" t="s">
        <v>277</v>
      </c>
      <c r="I30" s="477">
        <v>1570509</v>
      </c>
      <c r="J30" s="472">
        <v>1138752</v>
      </c>
      <c r="K30" s="472">
        <v>18000</v>
      </c>
      <c r="L30" s="472">
        <v>390982</v>
      </c>
      <c r="M30" s="472">
        <v>22775</v>
      </c>
      <c r="N30" s="472">
        <v>0</v>
      </c>
      <c r="O30" s="473">
        <v>2.5</v>
      </c>
      <c r="P30" s="474">
        <v>2.5</v>
      </c>
      <c r="Q30" s="483">
        <v>0</v>
      </c>
      <c r="R30" s="485">
        <f t="shared" si="48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49"/>
        <v>0</v>
      </c>
      <c r="Y30" s="475">
        <v>0</v>
      </c>
      <c r="Z30" s="475">
        <v>0</v>
      </c>
      <c r="AA30" s="475">
        <v>0</v>
      </c>
      <c r="AB30" s="475">
        <f t="shared" si="50"/>
        <v>0</v>
      </c>
      <c r="AC30" s="475">
        <f t="shared" si="51"/>
        <v>0</v>
      </c>
      <c r="AD30" s="70">
        <f t="shared" si="52"/>
        <v>0</v>
      </c>
      <c r="AE30" s="70">
        <f t="shared" si="53"/>
        <v>0</v>
      </c>
      <c r="AF30" s="475">
        <v>0</v>
      </c>
      <c r="AG30" s="475">
        <v>0</v>
      </c>
      <c r="AH30" s="475">
        <f t="shared" si="54"/>
        <v>0</v>
      </c>
      <c r="AI30" s="475">
        <f t="shared" si="55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 t="shared" si="56"/>
        <v>0</v>
      </c>
      <c r="AS30" s="476">
        <f t="shared" si="57"/>
        <v>0</v>
      </c>
      <c r="AT30" s="478">
        <f t="shared" si="58"/>
        <v>0</v>
      </c>
      <c r="AU30" s="484">
        <f t="shared" si="10"/>
        <v>1570509</v>
      </c>
      <c r="AV30" s="475">
        <f t="shared" si="11"/>
        <v>1138752</v>
      </c>
      <c r="AW30" s="475">
        <f t="shared" si="59"/>
        <v>18000</v>
      </c>
      <c r="AX30" s="475">
        <f t="shared" si="60"/>
        <v>390982</v>
      </c>
      <c r="AY30" s="475">
        <f t="shared" si="60"/>
        <v>22775</v>
      </c>
      <c r="AZ30" s="475">
        <f t="shared" si="12"/>
        <v>0</v>
      </c>
      <c r="BA30" s="476">
        <f t="shared" si="13"/>
        <v>2.5</v>
      </c>
      <c r="BB30" s="476">
        <f t="shared" si="61"/>
        <v>2.5</v>
      </c>
      <c r="BC30" s="478">
        <f t="shared" si="61"/>
        <v>0</v>
      </c>
    </row>
    <row r="31" spans="1:55" ht="13.5" customHeight="1" x14ac:dyDescent="0.2">
      <c r="A31" s="216">
        <v>5</v>
      </c>
      <c r="B31" s="217">
        <v>3447</v>
      </c>
      <c r="C31" s="217">
        <v>600078531</v>
      </c>
      <c r="D31" s="217">
        <v>70694982</v>
      </c>
      <c r="E31" s="215" t="s">
        <v>129</v>
      </c>
      <c r="F31" s="217">
        <v>3143</v>
      </c>
      <c r="G31" s="218" t="s">
        <v>627</v>
      </c>
      <c r="H31" s="239" t="s">
        <v>278</v>
      </c>
      <c r="I31" s="477">
        <v>45361</v>
      </c>
      <c r="J31" s="472">
        <v>32077</v>
      </c>
      <c r="K31" s="472">
        <v>0</v>
      </c>
      <c r="L31" s="472">
        <v>10842</v>
      </c>
      <c r="M31" s="472">
        <v>642</v>
      </c>
      <c r="N31" s="472">
        <v>1800</v>
      </c>
      <c r="O31" s="473">
        <v>0.13</v>
      </c>
      <c r="P31" s="474">
        <v>0</v>
      </c>
      <c r="Q31" s="483">
        <v>0.13</v>
      </c>
      <c r="R31" s="485">
        <f t="shared" si="48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49"/>
        <v>0</v>
      </c>
      <c r="Y31" s="475">
        <v>0</v>
      </c>
      <c r="Z31" s="475">
        <v>0</v>
      </c>
      <c r="AA31" s="475">
        <v>0</v>
      </c>
      <c r="AB31" s="475">
        <f t="shared" si="50"/>
        <v>0</v>
      </c>
      <c r="AC31" s="475">
        <f t="shared" si="51"/>
        <v>0</v>
      </c>
      <c r="AD31" s="70">
        <f t="shared" si="52"/>
        <v>0</v>
      </c>
      <c r="AE31" s="70">
        <f t="shared" si="53"/>
        <v>0</v>
      </c>
      <c r="AF31" s="475">
        <v>0</v>
      </c>
      <c r="AG31" s="475">
        <v>0</v>
      </c>
      <c r="AH31" s="475">
        <f t="shared" si="54"/>
        <v>0</v>
      </c>
      <c r="AI31" s="475">
        <f t="shared" si="55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 t="shared" si="56"/>
        <v>0</v>
      </c>
      <c r="AS31" s="476">
        <f t="shared" si="57"/>
        <v>0</v>
      </c>
      <c r="AT31" s="478">
        <f t="shared" si="58"/>
        <v>0</v>
      </c>
      <c r="AU31" s="484">
        <f t="shared" si="10"/>
        <v>45361</v>
      </c>
      <c r="AV31" s="475">
        <f t="shared" si="11"/>
        <v>32077</v>
      </c>
      <c r="AW31" s="475">
        <f t="shared" si="59"/>
        <v>0</v>
      </c>
      <c r="AX31" s="475">
        <f t="shared" si="60"/>
        <v>10842</v>
      </c>
      <c r="AY31" s="475">
        <f t="shared" si="60"/>
        <v>642</v>
      </c>
      <c r="AZ31" s="475">
        <f t="shared" si="12"/>
        <v>1800</v>
      </c>
      <c r="BA31" s="476">
        <f t="shared" si="13"/>
        <v>0.13</v>
      </c>
      <c r="BB31" s="476">
        <f t="shared" si="61"/>
        <v>0</v>
      </c>
      <c r="BC31" s="478">
        <f t="shared" si="61"/>
        <v>0.13</v>
      </c>
    </row>
    <row r="32" spans="1:55" ht="13.5" customHeight="1" x14ac:dyDescent="0.2">
      <c r="A32" s="162">
        <v>5</v>
      </c>
      <c r="B32" s="18">
        <v>3447</v>
      </c>
      <c r="C32" s="18">
        <v>600078531</v>
      </c>
      <c r="D32" s="18">
        <v>70694982</v>
      </c>
      <c r="E32" s="171" t="s">
        <v>130</v>
      </c>
      <c r="F32" s="18"/>
      <c r="G32" s="161"/>
      <c r="H32" s="195"/>
      <c r="I32" s="529">
        <v>23203727</v>
      </c>
      <c r="J32" s="526">
        <v>16797984</v>
      </c>
      <c r="K32" s="526">
        <v>24240</v>
      </c>
      <c r="L32" s="526">
        <v>5685912</v>
      </c>
      <c r="M32" s="526">
        <v>335959</v>
      </c>
      <c r="N32" s="526">
        <v>359632</v>
      </c>
      <c r="O32" s="527">
        <v>33.873700000000007</v>
      </c>
      <c r="P32" s="527">
        <v>24.546600000000002</v>
      </c>
      <c r="Q32" s="531">
        <v>9.3270999999999997</v>
      </c>
      <c r="R32" s="529">
        <f t="shared" ref="R32:BC32" si="62">SUM(R26:R31)</f>
        <v>0</v>
      </c>
      <c r="S32" s="526">
        <f t="shared" si="62"/>
        <v>0</v>
      </c>
      <c r="T32" s="526">
        <f t="shared" si="62"/>
        <v>100610</v>
      </c>
      <c r="U32" s="526">
        <f t="shared" si="62"/>
        <v>0</v>
      </c>
      <c r="V32" s="526">
        <f t="shared" si="62"/>
        <v>0</v>
      </c>
      <c r="W32" s="526">
        <f t="shared" si="62"/>
        <v>0</v>
      </c>
      <c r="X32" s="526">
        <f t="shared" si="62"/>
        <v>100610</v>
      </c>
      <c r="Y32" s="526">
        <f t="shared" si="62"/>
        <v>0</v>
      </c>
      <c r="Z32" s="526">
        <f t="shared" si="62"/>
        <v>0</v>
      </c>
      <c r="AA32" s="526">
        <f t="shared" si="62"/>
        <v>0</v>
      </c>
      <c r="AB32" s="526">
        <f t="shared" si="62"/>
        <v>0</v>
      </c>
      <c r="AC32" s="526">
        <f t="shared" si="62"/>
        <v>100610</v>
      </c>
      <c r="AD32" s="526">
        <f t="shared" si="62"/>
        <v>34006</v>
      </c>
      <c r="AE32" s="526">
        <f t="shared" si="62"/>
        <v>2013</v>
      </c>
      <c r="AF32" s="526">
        <f t="shared" si="62"/>
        <v>0</v>
      </c>
      <c r="AG32" s="526">
        <f t="shared" si="62"/>
        <v>0</v>
      </c>
      <c r="AH32" s="526">
        <f t="shared" si="62"/>
        <v>0</v>
      </c>
      <c r="AI32" s="526">
        <f t="shared" si="62"/>
        <v>136629</v>
      </c>
      <c r="AJ32" s="527">
        <f t="shared" si="62"/>
        <v>0</v>
      </c>
      <c r="AK32" s="527">
        <f t="shared" si="62"/>
        <v>0</v>
      </c>
      <c r="AL32" s="527">
        <f t="shared" si="62"/>
        <v>0</v>
      </c>
      <c r="AM32" s="527">
        <f t="shared" si="62"/>
        <v>0.15</v>
      </c>
      <c r="AN32" s="527">
        <f t="shared" si="62"/>
        <v>0.02</v>
      </c>
      <c r="AO32" s="527">
        <f t="shared" si="62"/>
        <v>0</v>
      </c>
      <c r="AP32" s="527">
        <f t="shared" si="62"/>
        <v>0</v>
      </c>
      <c r="AQ32" s="527">
        <f t="shared" si="62"/>
        <v>0</v>
      </c>
      <c r="AR32" s="527">
        <f t="shared" si="62"/>
        <v>0.15</v>
      </c>
      <c r="AS32" s="527">
        <f t="shared" si="62"/>
        <v>0.02</v>
      </c>
      <c r="AT32" s="40">
        <f t="shared" si="62"/>
        <v>0.16999999999999998</v>
      </c>
      <c r="AU32" s="533">
        <f t="shared" si="62"/>
        <v>23340356</v>
      </c>
      <c r="AV32" s="526">
        <f t="shared" si="62"/>
        <v>16898594</v>
      </c>
      <c r="AW32" s="526">
        <f t="shared" si="62"/>
        <v>24240</v>
      </c>
      <c r="AX32" s="526">
        <f t="shared" si="62"/>
        <v>5719918</v>
      </c>
      <c r="AY32" s="526">
        <f t="shared" si="62"/>
        <v>337972</v>
      </c>
      <c r="AZ32" s="526">
        <f t="shared" si="62"/>
        <v>359632</v>
      </c>
      <c r="BA32" s="527">
        <f t="shared" si="62"/>
        <v>34.043700000000001</v>
      </c>
      <c r="BB32" s="527">
        <f t="shared" si="62"/>
        <v>24.6966</v>
      </c>
      <c r="BC32" s="40">
        <f t="shared" si="62"/>
        <v>9.3471000000000011</v>
      </c>
    </row>
    <row r="33" spans="1:55" ht="13.5" customHeight="1" x14ac:dyDescent="0.2">
      <c r="A33" s="216">
        <v>6</v>
      </c>
      <c r="B33" s="217">
        <v>3446</v>
      </c>
      <c r="C33" s="217">
        <v>600078515</v>
      </c>
      <c r="D33" s="217">
        <v>70694974</v>
      </c>
      <c r="E33" s="215" t="s">
        <v>131</v>
      </c>
      <c r="F33" s="217">
        <v>3113</v>
      </c>
      <c r="G33" s="218" t="s">
        <v>314</v>
      </c>
      <c r="H33" s="219" t="s">
        <v>277</v>
      </c>
      <c r="I33" s="477">
        <v>25098296</v>
      </c>
      <c r="J33" s="472">
        <v>18002660</v>
      </c>
      <c r="K33" s="472">
        <v>92500</v>
      </c>
      <c r="L33" s="472">
        <v>6116163</v>
      </c>
      <c r="M33" s="472">
        <v>360053</v>
      </c>
      <c r="N33" s="472">
        <v>526920</v>
      </c>
      <c r="O33" s="473">
        <v>32.893699999999995</v>
      </c>
      <c r="P33" s="474">
        <v>25.9419</v>
      </c>
      <c r="Q33" s="483">
        <v>6.9518000000000004</v>
      </c>
      <c r="R33" s="485">
        <f t="shared" ref="R33:R37" si="63">Y33*-1</f>
        <v>0</v>
      </c>
      <c r="S33" s="475">
        <v>0</v>
      </c>
      <c r="T33" s="475">
        <v>-109964</v>
      </c>
      <c r="U33" s="475">
        <v>0</v>
      </c>
      <c r="V33" s="475">
        <v>0</v>
      </c>
      <c r="W33" s="475">
        <v>0</v>
      </c>
      <c r="X33" s="475">
        <f>SUM(R33:W33)</f>
        <v>-109964</v>
      </c>
      <c r="Y33" s="475">
        <v>0</v>
      </c>
      <c r="Z33" s="475">
        <v>0</v>
      </c>
      <c r="AA33" s="475">
        <v>0</v>
      </c>
      <c r="AB33" s="475">
        <f t="shared" ref="AB33:AB37" si="64">SUM(Y33:AA33)</f>
        <v>0</v>
      </c>
      <c r="AC33" s="475">
        <f t="shared" ref="AC33:AC37" si="65">X33+AB33</f>
        <v>-109964</v>
      </c>
      <c r="AD33" s="70">
        <f t="shared" ref="AD33:AD37" si="66">ROUND((X33+Y33+Z33)*33.8%,0)</f>
        <v>-37168</v>
      </c>
      <c r="AE33" s="70">
        <f t="shared" ref="AE33:AE37" si="67">ROUND(X33*2%,0)</f>
        <v>-2199</v>
      </c>
      <c r="AF33" s="475">
        <v>0</v>
      </c>
      <c r="AG33" s="475">
        <v>0</v>
      </c>
      <c r="AH33" s="475">
        <f t="shared" ref="AH33:AH37" si="68">SUM(AF33:AG33)</f>
        <v>0</v>
      </c>
      <c r="AI33" s="475">
        <f t="shared" ref="AI33:AI37" si="69">AC33+AD33+AE33+AH33</f>
        <v>-149331</v>
      </c>
      <c r="AJ33" s="476">
        <v>0</v>
      </c>
      <c r="AK33" s="476">
        <v>0</v>
      </c>
      <c r="AL33" s="476">
        <v>0</v>
      </c>
      <c r="AM33" s="476">
        <v>-0.18</v>
      </c>
      <c r="AN33" s="476">
        <v>0</v>
      </c>
      <c r="AO33" s="476">
        <v>0</v>
      </c>
      <c r="AP33" s="476">
        <v>0</v>
      </c>
      <c r="AQ33" s="476">
        <v>0</v>
      </c>
      <c r="AR33" s="476">
        <f>AJ33+AL33+AM33+AO33+AP33</f>
        <v>-0.18</v>
      </c>
      <c r="AS33" s="476">
        <f>AK33+AN33+AQ33</f>
        <v>0</v>
      </c>
      <c r="AT33" s="478">
        <f t="shared" ref="AT33:AT37" si="70">SUM(AR33:AS33)</f>
        <v>-0.18</v>
      </c>
      <c r="AU33" s="484">
        <f t="shared" si="10"/>
        <v>24948965</v>
      </c>
      <c r="AV33" s="475">
        <f t="shared" si="11"/>
        <v>17892696</v>
      </c>
      <c r="AW33" s="475">
        <f t="shared" ref="AW33:AW37" si="71">K33+AB33</f>
        <v>92500</v>
      </c>
      <c r="AX33" s="475">
        <f t="shared" ref="AX33:AY37" si="72">L33+AD33</f>
        <v>6078995</v>
      </c>
      <c r="AY33" s="475">
        <f t="shared" si="72"/>
        <v>357854</v>
      </c>
      <c r="AZ33" s="475">
        <f t="shared" si="12"/>
        <v>526920</v>
      </c>
      <c r="BA33" s="476">
        <f t="shared" si="13"/>
        <v>32.713699999999996</v>
      </c>
      <c r="BB33" s="476">
        <f t="shared" ref="BB33:BC37" si="73">P33+AR33</f>
        <v>25.761900000000001</v>
      </c>
      <c r="BC33" s="478">
        <f t="shared" si="73"/>
        <v>6.9518000000000004</v>
      </c>
    </row>
    <row r="34" spans="1:55" ht="13.5" customHeight="1" x14ac:dyDescent="0.2">
      <c r="A34" s="216">
        <v>6</v>
      </c>
      <c r="B34" s="217">
        <v>3446</v>
      </c>
      <c r="C34" s="217">
        <v>600078515</v>
      </c>
      <c r="D34" s="217">
        <v>70694974</v>
      </c>
      <c r="E34" s="215" t="s">
        <v>131</v>
      </c>
      <c r="F34" s="217">
        <v>3113</v>
      </c>
      <c r="G34" s="218" t="s">
        <v>312</v>
      </c>
      <c r="H34" s="219" t="s">
        <v>278</v>
      </c>
      <c r="I34" s="477">
        <v>1272943</v>
      </c>
      <c r="J34" s="472">
        <v>937366</v>
      </c>
      <c r="K34" s="472">
        <v>0</v>
      </c>
      <c r="L34" s="472">
        <v>316830</v>
      </c>
      <c r="M34" s="472">
        <v>18747</v>
      </c>
      <c r="N34" s="472">
        <v>0</v>
      </c>
      <c r="O34" s="473">
        <v>2.69</v>
      </c>
      <c r="P34" s="474">
        <v>2.69</v>
      </c>
      <c r="Q34" s="483">
        <v>0</v>
      </c>
      <c r="R34" s="485">
        <f t="shared" si="63"/>
        <v>0</v>
      </c>
      <c r="S34" s="475">
        <v>-11568</v>
      </c>
      <c r="T34" s="475">
        <v>0</v>
      </c>
      <c r="U34" s="475">
        <v>0</v>
      </c>
      <c r="V34" s="475">
        <v>0</v>
      </c>
      <c r="W34" s="475">
        <v>0</v>
      </c>
      <c r="X34" s="475">
        <f>SUM(R34:W34)</f>
        <v>-11568</v>
      </c>
      <c r="Y34" s="475">
        <v>0</v>
      </c>
      <c r="Z34" s="475">
        <v>0</v>
      </c>
      <c r="AA34" s="475">
        <v>0</v>
      </c>
      <c r="AB34" s="475">
        <f t="shared" si="64"/>
        <v>0</v>
      </c>
      <c r="AC34" s="475">
        <f t="shared" si="65"/>
        <v>-11568</v>
      </c>
      <c r="AD34" s="70">
        <f t="shared" si="66"/>
        <v>-3910</v>
      </c>
      <c r="AE34" s="70">
        <f t="shared" si="67"/>
        <v>-231</v>
      </c>
      <c r="AF34" s="475">
        <v>0</v>
      </c>
      <c r="AG34" s="475">
        <v>0</v>
      </c>
      <c r="AH34" s="475">
        <f t="shared" si="68"/>
        <v>0</v>
      </c>
      <c r="AI34" s="475">
        <f t="shared" si="69"/>
        <v>-15709</v>
      </c>
      <c r="AJ34" s="476">
        <v>0</v>
      </c>
      <c r="AK34" s="476">
        <v>0</v>
      </c>
      <c r="AL34" s="476">
        <v>-0.03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-0.03</v>
      </c>
      <c r="AS34" s="476">
        <f>AK34+AN34+AQ34</f>
        <v>0</v>
      </c>
      <c r="AT34" s="478">
        <f t="shared" si="70"/>
        <v>-0.03</v>
      </c>
      <c r="AU34" s="484">
        <f t="shared" si="10"/>
        <v>1257234</v>
      </c>
      <c r="AV34" s="475">
        <f t="shared" si="11"/>
        <v>925798</v>
      </c>
      <c r="AW34" s="475">
        <f t="shared" si="71"/>
        <v>0</v>
      </c>
      <c r="AX34" s="475">
        <f t="shared" si="72"/>
        <v>312920</v>
      </c>
      <c r="AY34" s="475">
        <f t="shared" si="72"/>
        <v>18516</v>
      </c>
      <c r="AZ34" s="475">
        <f t="shared" si="12"/>
        <v>0</v>
      </c>
      <c r="BA34" s="476">
        <f t="shared" si="13"/>
        <v>2.66</v>
      </c>
      <c r="BB34" s="476">
        <f t="shared" si="73"/>
        <v>2.66</v>
      </c>
      <c r="BC34" s="478">
        <f t="shared" si="73"/>
        <v>0</v>
      </c>
    </row>
    <row r="35" spans="1:55" ht="13.5" customHeight="1" x14ac:dyDescent="0.2">
      <c r="A35" s="216">
        <v>6</v>
      </c>
      <c r="B35" s="217">
        <v>3446</v>
      </c>
      <c r="C35" s="217">
        <v>600078515</v>
      </c>
      <c r="D35" s="217">
        <v>70694974</v>
      </c>
      <c r="E35" s="215" t="s">
        <v>131</v>
      </c>
      <c r="F35" s="217">
        <v>3141</v>
      </c>
      <c r="G35" s="218" t="s">
        <v>315</v>
      </c>
      <c r="H35" s="219" t="s">
        <v>278</v>
      </c>
      <c r="I35" s="477">
        <v>2201525</v>
      </c>
      <c r="J35" s="472">
        <v>1607485</v>
      </c>
      <c r="K35" s="472">
        <v>0</v>
      </c>
      <c r="L35" s="472">
        <v>543330</v>
      </c>
      <c r="M35" s="472">
        <v>32150</v>
      </c>
      <c r="N35" s="472">
        <v>18560</v>
      </c>
      <c r="O35" s="473">
        <v>5.0599999999999996</v>
      </c>
      <c r="P35" s="474">
        <v>0</v>
      </c>
      <c r="Q35" s="483">
        <v>5.0599999999999996</v>
      </c>
      <c r="R35" s="485">
        <f t="shared" si="63"/>
        <v>0</v>
      </c>
      <c r="S35" s="475">
        <v>0</v>
      </c>
      <c r="T35" s="475">
        <v>9339</v>
      </c>
      <c r="U35" s="475">
        <v>0</v>
      </c>
      <c r="V35" s="475">
        <v>0</v>
      </c>
      <c r="W35" s="475">
        <v>0</v>
      </c>
      <c r="X35" s="475">
        <f>SUM(R35:W35)</f>
        <v>9339</v>
      </c>
      <c r="Y35" s="475">
        <v>0</v>
      </c>
      <c r="Z35" s="475">
        <v>0</v>
      </c>
      <c r="AA35" s="475">
        <v>0</v>
      </c>
      <c r="AB35" s="475">
        <f t="shared" si="64"/>
        <v>0</v>
      </c>
      <c r="AC35" s="475">
        <f t="shared" si="65"/>
        <v>9339</v>
      </c>
      <c r="AD35" s="70">
        <f t="shared" si="66"/>
        <v>3157</v>
      </c>
      <c r="AE35" s="70">
        <f t="shared" si="67"/>
        <v>187</v>
      </c>
      <c r="AF35" s="475">
        <v>0</v>
      </c>
      <c r="AG35" s="475">
        <v>0</v>
      </c>
      <c r="AH35" s="475">
        <f t="shared" si="68"/>
        <v>0</v>
      </c>
      <c r="AI35" s="475">
        <f t="shared" si="69"/>
        <v>12683</v>
      </c>
      <c r="AJ35" s="476">
        <v>0</v>
      </c>
      <c r="AK35" s="476">
        <v>0</v>
      </c>
      <c r="AL35" s="476">
        <v>0</v>
      </c>
      <c r="AM35" s="476">
        <v>0</v>
      </c>
      <c r="AN35" s="476">
        <v>0.03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0.03</v>
      </c>
      <c r="AT35" s="478">
        <f t="shared" si="70"/>
        <v>0.03</v>
      </c>
      <c r="AU35" s="484">
        <f t="shared" si="10"/>
        <v>2214208</v>
      </c>
      <c r="AV35" s="475">
        <f t="shared" si="11"/>
        <v>1616824</v>
      </c>
      <c r="AW35" s="475">
        <f t="shared" si="71"/>
        <v>0</v>
      </c>
      <c r="AX35" s="475">
        <f t="shared" si="72"/>
        <v>546487</v>
      </c>
      <c r="AY35" s="475">
        <f t="shared" si="72"/>
        <v>32337</v>
      </c>
      <c r="AZ35" s="475">
        <f t="shared" si="12"/>
        <v>18560</v>
      </c>
      <c r="BA35" s="476">
        <f t="shared" si="13"/>
        <v>5.09</v>
      </c>
      <c r="BB35" s="476">
        <f t="shared" si="73"/>
        <v>0</v>
      </c>
      <c r="BC35" s="478">
        <f t="shared" si="73"/>
        <v>5.09</v>
      </c>
    </row>
    <row r="36" spans="1:55" ht="13.5" customHeight="1" x14ac:dyDescent="0.2">
      <c r="A36" s="216">
        <v>6</v>
      </c>
      <c r="B36" s="217">
        <v>3446</v>
      </c>
      <c r="C36" s="217">
        <v>600078515</v>
      </c>
      <c r="D36" s="217">
        <v>70694974</v>
      </c>
      <c r="E36" s="215" t="s">
        <v>131</v>
      </c>
      <c r="F36" s="217">
        <v>3143</v>
      </c>
      <c r="G36" s="218" t="s">
        <v>626</v>
      </c>
      <c r="H36" s="239" t="s">
        <v>277</v>
      </c>
      <c r="I36" s="477">
        <v>1677024</v>
      </c>
      <c r="J36" s="472">
        <v>1234922</v>
      </c>
      <c r="K36" s="472">
        <v>0</v>
      </c>
      <c r="L36" s="472">
        <v>417404</v>
      </c>
      <c r="M36" s="472">
        <v>24698</v>
      </c>
      <c r="N36" s="472">
        <v>0</v>
      </c>
      <c r="O36" s="473">
        <v>2.75</v>
      </c>
      <c r="P36" s="474">
        <v>2.75</v>
      </c>
      <c r="Q36" s="483">
        <v>0</v>
      </c>
      <c r="R36" s="485">
        <f t="shared" si="63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>SUM(R36:W36)</f>
        <v>0</v>
      </c>
      <c r="Y36" s="475">
        <v>0</v>
      </c>
      <c r="Z36" s="475">
        <v>0</v>
      </c>
      <c r="AA36" s="475">
        <v>0</v>
      </c>
      <c r="AB36" s="475">
        <f t="shared" si="64"/>
        <v>0</v>
      </c>
      <c r="AC36" s="475">
        <f t="shared" si="65"/>
        <v>0</v>
      </c>
      <c r="AD36" s="70">
        <f t="shared" si="66"/>
        <v>0</v>
      </c>
      <c r="AE36" s="70">
        <f t="shared" si="67"/>
        <v>0</v>
      </c>
      <c r="AF36" s="475">
        <v>0</v>
      </c>
      <c r="AG36" s="475">
        <v>0</v>
      </c>
      <c r="AH36" s="475">
        <f t="shared" si="68"/>
        <v>0</v>
      </c>
      <c r="AI36" s="475">
        <f t="shared" si="69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0"/>
        <v>0</v>
      </c>
      <c r="AU36" s="484">
        <f t="shared" si="10"/>
        <v>1677024</v>
      </c>
      <c r="AV36" s="475">
        <f t="shared" si="11"/>
        <v>1234922</v>
      </c>
      <c r="AW36" s="475">
        <f t="shared" si="71"/>
        <v>0</v>
      </c>
      <c r="AX36" s="475">
        <f t="shared" si="72"/>
        <v>417404</v>
      </c>
      <c r="AY36" s="475">
        <f t="shared" si="72"/>
        <v>24698</v>
      </c>
      <c r="AZ36" s="475">
        <f t="shared" si="12"/>
        <v>0</v>
      </c>
      <c r="BA36" s="476">
        <f t="shared" si="13"/>
        <v>2.75</v>
      </c>
      <c r="BB36" s="476">
        <f t="shared" si="73"/>
        <v>2.75</v>
      </c>
      <c r="BC36" s="478">
        <f t="shared" si="73"/>
        <v>0</v>
      </c>
    </row>
    <row r="37" spans="1:55" ht="13.5" customHeight="1" x14ac:dyDescent="0.2">
      <c r="A37" s="216">
        <v>6</v>
      </c>
      <c r="B37" s="217">
        <v>3446</v>
      </c>
      <c r="C37" s="217">
        <v>600078515</v>
      </c>
      <c r="D37" s="217">
        <v>70694974</v>
      </c>
      <c r="E37" s="215" t="s">
        <v>131</v>
      </c>
      <c r="F37" s="217">
        <v>3143</v>
      </c>
      <c r="G37" s="218" t="s">
        <v>627</v>
      </c>
      <c r="H37" s="239" t="s">
        <v>278</v>
      </c>
      <c r="I37" s="477">
        <v>55189</v>
      </c>
      <c r="J37" s="472">
        <v>39027</v>
      </c>
      <c r="K37" s="472">
        <v>0</v>
      </c>
      <c r="L37" s="472">
        <v>13191</v>
      </c>
      <c r="M37" s="472">
        <v>781</v>
      </c>
      <c r="N37" s="472">
        <v>2190</v>
      </c>
      <c r="O37" s="473">
        <v>0.15</v>
      </c>
      <c r="P37" s="474">
        <v>0</v>
      </c>
      <c r="Q37" s="483">
        <v>0.15</v>
      </c>
      <c r="R37" s="485">
        <f t="shared" si="63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si="64"/>
        <v>0</v>
      </c>
      <c r="AC37" s="475">
        <f t="shared" si="65"/>
        <v>0</v>
      </c>
      <c r="AD37" s="70">
        <f t="shared" si="66"/>
        <v>0</v>
      </c>
      <c r="AE37" s="70">
        <f t="shared" si="67"/>
        <v>0</v>
      </c>
      <c r="AF37" s="475">
        <v>0</v>
      </c>
      <c r="AG37" s="475">
        <v>0</v>
      </c>
      <c r="AH37" s="475">
        <f t="shared" si="68"/>
        <v>0</v>
      </c>
      <c r="AI37" s="475">
        <f t="shared" si="69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0"/>
        <v>0</v>
      </c>
      <c r="AU37" s="484">
        <f t="shared" si="10"/>
        <v>55189</v>
      </c>
      <c r="AV37" s="475">
        <f t="shared" si="11"/>
        <v>39027</v>
      </c>
      <c r="AW37" s="475">
        <f t="shared" si="71"/>
        <v>0</v>
      </c>
      <c r="AX37" s="475">
        <f t="shared" si="72"/>
        <v>13191</v>
      </c>
      <c r="AY37" s="475">
        <f t="shared" si="72"/>
        <v>781</v>
      </c>
      <c r="AZ37" s="475">
        <f t="shared" si="12"/>
        <v>2190</v>
      </c>
      <c r="BA37" s="476">
        <f t="shared" si="13"/>
        <v>0.15</v>
      </c>
      <c r="BB37" s="476">
        <f t="shared" si="73"/>
        <v>0</v>
      </c>
      <c r="BC37" s="478">
        <f t="shared" si="73"/>
        <v>0.15</v>
      </c>
    </row>
    <row r="38" spans="1:55" ht="13.5" customHeight="1" x14ac:dyDescent="0.2">
      <c r="A38" s="162">
        <v>6</v>
      </c>
      <c r="B38" s="18">
        <v>3446</v>
      </c>
      <c r="C38" s="18">
        <v>600078515</v>
      </c>
      <c r="D38" s="18">
        <v>70694974</v>
      </c>
      <c r="E38" s="171" t="s">
        <v>132</v>
      </c>
      <c r="F38" s="18"/>
      <c r="G38" s="161"/>
      <c r="H38" s="195"/>
      <c r="I38" s="529">
        <v>30304977</v>
      </c>
      <c r="J38" s="526">
        <v>21821460</v>
      </c>
      <c r="K38" s="526">
        <v>92500</v>
      </c>
      <c r="L38" s="526">
        <v>7406918</v>
      </c>
      <c r="M38" s="526">
        <v>436429</v>
      </c>
      <c r="N38" s="526">
        <v>547670</v>
      </c>
      <c r="O38" s="527">
        <v>43.543699999999994</v>
      </c>
      <c r="P38" s="527">
        <v>31.381900000000002</v>
      </c>
      <c r="Q38" s="531">
        <v>12.161800000000001</v>
      </c>
      <c r="R38" s="529">
        <f t="shared" ref="R38:BC38" si="74">SUM(R33:R37)</f>
        <v>0</v>
      </c>
      <c r="S38" s="526">
        <f t="shared" si="74"/>
        <v>-11568</v>
      </c>
      <c r="T38" s="526">
        <f t="shared" si="74"/>
        <v>-100625</v>
      </c>
      <c r="U38" s="526">
        <f t="shared" si="74"/>
        <v>0</v>
      </c>
      <c r="V38" s="526">
        <f t="shared" si="74"/>
        <v>0</v>
      </c>
      <c r="W38" s="526">
        <f t="shared" si="74"/>
        <v>0</v>
      </c>
      <c r="X38" s="526">
        <f t="shared" si="74"/>
        <v>-112193</v>
      </c>
      <c r="Y38" s="526">
        <f t="shared" si="74"/>
        <v>0</v>
      </c>
      <c r="Z38" s="526">
        <f t="shared" si="74"/>
        <v>0</v>
      </c>
      <c r="AA38" s="526">
        <f t="shared" si="74"/>
        <v>0</v>
      </c>
      <c r="AB38" s="526">
        <f t="shared" si="74"/>
        <v>0</v>
      </c>
      <c r="AC38" s="526">
        <f t="shared" si="74"/>
        <v>-112193</v>
      </c>
      <c r="AD38" s="526">
        <f t="shared" si="74"/>
        <v>-37921</v>
      </c>
      <c r="AE38" s="526">
        <f t="shared" si="74"/>
        <v>-2243</v>
      </c>
      <c r="AF38" s="526">
        <f t="shared" si="74"/>
        <v>0</v>
      </c>
      <c r="AG38" s="526">
        <f t="shared" si="74"/>
        <v>0</v>
      </c>
      <c r="AH38" s="526">
        <f t="shared" si="74"/>
        <v>0</v>
      </c>
      <c r="AI38" s="526">
        <f t="shared" si="74"/>
        <v>-152357</v>
      </c>
      <c r="AJ38" s="527">
        <f t="shared" si="74"/>
        <v>0</v>
      </c>
      <c r="AK38" s="527">
        <f t="shared" si="74"/>
        <v>0</v>
      </c>
      <c r="AL38" s="527">
        <f t="shared" si="74"/>
        <v>-0.03</v>
      </c>
      <c r="AM38" s="527">
        <f t="shared" si="74"/>
        <v>-0.18</v>
      </c>
      <c r="AN38" s="527">
        <f t="shared" si="74"/>
        <v>0.03</v>
      </c>
      <c r="AO38" s="527">
        <f t="shared" si="74"/>
        <v>0</v>
      </c>
      <c r="AP38" s="527">
        <f t="shared" si="74"/>
        <v>0</v>
      </c>
      <c r="AQ38" s="527">
        <f t="shared" si="74"/>
        <v>0</v>
      </c>
      <c r="AR38" s="527">
        <f t="shared" si="74"/>
        <v>-0.21</v>
      </c>
      <c r="AS38" s="527">
        <f t="shared" si="74"/>
        <v>0.03</v>
      </c>
      <c r="AT38" s="40">
        <f t="shared" si="74"/>
        <v>-0.18</v>
      </c>
      <c r="AU38" s="533">
        <f t="shared" si="74"/>
        <v>30152620</v>
      </c>
      <c r="AV38" s="526">
        <f t="shared" si="74"/>
        <v>21709267</v>
      </c>
      <c r="AW38" s="526">
        <f t="shared" si="74"/>
        <v>92500</v>
      </c>
      <c r="AX38" s="526">
        <f t="shared" si="74"/>
        <v>7368997</v>
      </c>
      <c r="AY38" s="526">
        <f t="shared" si="74"/>
        <v>434186</v>
      </c>
      <c r="AZ38" s="526">
        <f t="shared" si="74"/>
        <v>547670</v>
      </c>
      <c r="BA38" s="527">
        <f t="shared" si="74"/>
        <v>43.363700000000001</v>
      </c>
      <c r="BB38" s="527">
        <f t="shared" si="74"/>
        <v>31.171900000000001</v>
      </c>
      <c r="BC38" s="40">
        <f t="shared" si="74"/>
        <v>12.191800000000001</v>
      </c>
    </row>
    <row r="39" spans="1:55" ht="13.5" customHeight="1" x14ac:dyDescent="0.2">
      <c r="A39" s="216">
        <v>7</v>
      </c>
      <c r="B39" s="217">
        <v>3457</v>
      </c>
      <c r="C39" s="217">
        <v>651040230</v>
      </c>
      <c r="D39" s="217">
        <v>75125412</v>
      </c>
      <c r="E39" s="215" t="s">
        <v>133</v>
      </c>
      <c r="F39" s="217">
        <v>3231</v>
      </c>
      <c r="G39" s="218"/>
      <c r="H39" s="219" t="s">
        <v>277</v>
      </c>
      <c r="I39" s="477">
        <v>10349673</v>
      </c>
      <c r="J39" s="472">
        <v>7567116</v>
      </c>
      <c r="K39" s="472">
        <v>0</v>
      </c>
      <c r="L39" s="472">
        <v>2557685</v>
      </c>
      <c r="M39" s="472">
        <v>151342</v>
      </c>
      <c r="N39" s="472">
        <v>73530</v>
      </c>
      <c r="O39" s="473">
        <v>14.113900000000001</v>
      </c>
      <c r="P39" s="474">
        <v>12.5274</v>
      </c>
      <c r="Q39" s="483">
        <v>1.5865</v>
      </c>
      <c r="R39" s="485">
        <f t="shared" ref="R39" si="75">Y39*-1</f>
        <v>0</v>
      </c>
      <c r="S39" s="475">
        <v>0</v>
      </c>
      <c r="T39" s="475">
        <v>148905</v>
      </c>
      <c r="U39" s="475">
        <v>0</v>
      </c>
      <c r="V39" s="475">
        <v>0</v>
      </c>
      <c r="W39" s="475">
        <v>0</v>
      </c>
      <c r="X39" s="475">
        <f>SUM(R39:W39)</f>
        <v>148905</v>
      </c>
      <c r="Y39" s="475">
        <v>0</v>
      </c>
      <c r="Z39" s="475">
        <v>0</v>
      </c>
      <c r="AA39" s="475">
        <v>0</v>
      </c>
      <c r="AB39" s="475">
        <f t="shared" ref="AB39" si="76">SUM(Y39:AA39)</f>
        <v>0</v>
      </c>
      <c r="AC39" s="475">
        <f t="shared" ref="AC39" si="77">X39+AB39</f>
        <v>148905</v>
      </c>
      <c r="AD39" s="70">
        <f t="shared" ref="AD39" si="78">ROUND((X39+Y39+Z39)*33.8%,0)</f>
        <v>50330</v>
      </c>
      <c r="AE39" s="70">
        <f t="shared" ref="AE39" si="79">ROUND(X39*2%,0)</f>
        <v>2978</v>
      </c>
      <c r="AF39" s="475">
        <v>0</v>
      </c>
      <c r="AG39" s="475">
        <v>0</v>
      </c>
      <c r="AH39" s="475">
        <f t="shared" ref="AH39" si="80">SUM(AF39:AG39)</f>
        <v>0</v>
      </c>
      <c r="AI39" s="475">
        <f t="shared" ref="AI39" si="81">AC39+AD39+AE39+AH39</f>
        <v>202213</v>
      </c>
      <c r="AJ39" s="476">
        <v>0</v>
      </c>
      <c r="AK39" s="476">
        <v>0</v>
      </c>
      <c r="AL39" s="476">
        <v>0</v>
      </c>
      <c r="AM39" s="476">
        <v>0.26</v>
      </c>
      <c r="AN39" s="476">
        <v>0</v>
      </c>
      <c r="AO39" s="476">
        <v>0</v>
      </c>
      <c r="AP39" s="476">
        <v>0</v>
      </c>
      <c r="AQ39" s="476">
        <v>0</v>
      </c>
      <c r="AR39" s="476">
        <f>AJ39+AL39+AM39+AO39+AP39</f>
        <v>0.26</v>
      </c>
      <c r="AS39" s="476">
        <f>AK39+AN39+AQ39</f>
        <v>0</v>
      </c>
      <c r="AT39" s="478">
        <f t="shared" ref="AT39" si="82">SUM(AR39:AS39)</f>
        <v>0.26</v>
      </c>
      <c r="AU39" s="484">
        <f t="shared" si="10"/>
        <v>10551886</v>
      </c>
      <c r="AV39" s="475">
        <f t="shared" si="11"/>
        <v>7716021</v>
      </c>
      <c r="AW39" s="475">
        <f>K39+AB39</f>
        <v>0</v>
      </c>
      <c r="AX39" s="475">
        <f>L39+AD39</f>
        <v>2608015</v>
      </c>
      <c r="AY39" s="475">
        <f>M39+AE39</f>
        <v>154320</v>
      </c>
      <c r="AZ39" s="475">
        <f t="shared" si="12"/>
        <v>73530</v>
      </c>
      <c r="BA39" s="476">
        <f t="shared" si="13"/>
        <v>14.373900000000001</v>
      </c>
      <c r="BB39" s="476">
        <f>P39+AR39</f>
        <v>12.7874</v>
      </c>
      <c r="BC39" s="478">
        <f>Q39+AS39</f>
        <v>1.5865</v>
      </c>
    </row>
    <row r="40" spans="1:55" ht="13.5" customHeight="1" x14ac:dyDescent="0.2">
      <c r="A40" s="162">
        <v>7</v>
      </c>
      <c r="B40" s="18">
        <v>3457</v>
      </c>
      <c r="C40" s="18">
        <v>651040230</v>
      </c>
      <c r="D40" s="18">
        <v>75125412</v>
      </c>
      <c r="E40" s="171" t="s">
        <v>134</v>
      </c>
      <c r="F40" s="18"/>
      <c r="G40" s="161"/>
      <c r="H40" s="195"/>
      <c r="I40" s="528">
        <v>10349673</v>
      </c>
      <c r="J40" s="524">
        <v>7567116</v>
      </c>
      <c r="K40" s="524">
        <v>0</v>
      </c>
      <c r="L40" s="524">
        <v>2557685</v>
      </c>
      <c r="M40" s="524">
        <v>151342</v>
      </c>
      <c r="N40" s="524">
        <v>73530</v>
      </c>
      <c r="O40" s="525">
        <v>14.113900000000001</v>
      </c>
      <c r="P40" s="525">
        <v>12.5274</v>
      </c>
      <c r="Q40" s="530">
        <v>1.5865</v>
      </c>
      <c r="R40" s="528">
        <f t="shared" ref="R40:BC40" si="83">SUM(R39)</f>
        <v>0</v>
      </c>
      <c r="S40" s="524">
        <f t="shared" si="83"/>
        <v>0</v>
      </c>
      <c r="T40" s="524">
        <f t="shared" si="83"/>
        <v>148905</v>
      </c>
      <c r="U40" s="524">
        <f t="shared" si="83"/>
        <v>0</v>
      </c>
      <c r="V40" s="524">
        <f t="shared" si="83"/>
        <v>0</v>
      </c>
      <c r="W40" s="524">
        <f t="shared" si="83"/>
        <v>0</v>
      </c>
      <c r="X40" s="524">
        <f t="shared" si="83"/>
        <v>148905</v>
      </c>
      <c r="Y40" s="524">
        <f t="shared" si="83"/>
        <v>0</v>
      </c>
      <c r="Z40" s="524">
        <f t="shared" si="83"/>
        <v>0</v>
      </c>
      <c r="AA40" s="524">
        <f t="shared" si="83"/>
        <v>0</v>
      </c>
      <c r="AB40" s="524">
        <f t="shared" si="83"/>
        <v>0</v>
      </c>
      <c r="AC40" s="524">
        <f t="shared" si="83"/>
        <v>148905</v>
      </c>
      <c r="AD40" s="524">
        <f t="shared" si="83"/>
        <v>50330</v>
      </c>
      <c r="AE40" s="524">
        <f t="shared" si="83"/>
        <v>2978</v>
      </c>
      <c r="AF40" s="524">
        <f t="shared" si="83"/>
        <v>0</v>
      </c>
      <c r="AG40" s="524">
        <f t="shared" si="83"/>
        <v>0</v>
      </c>
      <c r="AH40" s="524">
        <f t="shared" si="83"/>
        <v>0</v>
      </c>
      <c r="AI40" s="524">
        <f t="shared" si="83"/>
        <v>202213</v>
      </c>
      <c r="AJ40" s="525">
        <f t="shared" si="83"/>
        <v>0</v>
      </c>
      <c r="AK40" s="525">
        <f t="shared" si="83"/>
        <v>0</v>
      </c>
      <c r="AL40" s="525">
        <f t="shared" si="83"/>
        <v>0</v>
      </c>
      <c r="AM40" s="525">
        <f t="shared" si="83"/>
        <v>0.26</v>
      </c>
      <c r="AN40" s="525">
        <f t="shared" si="83"/>
        <v>0</v>
      </c>
      <c r="AO40" s="525">
        <f t="shared" si="83"/>
        <v>0</v>
      </c>
      <c r="AP40" s="525">
        <f t="shared" si="83"/>
        <v>0</v>
      </c>
      <c r="AQ40" s="525">
        <f t="shared" si="83"/>
        <v>0</v>
      </c>
      <c r="AR40" s="525">
        <f t="shared" si="83"/>
        <v>0.26</v>
      </c>
      <c r="AS40" s="525">
        <f t="shared" si="83"/>
        <v>0</v>
      </c>
      <c r="AT40" s="41">
        <f t="shared" si="83"/>
        <v>0.26</v>
      </c>
      <c r="AU40" s="532">
        <f t="shared" si="83"/>
        <v>10551886</v>
      </c>
      <c r="AV40" s="524">
        <f t="shared" si="83"/>
        <v>7716021</v>
      </c>
      <c r="AW40" s="524">
        <f t="shared" si="83"/>
        <v>0</v>
      </c>
      <c r="AX40" s="524">
        <f t="shared" si="83"/>
        <v>2608015</v>
      </c>
      <c r="AY40" s="524">
        <f t="shared" si="83"/>
        <v>154320</v>
      </c>
      <c r="AZ40" s="524">
        <f t="shared" si="83"/>
        <v>73530</v>
      </c>
      <c r="BA40" s="525">
        <f t="shared" si="83"/>
        <v>14.373900000000001</v>
      </c>
      <c r="BB40" s="525">
        <f t="shared" si="83"/>
        <v>12.7874</v>
      </c>
      <c r="BC40" s="41">
        <f t="shared" si="83"/>
        <v>1.5865</v>
      </c>
    </row>
    <row r="41" spans="1:55" ht="13.5" customHeight="1" x14ac:dyDescent="0.2">
      <c r="A41" s="216">
        <v>8</v>
      </c>
      <c r="B41" s="217">
        <v>3423</v>
      </c>
      <c r="C41" s="217">
        <v>600078108</v>
      </c>
      <c r="D41" s="217">
        <v>70695059</v>
      </c>
      <c r="E41" s="215" t="s">
        <v>135</v>
      </c>
      <c r="F41" s="217">
        <v>3111</v>
      </c>
      <c r="G41" s="218" t="s">
        <v>311</v>
      </c>
      <c r="H41" s="219" t="s">
        <v>277</v>
      </c>
      <c r="I41" s="477">
        <v>3418068</v>
      </c>
      <c r="J41" s="472">
        <v>2480713</v>
      </c>
      <c r="K41" s="472">
        <v>20000</v>
      </c>
      <c r="L41" s="472">
        <v>845241</v>
      </c>
      <c r="M41" s="472">
        <v>49614</v>
      </c>
      <c r="N41" s="472">
        <v>22500</v>
      </c>
      <c r="O41" s="473">
        <v>5.353600000000001</v>
      </c>
      <c r="P41" s="474">
        <v>3.8638000000000003</v>
      </c>
      <c r="Q41" s="483">
        <v>1.4898</v>
      </c>
      <c r="R41" s="485">
        <f t="shared" ref="R41:R42" si="84">Y41*-1</f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ref="AB41:AB42" si="85">SUM(Y41:AA41)</f>
        <v>0</v>
      </c>
      <c r="AC41" s="475">
        <f t="shared" ref="AC41:AC42" si="86">X41+AB41</f>
        <v>0</v>
      </c>
      <c r="AD41" s="70">
        <f t="shared" ref="AD41:AD42" si="87">ROUND((X41+Y41+Z41)*33.8%,0)</f>
        <v>0</v>
      </c>
      <c r="AE41" s="70">
        <f t="shared" ref="AE41:AE42" si="88">ROUND(X41*2%,0)</f>
        <v>0</v>
      </c>
      <c r="AF41" s="475">
        <v>0</v>
      </c>
      <c r="AG41" s="475">
        <v>0</v>
      </c>
      <c r="AH41" s="475">
        <f t="shared" ref="AH41:AH42" si="89">SUM(AF41:AG41)</f>
        <v>0</v>
      </c>
      <c r="AI41" s="475">
        <f t="shared" ref="AI41:AI42" si="90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ref="AT41:AT42" si="91">SUM(AR41:AS41)</f>
        <v>0</v>
      </c>
      <c r="AU41" s="484">
        <f t="shared" si="10"/>
        <v>3418068</v>
      </c>
      <c r="AV41" s="475">
        <f t="shared" si="11"/>
        <v>2480713</v>
      </c>
      <c r="AW41" s="475">
        <f t="shared" ref="AW41:AW42" si="92">K41+AB41</f>
        <v>20000</v>
      </c>
      <c r="AX41" s="475">
        <f>L41+AD41</f>
        <v>845241</v>
      </c>
      <c r="AY41" s="475">
        <f>M41+AE41</f>
        <v>49614</v>
      </c>
      <c r="AZ41" s="475">
        <f t="shared" si="12"/>
        <v>22500</v>
      </c>
      <c r="BA41" s="476">
        <f t="shared" si="13"/>
        <v>5.353600000000001</v>
      </c>
      <c r="BB41" s="476">
        <f>P41+AR41</f>
        <v>3.8638000000000003</v>
      </c>
      <c r="BC41" s="478">
        <f>Q41+AS41</f>
        <v>1.4898</v>
      </c>
    </row>
    <row r="42" spans="1:55" ht="13.5" customHeight="1" x14ac:dyDescent="0.2">
      <c r="A42" s="216">
        <v>8</v>
      </c>
      <c r="B42" s="217">
        <v>3423</v>
      </c>
      <c r="C42" s="217">
        <v>600078108</v>
      </c>
      <c r="D42" s="217">
        <v>70695059</v>
      </c>
      <c r="E42" s="215" t="s">
        <v>135</v>
      </c>
      <c r="F42" s="217">
        <v>3141</v>
      </c>
      <c r="G42" s="218" t="s">
        <v>315</v>
      </c>
      <c r="H42" s="219" t="s">
        <v>278</v>
      </c>
      <c r="I42" s="477">
        <v>1296249</v>
      </c>
      <c r="J42" s="472">
        <v>939934</v>
      </c>
      <c r="K42" s="472">
        <v>10000</v>
      </c>
      <c r="L42" s="472">
        <v>321078</v>
      </c>
      <c r="M42" s="472">
        <v>18799</v>
      </c>
      <c r="N42" s="472">
        <v>6438</v>
      </c>
      <c r="O42" s="473">
        <v>2.99</v>
      </c>
      <c r="P42" s="474">
        <v>0</v>
      </c>
      <c r="Q42" s="483">
        <v>2.99</v>
      </c>
      <c r="R42" s="485">
        <f t="shared" si="84"/>
        <v>0</v>
      </c>
      <c r="S42" s="475">
        <v>0</v>
      </c>
      <c r="T42" s="475">
        <v>6608</v>
      </c>
      <c r="U42" s="475">
        <v>0</v>
      </c>
      <c r="V42" s="475">
        <v>0</v>
      </c>
      <c r="W42" s="475">
        <v>0</v>
      </c>
      <c r="X42" s="475">
        <f>SUM(R42:W42)</f>
        <v>6608</v>
      </c>
      <c r="Y42" s="475">
        <v>0</v>
      </c>
      <c r="Z42" s="475">
        <v>0</v>
      </c>
      <c r="AA42" s="475">
        <v>0</v>
      </c>
      <c r="AB42" s="475">
        <f t="shared" si="85"/>
        <v>0</v>
      </c>
      <c r="AC42" s="475">
        <f t="shared" si="86"/>
        <v>6608</v>
      </c>
      <c r="AD42" s="70">
        <f t="shared" si="87"/>
        <v>2234</v>
      </c>
      <c r="AE42" s="70">
        <f t="shared" si="88"/>
        <v>132</v>
      </c>
      <c r="AF42" s="475">
        <v>0</v>
      </c>
      <c r="AG42" s="475">
        <v>0</v>
      </c>
      <c r="AH42" s="475">
        <f t="shared" si="89"/>
        <v>0</v>
      </c>
      <c r="AI42" s="475">
        <f t="shared" si="90"/>
        <v>8974</v>
      </c>
      <c r="AJ42" s="476">
        <v>0</v>
      </c>
      <c r="AK42" s="476">
        <v>0</v>
      </c>
      <c r="AL42" s="476">
        <v>0</v>
      </c>
      <c r="AM42" s="476">
        <v>0</v>
      </c>
      <c r="AN42" s="476">
        <v>0.02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0.02</v>
      </c>
      <c r="AT42" s="478">
        <f t="shared" si="91"/>
        <v>0.02</v>
      </c>
      <c r="AU42" s="484">
        <f t="shared" si="10"/>
        <v>1305223</v>
      </c>
      <c r="AV42" s="475">
        <f t="shared" si="11"/>
        <v>946542</v>
      </c>
      <c r="AW42" s="475">
        <f t="shared" si="92"/>
        <v>10000</v>
      </c>
      <c r="AX42" s="475">
        <f>L42+AD42</f>
        <v>323312</v>
      </c>
      <c r="AY42" s="475">
        <f>M42+AE42</f>
        <v>18931</v>
      </c>
      <c r="AZ42" s="475">
        <f t="shared" si="12"/>
        <v>6438</v>
      </c>
      <c r="BA42" s="476">
        <f t="shared" si="13"/>
        <v>3.0100000000000002</v>
      </c>
      <c r="BB42" s="476">
        <f>P42+AR42</f>
        <v>0</v>
      </c>
      <c r="BC42" s="478">
        <f>Q42+AS42</f>
        <v>3.0100000000000002</v>
      </c>
    </row>
    <row r="43" spans="1:55" ht="13.5" customHeight="1" x14ac:dyDescent="0.2">
      <c r="A43" s="162">
        <v>8</v>
      </c>
      <c r="B43" s="18">
        <v>3423</v>
      </c>
      <c r="C43" s="18">
        <v>600078108</v>
      </c>
      <c r="D43" s="18">
        <v>70695059</v>
      </c>
      <c r="E43" s="171" t="s">
        <v>136</v>
      </c>
      <c r="F43" s="18"/>
      <c r="G43" s="161"/>
      <c r="H43" s="195"/>
      <c r="I43" s="529">
        <v>4714317</v>
      </c>
      <c r="J43" s="526">
        <v>3420647</v>
      </c>
      <c r="K43" s="526">
        <v>30000</v>
      </c>
      <c r="L43" s="526">
        <v>1166319</v>
      </c>
      <c r="M43" s="526">
        <v>68413</v>
      </c>
      <c r="N43" s="526">
        <v>28938</v>
      </c>
      <c r="O43" s="527">
        <v>8.3436000000000021</v>
      </c>
      <c r="P43" s="527">
        <v>3.8638000000000003</v>
      </c>
      <c r="Q43" s="531">
        <v>4.4798</v>
      </c>
      <c r="R43" s="529">
        <f t="shared" ref="R43:BC43" si="93">SUM(R41:R42)</f>
        <v>0</v>
      </c>
      <c r="S43" s="526">
        <f t="shared" si="93"/>
        <v>0</v>
      </c>
      <c r="T43" s="526">
        <f t="shared" si="93"/>
        <v>6608</v>
      </c>
      <c r="U43" s="526">
        <f t="shared" si="93"/>
        <v>0</v>
      </c>
      <c r="V43" s="526">
        <f t="shared" si="93"/>
        <v>0</v>
      </c>
      <c r="W43" s="526">
        <f t="shared" si="93"/>
        <v>0</v>
      </c>
      <c r="X43" s="526">
        <f t="shared" si="93"/>
        <v>6608</v>
      </c>
      <c r="Y43" s="526">
        <f t="shared" si="93"/>
        <v>0</v>
      </c>
      <c r="Z43" s="526">
        <f t="shared" si="93"/>
        <v>0</v>
      </c>
      <c r="AA43" s="526">
        <f t="shared" si="93"/>
        <v>0</v>
      </c>
      <c r="AB43" s="526">
        <f t="shared" si="93"/>
        <v>0</v>
      </c>
      <c r="AC43" s="526">
        <f t="shared" si="93"/>
        <v>6608</v>
      </c>
      <c r="AD43" s="526">
        <f t="shared" si="93"/>
        <v>2234</v>
      </c>
      <c r="AE43" s="526">
        <f t="shared" si="93"/>
        <v>132</v>
      </c>
      <c r="AF43" s="526">
        <f t="shared" si="93"/>
        <v>0</v>
      </c>
      <c r="AG43" s="526">
        <f t="shared" si="93"/>
        <v>0</v>
      </c>
      <c r="AH43" s="526">
        <f t="shared" si="93"/>
        <v>0</v>
      </c>
      <c r="AI43" s="526">
        <f t="shared" si="93"/>
        <v>8974</v>
      </c>
      <c r="AJ43" s="527">
        <f t="shared" si="93"/>
        <v>0</v>
      </c>
      <c r="AK43" s="527">
        <f t="shared" si="93"/>
        <v>0</v>
      </c>
      <c r="AL43" s="527">
        <f t="shared" si="93"/>
        <v>0</v>
      </c>
      <c r="AM43" s="527">
        <f t="shared" si="93"/>
        <v>0</v>
      </c>
      <c r="AN43" s="527">
        <f t="shared" si="93"/>
        <v>0.02</v>
      </c>
      <c r="AO43" s="527">
        <f t="shared" si="93"/>
        <v>0</v>
      </c>
      <c r="AP43" s="527">
        <f t="shared" si="93"/>
        <v>0</v>
      </c>
      <c r="AQ43" s="527">
        <f t="shared" si="93"/>
        <v>0</v>
      </c>
      <c r="AR43" s="527">
        <f t="shared" si="93"/>
        <v>0</v>
      </c>
      <c r="AS43" s="527">
        <f t="shared" si="93"/>
        <v>0.02</v>
      </c>
      <c r="AT43" s="40">
        <f t="shared" si="93"/>
        <v>0.02</v>
      </c>
      <c r="AU43" s="533">
        <f t="shared" si="93"/>
        <v>4723291</v>
      </c>
      <c r="AV43" s="526">
        <f t="shared" si="93"/>
        <v>3427255</v>
      </c>
      <c r="AW43" s="526">
        <f t="shared" si="93"/>
        <v>30000</v>
      </c>
      <c r="AX43" s="526">
        <f t="shared" si="93"/>
        <v>1168553</v>
      </c>
      <c r="AY43" s="526">
        <f t="shared" si="93"/>
        <v>68545</v>
      </c>
      <c r="AZ43" s="526">
        <f t="shared" si="93"/>
        <v>28938</v>
      </c>
      <c r="BA43" s="527">
        <f t="shared" si="93"/>
        <v>8.3636000000000017</v>
      </c>
      <c r="BB43" s="527">
        <f t="shared" si="93"/>
        <v>3.8638000000000003</v>
      </c>
      <c r="BC43" s="40">
        <f t="shared" si="93"/>
        <v>4.4998000000000005</v>
      </c>
    </row>
    <row r="44" spans="1:55" ht="13.5" customHeight="1" x14ac:dyDescent="0.2">
      <c r="A44" s="216">
        <v>9</v>
      </c>
      <c r="B44" s="217">
        <v>3448</v>
      </c>
      <c r="C44" s="217">
        <v>600078299</v>
      </c>
      <c r="D44" s="217">
        <v>70695041</v>
      </c>
      <c r="E44" s="215" t="s">
        <v>137</v>
      </c>
      <c r="F44" s="217">
        <v>3117</v>
      </c>
      <c r="G44" s="218" t="s">
        <v>314</v>
      </c>
      <c r="H44" s="219" t="s">
        <v>277</v>
      </c>
      <c r="I44" s="477">
        <v>4942203</v>
      </c>
      <c r="J44" s="472">
        <v>3536683</v>
      </c>
      <c r="K44" s="472">
        <v>23660</v>
      </c>
      <c r="L44" s="472">
        <v>1203396</v>
      </c>
      <c r="M44" s="472">
        <v>70734</v>
      </c>
      <c r="N44" s="472">
        <v>107730</v>
      </c>
      <c r="O44" s="473">
        <v>7.0547000000000004</v>
      </c>
      <c r="P44" s="474">
        <v>5.1005000000000003</v>
      </c>
      <c r="Q44" s="483">
        <v>1.9541999999999999</v>
      </c>
      <c r="R44" s="485">
        <f t="shared" ref="R44:R47" si="94">Y44*-1</f>
        <v>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>SUM(R44:W44)</f>
        <v>0</v>
      </c>
      <c r="Y44" s="475">
        <v>0</v>
      </c>
      <c r="Z44" s="475">
        <v>0</v>
      </c>
      <c r="AA44" s="475">
        <v>0</v>
      </c>
      <c r="AB44" s="475">
        <f t="shared" ref="AB44:AB47" si="95">SUM(Y44:AA44)</f>
        <v>0</v>
      </c>
      <c r="AC44" s="475">
        <f t="shared" ref="AC44:AC47" si="96">X44+AB44</f>
        <v>0</v>
      </c>
      <c r="AD44" s="70">
        <f t="shared" ref="AD44:AD47" si="97">ROUND((X44+Y44+Z44)*33.8%,0)</f>
        <v>0</v>
      </c>
      <c r="AE44" s="70">
        <f t="shared" ref="AE44:AE47" si="98">ROUND(X44*2%,0)</f>
        <v>0</v>
      </c>
      <c r="AF44" s="475">
        <v>0</v>
      </c>
      <c r="AG44" s="475">
        <v>0</v>
      </c>
      <c r="AH44" s="475">
        <f t="shared" ref="AH44:AH47" si="99">SUM(AF44:AG44)</f>
        <v>0</v>
      </c>
      <c r="AI44" s="475">
        <f t="shared" ref="AI44:AI47" si="100">AC44+AD44+AE44+AH44</f>
        <v>0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0</v>
      </c>
      <c r="AT44" s="478">
        <f t="shared" ref="AT44:AT47" si="101">SUM(AR44:AS44)</f>
        <v>0</v>
      </c>
      <c r="AU44" s="484">
        <f t="shared" si="10"/>
        <v>4942203</v>
      </c>
      <c r="AV44" s="475">
        <f t="shared" si="11"/>
        <v>3536683</v>
      </c>
      <c r="AW44" s="475">
        <f t="shared" ref="AW44:AW47" si="102">K44+AB44</f>
        <v>23660</v>
      </c>
      <c r="AX44" s="475">
        <f t="shared" ref="AX44:AY47" si="103">L44+AD44</f>
        <v>1203396</v>
      </c>
      <c r="AY44" s="475">
        <f t="shared" si="103"/>
        <v>70734</v>
      </c>
      <c r="AZ44" s="475">
        <f t="shared" si="12"/>
        <v>107730</v>
      </c>
      <c r="BA44" s="476">
        <f t="shared" si="13"/>
        <v>7.0547000000000004</v>
      </c>
      <c r="BB44" s="476">
        <f t="shared" ref="BB44:BC47" si="104">P44+AR44</f>
        <v>5.1005000000000003</v>
      </c>
      <c r="BC44" s="478">
        <f t="shared" si="104"/>
        <v>1.9541999999999999</v>
      </c>
    </row>
    <row r="45" spans="1:55" ht="13.5" customHeight="1" x14ac:dyDescent="0.2">
      <c r="A45" s="216">
        <v>9</v>
      </c>
      <c r="B45" s="217">
        <v>3448</v>
      </c>
      <c r="C45" s="217">
        <v>600078299</v>
      </c>
      <c r="D45" s="217">
        <v>70695041</v>
      </c>
      <c r="E45" s="215" t="s">
        <v>137</v>
      </c>
      <c r="F45" s="217">
        <v>3117</v>
      </c>
      <c r="G45" s="218" t="s">
        <v>312</v>
      </c>
      <c r="H45" s="219" t="s">
        <v>278</v>
      </c>
      <c r="I45" s="477">
        <v>470471</v>
      </c>
      <c r="J45" s="472">
        <v>346444</v>
      </c>
      <c r="K45" s="472">
        <v>0</v>
      </c>
      <c r="L45" s="472">
        <v>117098</v>
      </c>
      <c r="M45" s="472">
        <v>6929</v>
      </c>
      <c r="N45" s="472">
        <v>0</v>
      </c>
      <c r="O45" s="473">
        <v>1</v>
      </c>
      <c r="P45" s="474">
        <v>1</v>
      </c>
      <c r="Q45" s="483">
        <v>0</v>
      </c>
      <c r="R45" s="485">
        <f t="shared" si="94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si="95"/>
        <v>0</v>
      </c>
      <c r="AC45" s="475">
        <f t="shared" si="96"/>
        <v>0</v>
      </c>
      <c r="AD45" s="70">
        <f t="shared" si="97"/>
        <v>0</v>
      </c>
      <c r="AE45" s="70">
        <f t="shared" si="98"/>
        <v>0</v>
      </c>
      <c r="AF45" s="475">
        <v>0</v>
      </c>
      <c r="AG45" s="475">
        <v>0</v>
      </c>
      <c r="AH45" s="475">
        <f t="shared" si="99"/>
        <v>0</v>
      </c>
      <c r="AI45" s="475">
        <f t="shared" si="100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si="101"/>
        <v>0</v>
      </c>
      <c r="AU45" s="484">
        <f t="shared" si="10"/>
        <v>470471</v>
      </c>
      <c r="AV45" s="475">
        <f t="shared" si="11"/>
        <v>346444</v>
      </c>
      <c r="AW45" s="475">
        <f t="shared" si="102"/>
        <v>0</v>
      </c>
      <c r="AX45" s="475">
        <f t="shared" si="103"/>
        <v>117098</v>
      </c>
      <c r="AY45" s="475">
        <f t="shared" si="103"/>
        <v>6929</v>
      </c>
      <c r="AZ45" s="475">
        <f t="shared" si="12"/>
        <v>0</v>
      </c>
      <c r="BA45" s="476">
        <f t="shared" si="13"/>
        <v>1</v>
      </c>
      <c r="BB45" s="476">
        <f t="shared" si="104"/>
        <v>1</v>
      </c>
      <c r="BC45" s="478">
        <f t="shared" si="104"/>
        <v>0</v>
      </c>
    </row>
    <row r="46" spans="1:55" ht="13.5" customHeight="1" x14ac:dyDescent="0.2">
      <c r="A46" s="216">
        <v>9</v>
      </c>
      <c r="B46" s="217">
        <v>3448</v>
      </c>
      <c r="C46" s="217">
        <v>600078299</v>
      </c>
      <c r="D46" s="217">
        <v>70695041</v>
      </c>
      <c r="E46" s="215" t="s">
        <v>137</v>
      </c>
      <c r="F46" s="217">
        <v>3143</v>
      </c>
      <c r="G46" s="218" t="s">
        <v>626</v>
      </c>
      <c r="H46" s="239" t="s">
        <v>277</v>
      </c>
      <c r="I46" s="477">
        <v>511166</v>
      </c>
      <c r="J46" s="472">
        <v>376411</v>
      </c>
      <c r="K46" s="472">
        <v>0</v>
      </c>
      <c r="L46" s="472">
        <v>127227</v>
      </c>
      <c r="M46" s="472">
        <v>7528</v>
      </c>
      <c r="N46" s="472">
        <v>0</v>
      </c>
      <c r="O46" s="473">
        <v>0.75</v>
      </c>
      <c r="P46" s="474">
        <v>0.75</v>
      </c>
      <c r="Q46" s="483">
        <v>0</v>
      </c>
      <c r="R46" s="485">
        <f t="shared" si="94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>SUM(R46:W46)</f>
        <v>0</v>
      </c>
      <c r="Y46" s="475">
        <v>0</v>
      </c>
      <c r="Z46" s="475">
        <v>0</v>
      </c>
      <c r="AA46" s="475">
        <v>0</v>
      </c>
      <c r="AB46" s="475">
        <f t="shared" si="95"/>
        <v>0</v>
      </c>
      <c r="AC46" s="475">
        <f t="shared" si="96"/>
        <v>0</v>
      </c>
      <c r="AD46" s="70">
        <f t="shared" si="97"/>
        <v>0</v>
      </c>
      <c r="AE46" s="70">
        <f t="shared" si="98"/>
        <v>0</v>
      </c>
      <c r="AF46" s="475">
        <v>0</v>
      </c>
      <c r="AG46" s="475">
        <v>0</v>
      </c>
      <c r="AH46" s="475">
        <f t="shared" si="99"/>
        <v>0</v>
      </c>
      <c r="AI46" s="475">
        <f t="shared" si="100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>AJ46+AL46+AM46+AO46+AP46</f>
        <v>0</v>
      </c>
      <c r="AS46" s="476">
        <f>AK46+AN46+AQ46</f>
        <v>0</v>
      </c>
      <c r="AT46" s="478">
        <f t="shared" si="101"/>
        <v>0</v>
      </c>
      <c r="AU46" s="484">
        <f t="shared" si="10"/>
        <v>511166</v>
      </c>
      <c r="AV46" s="475">
        <f t="shared" si="11"/>
        <v>376411</v>
      </c>
      <c r="AW46" s="475">
        <f t="shared" si="102"/>
        <v>0</v>
      </c>
      <c r="AX46" s="475">
        <f t="shared" si="103"/>
        <v>127227</v>
      </c>
      <c r="AY46" s="475">
        <f t="shared" si="103"/>
        <v>7528</v>
      </c>
      <c r="AZ46" s="475">
        <f t="shared" si="12"/>
        <v>0</v>
      </c>
      <c r="BA46" s="476">
        <f t="shared" si="13"/>
        <v>0.75</v>
      </c>
      <c r="BB46" s="476">
        <f t="shared" si="104"/>
        <v>0.75</v>
      </c>
      <c r="BC46" s="478">
        <f t="shared" si="104"/>
        <v>0</v>
      </c>
    </row>
    <row r="47" spans="1:55" ht="13.5" customHeight="1" x14ac:dyDescent="0.2">
      <c r="A47" s="216">
        <v>9</v>
      </c>
      <c r="B47" s="217">
        <v>3448</v>
      </c>
      <c r="C47" s="217">
        <v>600078299</v>
      </c>
      <c r="D47" s="217">
        <v>70695041</v>
      </c>
      <c r="E47" s="215" t="s">
        <v>137</v>
      </c>
      <c r="F47" s="217">
        <v>3143</v>
      </c>
      <c r="G47" s="218" t="s">
        <v>627</v>
      </c>
      <c r="H47" s="239" t="s">
        <v>278</v>
      </c>
      <c r="I47" s="477">
        <v>22680</v>
      </c>
      <c r="J47" s="472">
        <v>16038</v>
      </c>
      <c r="K47" s="472">
        <v>0</v>
      </c>
      <c r="L47" s="472">
        <v>5421</v>
      </c>
      <c r="M47" s="472">
        <v>321</v>
      </c>
      <c r="N47" s="472">
        <v>900</v>
      </c>
      <c r="O47" s="473">
        <v>0.06</v>
      </c>
      <c r="P47" s="474">
        <v>0</v>
      </c>
      <c r="Q47" s="483">
        <v>0.06</v>
      </c>
      <c r="R47" s="485">
        <f t="shared" si="94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si="95"/>
        <v>0</v>
      </c>
      <c r="AC47" s="475">
        <f t="shared" si="96"/>
        <v>0</v>
      </c>
      <c r="AD47" s="70">
        <f t="shared" si="97"/>
        <v>0</v>
      </c>
      <c r="AE47" s="70">
        <f t="shared" si="98"/>
        <v>0</v>
      </c>
      <c r="AF47" s="475">
        <v>0</v>
      </c>
      <c r="AG47" s="475">
        <v>0</v>
      </c>
      <c r="AH47" s="475">
        <f t="shared" si="99"/>
        <v>0</v>
      </c>
      <c r="AI47" s="475">
        <f t="shared" si="100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si="101"/>
        <v>0</v>
      </c>
      <c r="AU47" s="484">
        <f t="shared" si="10"/>
        <v>22680</v>
      </c>
      <c r="AV47" s="475">
        <f t="shared" si="11"/>
        <v>16038</v>
      </c>
      <c r="AW47" s="475">
        <f t="shared" si="102"/>
        <v>0</v>
      </c>
      <c r="AX47" s="475">
        <f t="shared" si="103"/>
        <v>5421</v>
      </c>
      <c r="AY47" s="475">
        <f t="shared" si="103"/>
        <v>321</v>
      </c>
      <c r="AZ47" s="475">
        <f t="shared" si="12"/>
        <v>900</v>
      </c>
      <c r="BA47" s="476">
        <f t="shared" si="13"/>
        <v>0.06</v>
      </c>
      <c r="BB47" s="476">
        <f t="shared" si="104"/>
        <v>0</v>
      </c>
      <c r="BC47" s="478">
        <f t="shared" si="104"/>
        <v>0.06</v>
      </c>
    </row>
    <row r="48" spans="1:55" ht="13.5" customHeight="1" x14ac:dyDescent="0.2">
      <c r="A48" s="162">
        <v>9</v>
      </c>
      <c r="B48" s="18">
        <v>3448</v>
      </c>
      <c r="C48" s="18">
        <v>600078299</v>
      </c>
      <c r="D48" s="18">
        <v>70695041</v>
      </c>
      <c r="E48" s="171" t="s">
        <v>138</v>
      </c>
      <c r="F48" s="18"/>
      <c r="G48" s="161"/>
      <c r="H48" s="195"/>
      <c r="I48" s="529">
        <v>5946520</v>
      </c>
      <c r="J48" s="526">
        <v>4275576</v>
      </c>
      <c r="K48" s="526">
        <v>23660</v>
      </c>
      <c r="L48" s="526">
        <v>1453142</v>
      </c>
      <c r="M48" s="526">
        <v>85512</v>
      </c>
      <c r="N48" s="526">
        <v>108630</v>
      </c>
      <c r="O48" s="527">
        <v>8.8647000000000009</v>
      </c>
      <c r="P48" s="527">
        <v>6.8505000000000003</v>
      </c>
      <c r="Q48" s="531">
        <v>2.0141999999999998</v>
      </c>
      <c r="R48" s="529">
        <f t="shared" ref="R48:BC48" si="105">SUM(R44:R47)</f>
        <v>0</v>
      </c>
      <c r="S48" s="526">
        <f t="shared" si="105"/>
        <v>0</v>
      </c>
      <c r="T48" s="526">
        <f t="shared" si="105"/>
        <v>0</v>
      </c>
      <c r="U48" s="526">
        <f t="shared" si="105"/>
        <v>0</v>
      </c>
      <c r="V48" s="526">
        <f t="shared" si="105"/>
        <v>0</v>
      </c>
      <c r="W48" s="526">
        <f t="shared" si="105"/>
        <v>0</v>
      </c>
      <c r="X48" s="526">
        <f t="shared" si="105"/>
        <v>0</v>
      </c>
      <c r="Y48" s="526">
        <f t="shared" si="105"/>
        <v>0</v>
      </c>
      <c r="Z48" s="526">
        <f t="shared" si="105"/>
        <v>0</v>
      </c>
      <c r="AA48" s="526">
        <f t="shared" si="105"/>
        <v>0</v>
      </c>
      <c r="AB48" s="526">
        <f t="shared" si="105"/>
        <v>0</v>
      </c>
      <c r="AC48" s="526">
        <f t="shared" si="105"/>
        <v>0</v>
      </c>
      <c r="AD48" s="526">
        <f t="shared" si="105"/>
        <v>0</v>
      </c>
      <c r="AE48" s="526">
        <f t="shared" si="105"/>
        <v>0</v>
      </c>
      <c r="AF48" s="526">
        <f t="shared" si="105"/>
        <v>0</v>
      </c>
      <c r="AG48" s="526">
        <f t="shared" si="105"/>
        <v>0</v>
      </c>
      <c r="AH48" s="526">
        <f t="shared" si="105"/>
        <v>0</v>
      </c>
      <c r="AI48" s="526">
        <f t="shared" si="105"/>
        <v>0</v>
      </c>
      <c r="AJ48" s="527">
        <f t="shared" si="105"/>
        <v>0</v>
      </c>
      <c r="AK48" s="527">
        <f t="shared" si="105"/>
        <v>0</v>
      </c>
      <c r="AL48" s="527">
        <f t="shared" si="105"/>
        <v>0</v>
      </c>
      <c r="AM48" s="527">
        <f t="shared" si="105"/>
        <v>0</v>
      </c>
      <c r="AN48" s="527">
        <f t="shared" si="105"/>
        <v>0</v>
      </c>
      <c r="AO48" s="527">
        <f t="shared" si="105"/>
        <v>0</v>
      </c>
      <c r="AP48" s="527">
        <f t="shared" si="105"/>
        <v>0</v>
      </c>
      <c r="AQ48" s="527">
        <f t="shared" si="105"/>
        <v>0</v>
      </c>
      <c r="AR48" s="527">
        <f t="shared" si="105"/>
        <v>0</v>
      </c>
      <c r="AS48" s="527">
        <f t="shared" si="105"/>
        <v>0</v>
      </c>
      <c r="AT48" s="40">
        <f t="shared" si="105"/>
        <v>0</v>
      </c>
      <c r="AU48" s="533">
        <f t="shared" si="105"/>
        <v>5946520</v>
      </c>
      <c r="AV48" s="526">
        <f t="shared" si="105"/>
        <v>4275576</v>
      </c>
      <c r="AW48" s="526">
        <f t="shared" si="105"/>
        <v>23660</v>
      </c>
      <c r="AX48" s="526">
        <f t="shared" si="105"/>
        <v>1453142</v>
      </c>
      <c r="AY48" s="526">
        <f t="shared" si="105"/>
        <v>85512</v>
      </c>
      <c r="AZ48" s="526">
        <f t="shared" si="105"/>
        <v>108630</v>
      </c>
      <c r="BA48" s="527">
        <f t="shared" si="105"/>
        <v>8.8647000000000009</v>
      </c>
      <c r="BB48" s="527">
        <f t="shared" si="105"/>
        <v>6.8505000000000003</v>
      </c>
      <c r="BC48" s="40">
        <f t="shared" si="105"/>
        <v>2.0141999999999998</v>
      </c>
    </row>
    <row r="49" spans="1:55" ht="13.5" customHeight="1" x14ac:dyDescent="0.2">
      <c r="A49" s="216">
        <v>10</v>
      </c>
      <c r="B49" s="217">
        <v>3402</v>
      </c>
      <c r="C49" s="217">
        <v>600078124</v>
      </c>
      <c r="D49" s="217">
        <v>70982643</v>
      </c>
      <c r="E49" s="215" t="s">
        <v>139</v>
      </c>
      <c r="F49" s="217">
        <v>3111</v>
      </c>
      <c r="G49" s="218" t="s">
        <v>311</v>
      </c>
      <c r="H49" s="219" t="s">
        <v>277</v>
      </c>
      <c r="I49" s="477">
        <v>5212086</v>
      </c>
      <c r="J49" s="472">
        <v>3812214</v>
      </c>
      <c r="K49" s="472">
        <v>0</v>
      </c>
      <c r="L49" s="472">
        <v>1288528</v>
      </c>
      <c r="M49" s="472">
        <v>76244</v>
      </c>
      <c r="N49" s="472">
        <v>35100</v>
      </c>
      <c r="O49" s="473">
        <v>8.2341999999999995</v>
      </c>
      <c r="P49" s="474">
        <v>6.1</v>
      </c>
      <c r="Q49" s="483">
        <v>2.1341999999999999</v>
      </c>
      <c r="R49" s="485">
        <f t="shared" ref="R49:R51" si="106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>SUM(R49:W49)</f>
        <v>0</v>
      </c>
      <c r="Y49" s="475">
        <v>0</v>
      </c>
      <c r="Z49" s="475">
        <v>0</v>
      </c>
      <c r="AA49" s="475">
        <v>0</v>
      </c>
      <c r="AB49" s="475">
        <f t="shared" ref="AB49:AB51" si="107">SUM(Y49:AA49)</f>
        <v>0</v>
      </c>
      <c r="AC49" s="475">
        <f t="shared" ref="AC49:AC51" si="108">X49+AB49</f>
        <v>0</v>
      </c>
      <c r="AD49" s="70">
        <f t="shared" ref="AD49:AD51" si="109">ROUND((X49+Y49+Z49)*33.8%,0)</f>
        <v>0</v>
      </c>
      <c r="AE49" s="70">
        <f t="shared" ref="AE49:AE51" si="110">ROUND(X49*2%,0)</f>
        <v>0</v>
      </c>
      <c r="AF49" s="475">
        <v>0</v>
      </c>
      <c r="AG49" s="475">
        <v>0</v>
      </c>
      <c r="AH49" s="475">
        <f t="shared" ref="AH49:AH51" si="111">SUM(AF49:AG49)</f>
        <v>0</v>
      </c>
      <c r="AI49" s="475">
        <f t="shared" ref="AI49:AI51" si="112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0</v>
      </c>
      <c r="AT49" s="478">
        <f t="shared" ref="AT49:AT51" si="113">SUM(AR49:AS49)</f>
        <v>0</v>
      </c>
      <c r="AU49" s="484">
        <f t="shared" si="10"/>
        <v>5212086</v>
      </c>
      <c r="AV49" s="475">
        <f t="shared" si="11"/>
        <v>3812214</v>
      </c>
      <c r="AW49" s="475">
        <f t="shared" ref="AW49:AW51" si="114">K49+AB49</f>
        <v>0</v>
      </c>
      <c r="AX49" s="475">
        <f t="shared" ref="AX49:AY51" si="115">L49+AD49</f>
        <v>1288528</v>
      </c>
      <c r="AY49" s="475">
        <f t="shared" si="115"/>
        <v>76244</v>
      </c>
      <c r="AZ49" s="475">
        <f t="shared" si="12"/>
        <v>35100</v>
      </c>
      <c r="BA49" s="476">
        <f t="shared" si="13"/>
        <v>8.2341999999999995</v>
      </c>
      <c r="BB49" s="476">
        <f t="shared" ref="BB49:BC51" si="116">P49+AR49</f>
        <v>6.1</v>
      </c>
      <c r="BC49" s="478">
        <f t="shared" si="116"/>
        <v>2.1341999999999999</v>
      </c>
    </row>
    <row r="50" spans="1:55" ht="13.5" customHeight="1" x14ac:dyDescent="0.2">
      <c r="A50" s="216">
        <v>10</v>
      </c>
      <c r="B50" s="217">
        <v>3402</v>
      </c>
      <c r="C50" s="217">
        <v>600078124</v>
      </c>
      <c r="D50" s="217">
        <v>70982643</v>
      </c>
      <c r="E50" s="215" t="s">
        <v>139</v>
      </c>
      <c r="F50" s="217">
        <v>3111</v>
      </c>
      <c r="G50" s="218" t="s">
        <v>312</v>
      </c>
      <c r="H50" s="219" t="s">
        <v>278</v>
      </c>
      <c r="I50" s="477">
        <v>917405</v>
      </c>
      <c r="J50" s="472">
        <v>675556</v>
      </c>
      <c r="K50" s="472">
        <v>0</v>
      </c>
      <c r="L50" s="472">
        <v>228338</v>
      </c>
      <c r="M50" s="472">
        <v>13511</v>
      </c>
      <c r="N50" s="472">
        <v>0</v>
      </c>
      <c r="O50" s="473">
        <v>2.09</v>
      </c>
      <c r="P50" s="474">
        <v>2.09</v>
      </c>
      <c r="Q50" s="483">
        <v>0</v>
      </c>
      <c r="R50" s="485">
        <f t="shared" si="106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>SUM(R50:W50)</f>
        <v>0</v>
      </c>
      <c r="Y50" s="475">
        <v>0</v>
      </c>
      <c r="Z50" s="475">
        <v>0</v>
      </c>
      <c r="AA50" s="475">
        <v>0</v>
      </c>
      <c r="AB50" s="475">
        <f t="shared" si="107"/>
        <v>0</v>
      </c>
      <c r="AC50" s="475">
        <f t="shared" si="108"/>
        <v>0</v>
      </c>
      <c r="AD50" s="70">
        <f t="shared" si="109"/>
        <v>0</v>
      </c>
      <c r="AE50" s="70">
        <f t="shared" si="110"/>
        <v>0</v>
      </c>
      <c r="AF50" s="475">
        <v>0</v>
      </c>
      <c r="AG50" s="475">
        <v>0</v>
      </c>
      <c r="AH50" s="475">
        <f t="shared" si="111"/>
        <v>0</v>
      </c>
      <c r="AI50" s="475">
        <f t="shared" si="112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</v>
      </c>
      <c r="AT50" s="478">
        <f t="shared" si="113"/>
        <v>0</v>
      </c>
      <c r="AU50" s="484">
        <f t="shared" si="10"/>
        <v>917405</v>
      </c>
      <c r="AV50" s="475">
        <f t="shared" si="11"/>
        <v>675556</v>
      </c>
      <c r="AW50" s="475">
        <f t="shared" si="114"/>
        <v>0</v>
      </c>
      <c r="AX50" s="475">
        <f t="shared" si="115"/>
        <v>228338</v>
      </c>
      <c r="AY50" s="475">
        <f t="shared" si="115"/>
        <v>13511</v>
      </c>
      <c r="AZ50" s="475">
        <f t="shared" si="12"/>
        <v>0</v>
      </c>
      <c r="BA50" s="476">
        <f t="shared" si="13"/>
        <v>2.09</v>
      </c>
      <c r="BB50" s="476">
        <f t="shared" si="116"/>
        <v>2.09</v>
      </c>
      <c r="BC50" s="478">
        <f t="shared" si="116"/>
        <v>0</v>
      </c>
    </row>
    <row r="51" spans="1:55" x14ac:dyDescent="0.2">
      <c r="A51" s="216">
        <v>10</v>
      </c>
      <c r="B51" s="217">
        <v>3402</v>
      </c>
      <c r="C51" s="217">
        <v>600078124</v>
      </c>
      <c r="D51" s="217">
        <v>70982643</v>
      </c>
      <c r="E51" s="215" t="s">
        <v>139</v>
      </c>
      <c r="F51" s="217">
        <v>3141</v>
      </c>
      <c r="G51" s="218" t="s">
        <v>315</v>
      </c>
      <c r="H51" s="219" t="s">
        <v>278</v>
      </c>
      <c r="I51" s="477">
        <v>2502043</v>
      </c>
      <c r="J51" s="472">
        <v>1830189</v>
      </c>
      <c r="K51" s="472">
        <v>0</v>
      </c>
      <c r="L51" s="472">
        <v>618604</v>
      </c>
      <c r="M51" s="472">
        <v>36604</v>
      </c>
      <c r="N51" s="472">
        <v>16646</v>
      </c>
      <c r="O51" s="473">
        <v>5.76</v>
      </c>
      <c r="P51" s="474">
        <v>0</v>
      </c>
      <c r="Q51" s="483">
        <v>5.76</v>
      </c>
      <c r="R51" s="485">
        <f t="shared" si="106"/>
        <v>0</v>
      </c>
      <c r="S51" s="475">
        <v>0</v>
      </c>
      <c r="T51" s="475">
        <v>-7926</v>
      </c>
      <c r="U51" s="475">
        <v>0</v>
      </c>
      <c r="V51" s="475">
        <v>0</v>
      </c>
      <c r="W51" s="475">
        <v>0</v>
      </c>
      <c r="X51" s="475">
        <f>SUM(R51:W51)</f>
        <v>-7926</v>
      </c>
      <c r="Y51" s="475">
        <v>0</v>
      </c>
      <c r="Z51" s="475">
        <v>0</v>
      </c>
      <c r="AA51" s="475">
        <v>0</v>
      </c>
      <c r="AB51" s="475">
        <f t="shared" si="107"/>
        <v>0</v>
      </c>
      <c r="AC51" s="475">
        <f t="shared" si="108"/>
        <v>-7926</v>
      </c>
      <c r="AD51" s="70">
        <f t="shared" si="109"/>
        <v>-2679</v>
      </c>
      <c r="AE51" s="70">
        <f t="shared" si="110"/>
        <v>-159</v>
      </c>
      <c r="AF51" s="475">
        <v>0</v>
      </c>
      <c r="AG51" s="475">
        <v>0</v>
      </c>
      <c r="AH51" s="475">
        <f t="shared" si="111"/>
        <v>0</v>
      </c>
      <c r="AI51" s="475">
        <f t="shared" si="112"/>
        <v>-10764</v>
      </c>
      <c r="AJ51" s="476">
        <v>0</v>
      </c>
      <c r="AK51" s="476">
        <v>0</v>
      </c>
      <c r="AL51" s="476">
        <v>0</v>
      </c>
      <c r="AM51" s="476">
        <v>0</v>
      </c>
      <c r="AN51" s="476">
        <v>-2.3E-2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-2.3E-2</v>
      </c>
      <c r="AT51" s="478">
        <f t="shared" si="113"/>
        <v>-2.3E-2</v>
      </c>
      <c r="AU51" s="484">
        <f t="shared" si="10"/>
        <v>2491279</v>
      </c>
      <c r="AV51" s="475">
        <f t="shared" si="11"/>
        <v>1822263</v>
      </c>
      <c r="AW51" s="475">
        <f t="shared" si="114"/>
        <v>0</v>
      </c>
      <c r="AX51" s="475">
        <f t="shared" si="115"/>
        <v>615925</v>
      </c>
      <c r="AY51" s="475">
        <f t="shared" si="115"/>
        <v>36445</v>
      </c>
      <c r="AZ51" s="475">
        <f t="shared" si="12"/>
        <v>16646</v>
      </c>
      <c r="BA51" s="476">
        <f t="shared" si="13"/>
        <v>5.7370000000000001</v>
      </c>
      <c r="BB51" s="476">
        <f t="shared" si="116"/>
        <v>0</v>
      </c>
      <c r="BC51" s="478">
        <f t="shared" si="116"/>
        <v>5.7370000000000001</v>
      </c>
    </row>
    <row r="52" spans="1:55" x14ac:dyDescent="0.2">
      <c r="A52" s="162">
        <v>10</v>
      </c>
      <c r="B52" s="18">
        <v>3402</v>
      </c>
      <c r="C52" s="18">
        <v>600078124</v>
      </c>
      <c r="D52" s="18">
        <v>70982643</v>
      </c>
      <c r="E52" s="171" t="s">
        <v>140</v>
      </c>
      <c r="F52" s="18"/>
      <c r="G52" s="161"/>
      <c r="H52" s="195"/>
      <c r="I52" s="529">
        <v>8631534</v>
      </c>
      <c r="J52" s="526">
        <v>6317959</v>
      </c>
      <c r="K52" s="526">
        <v>0</v>
      </c>
      <c r="L52" s="526">
        <v>2135470</v>
      </c>
      <c r="M52" s="526">
        <v>126359</v>
      </c>
      <c r="N52" s="526">
        <v>51746</v>
      </c>
      <c r="O52" s="527">
        <v>16.084199999999999</v>
      </c>
      <c r="P52" s="527">
        <v>8.19</v>
      </c>
      <c r="Q52" s="531">
        <v>7.8941999999999997</v>
      </c>
      <c r="R52" s="529">
        <f t="shared" ref="R52:BC52" si="117">SUM(R49:R51)</f>
        <v>0</v>
      </c>
      <c r="S52" s="526">
        <f t="shared" si="117"/>
        <v>0</v>
      </c>
      <c r="T52" s="526">
        <f t="shared" si="117"/>
        <v>-7926</v>
      </c>
      <c r="U52" s="526">
        <f t="shared" si="117"/>
        <v>0</v>
      </c>
      <c r="V52" s="526">
        <f t="shared" si="117"/>
        <v>0</v>
      </c>
      <c r="W52" s="526">
        <f t="shared" si="117"/>
        <v>0</v>
      </c>
      <c r="X52" s="526">
        <f t="shared" si="117"/>
        <v>-7926</v>
      </c>
      <c r="Y52" s="526">
        <f t="shared" si="117"/>
        <v>0</v>
      </c>
      <c r="Z52" s="526">
        <f t="shared" si="117"/>
        <v>0</v>
      </c>
      <c r="AA52" s="526">
        <f t="shared" si="117"/>
        <v>0</v>
      </c>
      <c r="AB52" s="526">
        <f t="shared" si="117"/>
        <v>0</v>
      </c>
      <c r="AC52" s="526">
        <f t="shared" si="117"/>
        <v>-7926</v>
      </c>
      <c r="AD52" s="526">
        <f t="shared" si="117"/>
        <v>-2679</v>
      </c>
      <c r="AE52" s="526">
        <f t="shared" si="117"/>
        <v>-159</v>
      </c>
      <c r="AF52" s="526">
        <f t="shared" si="117"/>
        <v>0</v>
      </c>
      <c r="AG52" s="526">
        <f t="shared" si="117"/>
        <v>0</v>
      </c>
      <c r="AH52" s="526">
        <f t="shared" si="117"/>
        <v>0</v>
      </c>
      <c r="AI52" s="526">
        <f t="shared" si="117"/>
        <v>-10764</v>
      </c>
      <c r="AJ52" s="527">
        <f t="shared" si="117"/>
        <v>0</v>
      </c>
      <c r="AK52" s="527">
        <f t="shared" si="117"/>
        <v>0</v>
      </c>
      <c r="AL52" s="527">
        <f t="shared" si="117"/>
        <v>0</v>
      </c>
      <c r="AM52" s="527">
        <f t="shared" si="117"/>
        <v>0</v>
      </c>
      <c r="AN52" s="527">
        <f t="shared" si="117"/>
        <v>-2.3E-2</v>
      </c>
      <c r="AO52" s="527">
        <f t="shared" si="117"/>
        <v>0</v>
      </c>
      <c r="AP52" s="527">
        <f t="shared" si="117"/>
        <v>0</v>
      </c>
      <c r="AQ52" s="527">
        <f t="shared" si="117"/>
        <v>0</v>
      </c>
      <c r="AR52" s="527">
        <f t="shared" si="117"/>
        <v>0</v>
      </c>
      <c r="AS52" s="527">
        <f t="shared" si="117"/>
        <v>-2.3E-2</v>
      </c>
      <c r="AT52" s="40">
        <f t="shared" si="117"/>
        <v>-2.3E-2</v>
      </c>
      <c r="AU52" s="533">
        <f t="shared" si="117"/>
        <v>8620770</v>
      </c>
      <c r="AV52" s="526">
        <f t="shared" si="117"/>
        <v>6310033</v>
      </c>
      <c r="AW52" s="526">
        <f t="shared" si="117"/>
        <v>0</v>
      </c>
      <c r="AX52" s="526">
        <f t="shared" si="117"/>
        <v>2132791</v>
      </c>
      <c r="AY52" s="526">
        <f t="shared" si="117"/>
        <v>126200</v>
      </c>
      <c r="AZ52" s="526">
        <f t="shared" si="117"/>
        <v>51746</v>
      </c>
      <c r="BA52" s="527">
        <f t="shared" si="117"/>
        <v>16.061199999999999</v>
      </c>
      <c r="BB52" s="527">
        <f t="shared" si="117"/>
        <v>8.19</v>
      </c>
      <c r="BC52" s="40">
        <f t="shared" si="117"/>
        <v>7.8712</v>
      </c>
    </row>
    <row r="53" spans="1:55" x14ac:dyDescent="0.2">
      <c r="A53" s="216">
        <v>11</v>
      </c>
      <c r="B53" s="217">
        <v>3429</v>
      </c>
      <c r="C53" s="217">
        <v>600078256</v>
      </c>
      <c r="D53" s="217">
        <v>43257151</v>
      </c>
      <c r="E53" s="215" t="s">
        <v>141</v>
      </c>
      <c r="F53" s="217">
        <v>3113</v>
      </c>
      <c r="G53" s="218" t="s">
        <v>314</v>
      </c>
      <c r="H53" s="219" t="s">
        <v>277</v>
      </c>
      <c r="I53" s="477">
        <v>16676010</v>
      </c>
      <c r="J53" s="472">
        <v>11843822</v>
      </c>
      <c r="K53" s="472">
        <v>200000</v>
      </c>
      <c r="L53" s="472">
        <v>4070812</v>
      </c>
      <c r="M53" s="472">
        <v>236876</v>
      </c>
      <c r="N53" s="472">
        <v>324500</v>
      </c>
      <c r="O53" s="473">
        <v>19.787400000000002</v>
      </c>
      <c r="P53" s="474">
        <v>15.5829</v>
      </c>
      <c r="Q53" s="483">
        <v>4.2045000000000003</v>
      </c>
      <c r="R53" s="485">
        <f t="shared" ref="R53:R56" si="118">Y53*-1</f>
        <v>0</v>
      </c>
      <c r="S53" s="475">
        <v>0</v>
      </c>
      <c r="T53" s="475">
        <v>0</v>
      </c>
      <c r="U53" s="475">
        <v>0</v>
      </c>
      <c r="V53" s="475">
        <v>-110456</v>
      </c>
      <c r="W53" s="475">
        <v>0</v>
      </c>
      <c r="X53" s="475">
        <f>SUM(R53:W53)</f>
        <v>-110456</v>
      </c>
      <c r="Y53" s="475">
        <v>0</v>
      </c>
      <c r="Z53" s="475">
        <v>0</v>
      </c>
      <c r="AA53" s="475">
        <v>0</v>
      </c>
      <c r="AB53" s="475">
        <f t="shared" ref="AB53:AB56" si="119">SUM(Y53:AA53)</f>
        <v>0</v>
      </c>
      <c r="AC53" s="475">
        <f t="shared" ref="AC53:AC56" si="120">X53+AB53</f>
        <v>-110456</v>
      </c>
      <c r="AD53" s="70">
        <f t="shared" ref="AD53:AD56" si="121">ROUND((X53+Y53+Z53)*33.8%,0)</f>
        <v>-37334</v>
      </c>
      <c r="AE53" s="70">
        <f t="shared" ref="AE53:AE56" si="122">ROUND(X53*2%,0)</f>
        <v>-2209</v>
      </c>
      <c r="AF53" s="475">
        <v>0</v>
      </c>
      <c r="AG53" s="475">
        <v>149999</v>
      </c>
      <c r="AH53" s="475">
        <f t="shared" ref="AH53:AH56" si="123">SUM(AF53:AG53)</f>
        <v>149999</v>
      </c>
      <c r="AI53" s="475">
        <f t="shared" ref="AI53:AI56" si="124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ref="AT53:AT56" si="125">SUM(AR53:AS53)</f>
        <v>0</v>
      </c>
      <c r="AU53" s="484">
        <f t="shared" si="10"/>
        <v>16676010</v>
      </c>
      <c r="AV53" s="475">
        <f t="shared" si="11"/>
        <v>11733366</v>
      </c>
      <c r="AW53" s="475">
        <f t="shared" ref="AW53:AW56" si="126">K53+AB53</f>
        <v>200000</v>
      </c>
      <c r="AX53" s="475">
        <f t="shared" ref="AX53:AY56" si="127">L53+AD53</f>
        <v>4033478</v>
      </c>
      <c r="AY53" s="475">
        <f t="shared" si="127"/>
        <v>234667</v>
      </c>
      <c r="AZ53" s="475">
        <f t="shared" si="12"/>
        <v>474499</v>
      </c>
      <c r="BA53" s="476">
        <f t="shared" si="13"/>
        <v>19.787400000000002</v>
      </c>
      <c r="BB53" s="476">
        <f t="shared" ref="BB53:BC56" si="128">P53+AR53</f>
        <v>15.5829</v>
      </c>
      <c r="BC53" s="478">
        <f t="shared" si="128"/>
        <v>4.2045000000000003</v>
      </c>
    </row>
    <row r="54" spans="1:55" x14ac:dyDescent="0.2">
      <c r="A54" s="216">
        <v>11</v>
      </c>
      <c r="B54" s="217">
        <v>3429</v>
      </c>
      <c r="C54" s="217">
        <v>600078256</v>
      </c>
      <c r="D54" s="217">
        <v>43257151</v>
      </c>
      <c r="E54" s="215" t="s">
        <v>141</v>
      </c>
      <c r="F54" s="217">
        <v>3113</v>
      </c>
      <c r="G54" s="218" t="s">
        <v>312</v>
      </c>
      <c r="H54" s="219" t="s">
        <v>278</v>
      </c>
      <c r="I54" s="477">
        <v>1533457</v>
      </c>
      <c r="J54" s="472">
        <v>1129202</v>
      </c>
      <c r="K54" s="472">
        <v>0</v>
      </c>
      <c r="L54" s="472">
        <v>381671</v>
      </c>
      <c r="M54" s="472">
        <v>22584</v>
      </c>
      <c r="N54" s="472">
        <v>0</v>
      </c>
      <c r="O54" s="473">
        <v>3.23</v>
      </c>
      <c r="P54" s="474">
        <v>3.23</v>
      </c>
      <c r="Q54" s="483">
        <v>0</v>
      </c>
      <c r="R54" s="485">
        <f t="shared" si="118"/>
        <v>0</v>
      </c>
      <c r="S54" s="475">
        <v>-57741</v>
      </c>
      <c r="T54" s="475">
        <v>0</v>
      </c>
      <c r="U54" s="475">
        <v>0</v>
      </c>
      <c r="V54" s="475">
        <v>0</v>
      </c>
      <c r="W54" s="475">
        <v>0</v>
      </c>
      <c r="X54" s="475">
        <f>SUM(R54:W54)</f>
        <v>-57741</v>
      </c>
      <c r="Y54" s="475">
        <v>0</v>
      </c>
      <c r="Z54" s="475">
        <v>0</v>
      </c>
      <c r="AA54" s="475">
        <v>0</v>
      </c>
      <c r="AB54" s="475">
        <f t="shared" si="119"/>
        <v>0</v>
      </c>
      <c r="AC54" s="475">
        <f t="shared" si="120"/>
        <v>-57741</v>
      </c>
      <c r="AD54" s="70">
        <f t="shared" si="121"/>
        <v>-19516</v>
      </c>
      <c r="AE54" s="70">
        <f t="shared" si="122"/>
        <v>-1155</v>
      </c>
      <c r="AF54" s="475">
        <v>0</v>
      </c>
      <c r="AG54" s="475">
        <v>0</v>
      </c>
      <c r="AH54" s="475">
        <f t="shared" si="123"/>
        <v>0</v>
      </c>
      <c r="AI54" s="475">
        <f t="shared" si="124"/>
        <v>-78412</v>
      </c>
      <c r="AJ54" s="476">
        <v>0</v>
      </c>
      <c r="AK54" s="476">
        <v>0</v>
      </c>
      <c r="AL54" s="476">
        <v>-0.17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-0.17</v>
      </c>
      <c r="AS54" s="476">
        <f>AK54+AN54+AQ54</f>
        <v>0</v>
      </c>
      <c r="AT54" s="478">
        <f t="shared" si="125"/>
        <v>-0.17</v>
      </c>
      <c r="AU54" s="484">
        <f t="shared" si="10"/>
        <v>1455045</v>
      </c>
      <c r="AV54" s="475">
        <f t="shared" si="11"/>
        <v>1071461</v>
      </c>
      <c r="AW54" s="475">
        <f t="shared" si="126"/>
        <v>0</v>
      </c>
      <c r="AX54" s="475">
        <f t="shared" si="127"/>
        <v>362155</v>
      </c>
      <c r="AY54" s="475">
        <f t="shared" si="127"/>
        <v>21429</v>
      </c>
      <c r="AZ54" s="475">
        <f t="shared" si="12"/>
        <v>0</v>
      </c>
      <c r="BA54" s="476">
        <f t="shared" si="13"/>
        <v>3.06</v>
      </c>
      <c r="BB54" s="476">
        <f t="shared" si="128"/>
        <v>3.06</v>
      </c>
      <c r="BC54" s="478">
        <f t="shared" si="128"/>
        <v>0</v>
      </c>
    </row>
    <row r="55" spans="1:55" s="3" customFormat="1" x14ac:dyDescent="0.2">
      <c r="A55" s="216">
        <v>11</v>
      </c>
      <c r="B55" s="217">
        <v>3429</v>
      </c>
      <c r="C55" s="217">
        <v>600078256</v>
      </c>
      <c r="D55" s="217">
        <v>43257151</v>
      </c>
      <c r="E55" s="215" t="s">
        <v>141</v>
      </c>
      <c r="F55" s="217">
        <v>3143</v>
      </c>
      <c r="G55" s="218" t="s">
        <v>626</v>
      </c>
      <c r="H55" s="239" t="s">
        <v>277</v>
      </c>
      <c r="I55" s="477">
        <v>1326238</v>
      </c>
      <c r="J55" s="472">
        <v>976612</v>
      </c>
      <c r="K55" s="472">
        <v>0</v>
      </c>
      <c r="L55" s="472">
        <v>330094</v>
      </c>
      <c r="M55" s="472">
        <v>19532</v>
      </c>
      <c r="N55" s="472">
        <v>0</v>
      </c>
      <c r="O55" s="473">
        <v>2.1349999999999998</v>
      </c>
      <c r="P55" s="474">
        <v>2.1349999999999998</v>
      </c>
      <c r="Q55" s="483">
        <v>0</v>
      </c>
      <c r="R55" s="485">
        <f t="shared" si="118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19"/>
        <v>0</v>
      </c>
      <c r="AC55" s="475">
        <f t="shared" si="120"/>
        <v>0</v>
      </c>
      <c r="AD55" s="70">
        <f t="shared" si="121"/>
        <v>0</v>
      </c>
      <c r="AE55" s="70">
        <f t="shared" si="122"/>
        <v>0</v>
      </c>
      <c r="AF55" s="475">
        <v>0</v>
      </c>
      <c r="AG55" s="475">
        <v>0</v>
      </c>
      <c r="AH55" s="475">
        <f t="shared" si="123"/>
        <v>0</v>
      </c>
      <c r="AI55" s="475">
        <f t="shared" si="124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25"/>
        <v>0</v>
      </c>
      <c r="AU55" s="484">
        <f t="shared" si="10"/>
        <v>1326238</v>
      </c>
      <c r="AV55" s="475">
        <f t="shared" si="11"/>
        <v>976612</v>
      </c>
      <c r="AW55" s="475">
        <f t="shared" si="126"/>
        <v>0</v>
      </c>
      <c r="AX55" s="475">
        <f t="shared" si="127"/>
        <v>330094</v>
      </c>
      <c r="AY55" s="475">
        <f t="shared" si="127"/>
        <v>19532</v>
      </c>
      <c r="AZ55" s="475">
        <f t="shared" si="12"/>
        <v>0</v>
      </c>
      <c r="BA55" s="476">
        <f t="shared" si="13"/>
        <v>2.1349999999999998</v>
      </c>
      <c r="BB55" s="476">
        <f t="shared" si="128"/>
        <v>2.1349999999999998</v>
      </c>
      <c r="BC55" s="478">
        <f t="shared" si="128"/>
        <v>0</v>
      </c>
    </row>
    <row r="56" spans="1:55" s="3" customFormat="1" x14ac:dyDescent="0.2">
      <c r="A56" s="216">
        <v>11</v>
      </c>
      <c r="B56" s="217">
        <v>3429</v>
      </c>
      <c r="C56" s="217">
        <v>600078256</v>
      </c>
      <c r="D56" s="217">
        <v>43257151</v>
      </c>
      <c r="E56" s="215" t="s">
        <v>141</v>
      </c>
      <c r="F56" s="217">
        <v>3143</v>
      </c>
      <c r="G56" s="218" t="s">
        <v>627</v>
      </c>
      <c r="H56" s="239" t="s">
        <v>278</v>
      </c>
      <c r="I56" s="477">
        <v>40824</v>
      </c>
      <c r="J56" s="472">
        <v>28869</v>
      </c>
      <c r="K56" s="472">
        <v>0</v>
      </c>
      <c r="L56" s="472">
        <v>9758</v>
      </c>
      <c r="M56" s="472">
        <v>577</v>
      </c>
      <c r="N56" s="472">
        <v>1620</v>
      </c>
      <c r="O56" s="473">
        <v>0.11</v>
      </c>
      <c r="P56" s="474">
        <v>0</v>
      </c>
      <c r="Q56" s="483">
        <v>0.11</v>
      </c>
      <c r="R56" s="485">
        <f t="shared" si="118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>SUM(R56:W56)</f>
        <v>0</v>
      </c>
      <c r="Y56" s="475">
        <v>0</v>
      </c>
      <c r="Z56" s="475">
        <v>0</v>
      </c>
      <c r="AA56" s="475">
        <v>0</v>
      </c>
      <c r="AB56" s="475">
        <f t="shared" si="119"/>
        <v>0</v>
      </c>
      <c r="AC56" s="475">
        <f t="shared" si="120"/>
        <v>0</v>
      </c>
      <c r="AD56" s="70">
        <f t="shared" si="121"/>
        <v>0</v>
      </c>
      <c r="AE56" s="70">
        <f t="shared" si="122"/>
        <v>0</v>
      </c>
      <c r="AF56" s="475">
        <v>0</v>
      </c>
      <c r="AG56" s="475">
        <v>0</v>
      </c>
      <c r="AH56" s="475">
        <f t="shared" si="123"/>
        <v>0</v>
      </c>
      <c r="AI56" s="475">
        <f t="shared" si="124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125"/>
        <v>0</v>
      </c>
      <c r="AU56" s="484">
        <f t="shared" si="10"/>
        <v>40824</v>
      </c>
      <c r="AV56" s="475">
        <f t="shared" si="11"/>
        <v>28869</v>
      </c>
      <c r="AW56" s="475">
        <f t="shared" si="126"/>
        <v>0</v>
      </c>
      <c r="AX56" s="475">
        <f t="shared" si="127"/>
        <v>9758</v>
      </c>
      <c r="AY56" s="475">
        <f t="shared" si="127"/>
        <v>577</v>
      </c>
      <c r="AZ56" s="475">
        <f t="shared" si="12"/>
        <v>1620</v>
      </c>
      <c r="BA56" s="476">
        <f t="shared" si="13"/>
        <v>0.11</v>
      </c>
      <c r="BB56" s="476">
        <f t="shared" si="128"/>
        <v>0</v>
      </c>
      <c r="BC56" s="478">
        <f t="shared" si="128"/>
        <v>0.11</v>
      </c>
    </row>
    <row r="57" spans="1:55" x14ac:dyDescent="0.2">
      <c r="A57" s="162">
        <v>11</v>
      </c>
      <c r="B57" s="18">
        <v>3429</v>
      </c>
      <c r="C57" s="18">
        <v>600078256</v>
      </c>
      <c r="D57" s="18">
        <v>43257151</v>
      </c>
      <c r="E57" s="171" t="s">
        <v>142</v>
      </c>
      <c r="F57" s="18"/>
      <c r="G57" s="161"/>
      <c r="H57" s="195"/>
      <c r="I57" s="529">
        <v>19576529</v>
      </c>
      <c r="J57" s="526">
        <v>13978505</v>
      </c>
      <c r="K57" s="526">
        <v>200000</v>
      </c>
      <c r="L57" s="526">
        <v>4792335</v>
      </c>
      <c r="M57" s="526">
        <v>279569</v>
      </c>
      <c r="N57" s="526">
        <v>326120</v>
      </c>
      <c r="O57" s="527">
        <v>25.2624</v>
      </c>
      <c r="P57" s="527">
        <v>20.947899999999997</v>
      </c>
      <c r="Q57" s="531">
        <v>4.3145000000000007</v>
      </c>
      <c r="R57" s="529">
        <f t="shared" ref="R57:BC57" si="129">SUM(R53:R56)</f>
        <v>0</v>
      </c>
      <c r="S57" s="526">
        <f t="shared" si="129"/>
        <v>-57741</v>
      </c>
      <c r="T57" s="526">
        <f t="shared" si="129"/>
        <v>0</v>
      </c>
      <c r="U57" s="526">
        <f t="shared" si="129"/>
        <v>0</v>
      </c>
      <c r="V57" s="526">
        <f t="shared" si="129"/>
        <v>-110456</v>
      </c>
      <c r="W57" s="526">
        <f t="shared" si="129"/>
        <v>0</v>
      </c>
      <c r="X57" s="526">
        <f t="shared" si="129"/>
        <v>-168197</v>
      </c>
      <c r="Y57" s="526">
        <f t="shared" si="129"/>
        <v>0</v>
      </c>
      <c r="Z57" s="526">
        <f t="shared" si="129"/>
        <v>0</v>
      </c>
      <c r="AA57" s="526">
        <f t="shared" si="129"/>
        <v>0</v>
      </c>
      <c r="AB57" s="526">
        <f t="shared" si="129"/>
        <v>0</v>
      </c>
      <c r="AC57" s="526">
        <f t="shared" si="129"/>
        <v>-168197</v>
      </c>
      <c r="AD57" s="526">
        <f t="shared" si="129"/>
        <v>-56850</v>
      </c>
      <c r="AE57" s="526">
        <f t="shared" si="129"/>
        <v>-3364</v>
      </c>
      <c r="AF57" s="526">
        <f t="shared" si="129"/>
        <v>0</v>
      </c>
      <c r="AG57" s="526">
        <f t="shared" si="129"/>
        <v>149999</v>
      </c>
      <c r="AH57" s="526">
        <f t="shared" si="129"/>
        <v>149999</v>
      </c>
      <c r="AI57" s="526">
        <f t="shared" si="129"/>
        <v>-78412</v>
      </c>
      <c r="AJ57" s="527">
        <f t="shared" si="129"/>
        <v>0</v>
      </c>
      <c r="AK57" s="527">
        <f t="shared" si="129"/>
        <v>0</v>
      </c>
      <c r="AL57" s="527">
        <f t="shared" si="129"/>
        <v>-0.17</v>
      </c>
      <c r="AM57" s="527">
        <f t="shared" si="129"/>
        <v>0</v>
      </c>
      <c r="AN57" s="527">
        <f t="shared" si="129"/>
        <v>0</v>
      </c>
      <c r="AO57" s="527">
        <f t="shared" si="129"/>
        <v>0</v>
      </c>
      <c r="AP57" s="527">
        <f t="shared" si="129"/>
        <v>0</v>
      </c>
      <c r="AQ57" s="527">
        <f t="shared" si="129"/>
        <v>0</v>
      </c>
      <c r="AR57" s="527">
        <f t="shared" si="129"/>
        <v>-0.17</v>
      </c>
      <c r="AS57" s="527">
        <f t="shared" si="129"/>
        <v>0</v>
      </c>
      <c r="AT57" s="40">
        <f t="shared" si="129"/>
        <v>-0.17</v>
      </c>
      <c r="AU57" s="533">
        <f t="shared" si="129"/>
        <v>19498117</v>
      </c>
      <c r="AV57" s="526">
        <f t="shared" si="129"/>
        <v>13810308</v>
      </c>
      <c r="AW57" s="526">
        <f t="shared" si="129"/>
        <v>200000</v>
      </c>
      <c r="AX57" s="526">
        <f t="shared" si="129"/>
        <v>4735485</v>
      </c>
      <c r="AY57" s="526">
        <f t="shared" si="129"/>
        <v>276205</v>
      </c>
      <c r="AZ57" s="526">
        <f t="shared" si="129"/>
        <v>476119</v>
      </c>
      <c r="BA57" s="527">
        <f t="shared" si="129"/>
        <v>25.092399999999998</v>
      </c>
      <c r="BB57" s="527">
        <f t="shared" si="129"/>
        <v>20.777900000000002</v>
      </c>
      <c r="BC57" s="40">
        <f t="shared" si="129"/>
        <v>4.3145000000000007</v>
      </c>
    </row>
    <row r="58" spans="1:55" x14ac:dyDescent="0.2">
      <c r="A58" s="216">
        <v>12</v>
      </c>
      <c r="B58" s="217">
        <v>3405</v>
      </c>
      <c r="C58" s="217">
        <v>600078337</v>
      </c>
      <c r="D58" s="217">
        <v>70698325</v>
      </c>
      <c r="E58" s="215" t="s">
        <v>143</v>
      </c>
      <c r="F58" s="217">
        <v>3111</v>
      </c>
      <c r="G58" s="218" t="s">
        <v>311</v>
      </c>
      <c r="H58" s="219" t="s">
        <v>277</v>
      </c>
      <c r="I58" s="477">
        <v>1529756</v>
      </c>
      <c r="J58" s="472">
        <v>1118856</v>
      </c>
      <c r="K58" s="472">
        <v>0</v>
      </c>
      <c r="L58" s="472">
        <v>378173</v>
      </c>
      <c r="M58" s="472">
        <v>22377</v>
      </c>
      <c r="N58" s="472">
        <v>10350</v>
      </c>
      <c r="O58" s="473">
        <v>2.4382999999999999</v>
      </c>
      <c r="P58" s="474">
        <v>1.9274</v>
      </c>
      <c r="Q58" s="483">
        <v>0.51090000000000002</v>
      </c>
      <c r="R58" s="485">
        <f t="shared" ref="R58:R63" si="130">Y58*-1</f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ref="X58:X63" si="131">SUM(R58:W58)</f>
        <v>0</v>
      </c>
      <c r="Y58" s="475">
        <v>0</v>
      </c>
      <c r="Z58" s="475">
        <v>0</v>
      </c>
      <c r="AA58" s="475">
        <v>0</v>
      </c>
      <c r="AB58" s="475">
        <f t="shared" ref="AB58:AB63" si="132">SUM(Y58:AA58)</f>
        <v>0</v>
      </c>
      <c r="AC58" s="475">
        <f t="shared" ref="AC58:AC63" si="133">X58+AB58</f>
        <v>0</v>
      </c>
      <c r="AD58" s="70">
        <f t="shared" ref="AD58:AD63" si="134">ROUND((X58+Y58+Z58)*33.8%,0)</f>
        <v>0</v>
      </c>
      <c r="AE58" s="70">
        <f t="shared" ref="AE58:AE63" si="135">ROUND(X58*2%,0)</f>
        <v>0</v>
      </c>
      <c r="AF58" s="475">
        <v>0</v>
      </c>
      <c r="AG58" s="475">
        <v>0</v>
      </c>
      <c r="AH58" s="475">
        <f t="shared" ref="AH58:AH63" si="136">SUM(AF58:AG58)</f>
        <v>0</v>
      </c>
      <c r="AI58" s="475">
        <f t="shared" ref="AI58:AI63" si="137">AC58+AD58+AE58+AH58</f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 t="shared" ref="AR58:AR63" si="138">AJ58+AL58+AM58+AO58+AP58</f>
        <v>0</v>
      </c>
      <c r="AS58" s="476">
        <f t="shared" ref="AS58:AS63" si="139">AK58+AN58+AQ58</f>
        <v>0</v>
      </c>
      <c r="AT58" s="478">
        <f t="shared" ref="AT58:AT63" si="140">SUM(AR58:AS58)</f>
        <v>0</v>
      </c>
      <c r="AU58" s="484">
        <f t="shared" si="10"/>
        <v>1529756</v>
      </c>
      <c r="AV58" s="475">
        <f t="shared" si="11"/>
        <v>1118856</v>
      </c>
      <c r="AW58" s="475">
        <f t="shared" ref="AW58:AW63" si="141">K58+AB58</f>
        <v>0</v>
      </c>
      <c r="AX58" s="475">
        <f t="shared" ref="AX58:AY63" si="142">L58+AD58</f>
        <v>378173</v>
      </c>
      <c r="AY58" s="475">
        <f t="shared" si="142"/>
        <v>22377</v>
      </c>
      <c r="AZ58" s="475">
        <f t="shared" si="12"/>
        <v>10350</v>
      </c>
      <c r="BA58" s="476">
        <f t="shared" si="13"/>
        <v>2.4382999999999999</v>
      </c>
      <c r="BB58" s="476">
        <f t="shared" ref="BB58:BC63" si="143">P58+AR58</f>
        <v>1.9274</v>
      </c>
      <c r="BC58" s="478">
        <f t="shared" si="143"/>
        <v>0.51090000000000002</v>
      </c>
    </row>
    <row r="59" spans="1:55" x14ac:dyDescent="0.2">
      <c r="A59" s="216">
        <v>12</v>
      </c>
      <c r="B59" s="217">
        <v>3405</v>
      </c>
      <c r="C59" s="217">
        <v>600078337</v>
      </c>
      <c r="D59" s="217">
        <v>70698325</v>
      </c>
      <c r="E59" s="215" t="s">
        <v>143</v>
      </c>
      <c r="F59" s="217">
        <v>3117</v>
      </c>
      <c r="G59" s="218" t="s">
        <v>314</v>
      </c>
      <c r="H59" s="219" t="s">
        <v>277</v>
      </c>
      <c r="I59" s="477">
        <v>2138300</v>
      </c>
      <c r="J59" s="472">
        <v>1545633</v>
      </c>
      <c r="K59" s="472">
        <v>0</v>
      </c>
      <c r="L59" s="472">
        <v>522424</v>
      </c>
      <c r="M59" s="472">
        <v>30913</v>
      </c>
      <c r="N59" s="472">
        <v>39330</v>
      </c>
      <c r="O59" s="473">
        <v>2.6459000000000001</v>
      </c>
      <c r="P59" s="474">
        <v>1.6818</v>
      </c>
      <c r="Q59" s="483">
        <v>0.96410000000000007</v>
      </c>
      <c r="R59" s="485">
        <f t="shared" si="130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31"/>
        <v>0</v>
      </c>
      <c r="Y59" s="475">
        <v>0</v>
      </c>
      <c r="Z59" s="475">
        <v>0</v>
      </c>
      <c r="AA59" s="475">
        <v>0</v>
      </c>
      <c r="AB59" s="475">
        <f t="shared" si="132"/>
        <v>0</v>
      </c>
      <c r="AC59" s="475">
        <f t="shared" si="133"/>
        <v>0</v>
      </c>
      <c r="AD59" s="70">
        <f t="shared" si="134"/>
        <v>0</v>
      </c>
      <c r="AE59" s="70">
        <f t="shared" si="135"/>
        <v>0</v>
      </c>
      <c r="AF59" s="475">
        <v>0</v>
      </c>
      <c r="AG59" s="475">
        <v>0</v>
      </c>
      <c r="AH59" s="475">
        <f t="shared" si="136"/>
        <v>0</v>
      </c>
      <c r="AI59" s="475">
        <f t="shared" si="137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38"/>
        <v>0</v>
      </c>
      <c r="AS59" s="476">
        <f t="shared" si="139"/>
        <v>0</v>
      </c>
      <c r="AT59" s="478">
        <f t="shared" si="140"/>
        <v>0</v>
      </c>
      <c r="AU59" s="484">
        <f t="shared" si="10"/>
        <v>2138300</v>
      </c>
      <c r="AV59" s="475">
        <f t="shared" si="11"/>
        <v>1545633</v>
      </c>
      <c r="AW59" s="475">
        <f t="shared" si="141"/>
        <v>0</v>
      </c>
      <c r="AX59" s="475">
        <f t="shared" si="142"/>
        <v>522424</v>
      </c>
      <c r="AY59" s="475">
        <f t="shared" si="142"/>
        <v>30913</v>
      </c>
      <c r="AZ59" s="475">
        <f t="shared" si="12"/>
        <v>39330</v>
      </c>
      <c r="BA59" s="476">
        <f t="shared" si="13"/>
        <v>2.6459000000000001</v>
      </c>
      <c r="BB59" s="476">
        <f t="shared" si="143"/>
        <v>1.6818</v>
      </c>
      <c r="BC59" s="478">
        <f t="shared" si="143"/>
        <v>0.96410000000000007</v>
      </c>
    </row>
    <row r="60" spans="1:55" x14ac:dyDescent="0.2">
      <c r="A60" s="216">
        <v>12</v>
      </c>
      <c r="B60" s="217">
        <v>3405</v>
      </c>
      <c r="C60" s="217">
        <v>600078337</v>
      </c>
      <c r="D60" s="217">
        <v>70698325</v>
      </c>
      <c r="E60" s="215" t="s">
        <v>143</v>
      </c>
      <c r="F60" s="217">
        <v>3117</v>
      </c>
      <c r="G60" s="218" t="s">
        <v>312</v>
      </c>
      <c r="H60" s="219" t="s">
        <v>278</v>
      </c>
      <c r="I60" s="477">
        <v>413841</v>
      </c>
      <c r="J60" s="472">
        <v>304743</v>
      </c>
      <c r="K60" s="472">
        <v>0</v>
      </c>
      <c r="L60" s="472">
        <v>103003</v>
      </c>
      <c r="M60" s="472">
        <v>6095</v>
      </c>
      <c r="N60" s="472">
        <v>0</v>
      </c>
      <c r="O60" s="473">
        <v>0.88</v>
      </c>
      <c r="P60" s="474">
        <v>0.88</v>
      </c>
      <c r="Q60" s="483">
        <v>0</v>
      </c>
      <c r="R60" s="485">
        <f t="shared" si="130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31"/>
        <v>0</v>
      </c>
      <c r="Y60" s="475">
        <v>0</v>
      </c>
      <c r="Z60" s="475">
        <v>0</v>
      </c>
      <c r="AA60" s="475">
        <v>0</v>
      </c>
      <c r="AB60" s="475">
        <f t="shared" si="132"/>
        <v>0</v>
      </c>
      <c r="AC60" s="475">
        <f t="shared" si="133"/>
        <v>0</v>
      </c>
      <c r="AD60" s="70">
        <f t="shared" si="134"/>
        <v>0</v>
      </c>
      <c r="AE60" s="70">
        <f t="shared" si="135"/>
        <v>0</v>
      </c>
      <c r="AF60" s="475">
        <v>0</v>
      </c>
      <c r="AG60" s="475">
        <v>0</v>
      </c>
      <c r="AH60" s="475">
        <f t="shared" si="136"/>
        <v>0</v>
      </c>
      <c r="AI60" s="475">
        <f t="shared" si="137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38"/>
        <v>0</v>
      </c>
      <c r="AS60" s="476">
        <f t="shared" si="139"/>
        <v>0</v>
      </c>
      <c r="AT60" s="478">
        <f t="shared" si="140"/>
        <v>0</v>
      </c>
      <c r="AU60" s="484">
        <f t="shared" si="10"/>
        <v>413841</v>
      </c>
      <c r="AV60" s="475">
        <f t="shared" si="11"/>
        <v>304743</v>
      </c>
      <c r="AW60" s="475">
        <f t="shared" si="141"/>
        <v>0</v>
      </c>
      <c r="AX60" s="475">
        <f t="shared" si="142"/>
        <v>103003</v>
      </c>
      <c r="AY60" s="475">
        <f t="shared" si="142"/>
        <v>6095</v>
      </c>
      <c r="AZ60" s="475">
        <f t="shared" si="12"/>
        <v>0</v>
      </c>
      <c r="BA60" s="476">
        <f t="shared" si="13"/>
        <v>0.88</v>
      </c>
      <c r="BB60" s="476">
        <f t="shared" si="143"/>
        <v>0.88</v>
      </c>
      <c r="BC60" s="478">
        <f t="shared" si="143"/>
        <v>0</v>
      </c>
    </row>
    <row r="61" spans="1:55" x14ac:dyDescent="0.2">
      <c r="A61" s="216">
        <v>12</v>
      </c>
      <c r="B61" s="217">
        <v>3405</v>
      </c>
      <c r="C61" s="217">
        <v>600078337</v>
      </c>
      <c r="D61" s="217">
        <v>70698325</v>
      </c>
      <c r="E61" s="215" t="s">
        <v>143</v>
      </c>
      <c r="F61" s="217">
        <v>3141</v>
      </c>
      <c r="G61" s="218" t="s">
        <v>315</v>
      </c>
      <c r="H61" s="219" t="s">
        <v>278</v>
      </c>
      <c r="I61" s="477">
        <v>658050</v>
      </c>
      <c r="J61" s="472">
        <v>482651</v>
      </c>
      <c r="K61" s="472">
        <v>0</v>
      </c>
      <c r="L61" s="472">
        <v>163136</v>
      </c>
      <c r="M61" s="472">
        <v>9653</v>
      </c>
      <c r="N61" s="472">
        <v>2610</v>
      </c>
      <c r="O61" s="473">
        <v>1.52</v>
      </c>
      <c r="P61" s="474">
        <v>0</v>
      </c>
      <c r="Q61" s="483">
        <v>1.52</v>
      </c>
      <c r="R61" s="485">
        <f t="shared" si="130"/>
        <v>0</v>
      </c>
      <c r="S61" s="475">
        <v>0</v>
      </c>
      <c r="T61" s="475">
        <v>-4021</v>
      </c>
      <c r="U61" s="475">
        <v>0</v>
      </c>
      <c r="V61" s="475">
        <v>0</v>
      </c>
      <c r="W61" s="475">
        <v>0</v>
      </c>
      <c r="X61" s="475">
        <f t="shared" si="131"/>
        <v>-4021</v>
      </c>
      <c r="Y61" s="475">
        <v>0</v>
      </c>
      <c r="Z61" s="475">
        <v>0</v>
      </c>
      <c r="AA61" s="475">
        <v>0</v>
      </c>
      <c r="AB61" s="475">
        <f t="shared" si="132"/>
        <v>0</v>
      </c>
      <c r="AC61" s="475">
        <f t="shared" si="133"/>
        <v>-4021</v>
      </c>
      <c r="AD61" s="70">
        <f t="shared" si="134"/>
        <v>-1359</v>
      </c>
      <c r="AE61" s="70">
        <f t="shared" si="135"/>
        <v>-80</v>
      </c>
      <c r="AF61" s="475">
        <v>0</v>
      </c>
      <c r="AG61" s="475">
        <v>0</v>
      </c>
      <c r="AH61" s="475">
        <f t="shared" si="136"/>
        <v>0</v>
      </c>
      <c r="AI61" s="475">
        <f t="shared" si="137"/>
        <v>-5460</v>
      </c>
      <c r="AJ61" s="476">
        <v>0</v>
      </c>
      <c r="AK61" s="476">
        <v>0</v>
      </c>
      <c r="AL61" s="476">
        <v>0</v>
      </c>
      <c r="AM61" s="476">
        <v>0</v>
      </c>
      <c r="AN61" s="476">
        <v>-0.02</v>
      </c>
      <c r="AO61" s="476">
        <v>0</v>
      </c>
      <c r="AP61" s="476">
        <v>0</v>
      </c>
      <c r="AQ61" s="476">
        <v>0</v>
      </c>
      <c r="AR61" s="476">
        <f t="shared" si="138"/>
        <v>0</v>
      </c>
      <c r="AS61" s="476">
        <f t="shared" si="139"/>
        <v>-0.02</v>
      </c>
      <c r="AT61" s="478">
        <f t="shared" si="140"/>
        <v>-0.02</v>
      </c>
      <c r="AU61" s="484">
        <f t="shared" si="10"/>
        <v>652590</v>
      </c>
      <c r="AV61" s="475">
        <f t="shared" si="11"/>
        <v>478630</v>
      </c>
      <c r="AW61" s="475">
        <f t="shared" si="141"/>
        <v>0</v>
      </c>
      <c r="AX61" s="475">
        <f t="shared" si="142"/>
        <v>161777</v>
      </c>
      <c r="AY61" s="475">
        <f t="shared" si="142"/>
        <v>9573</v>
      </c>
      <c r="AZ61" s="475">
        <f t="shared" si="12"/>
        <v>2610</v>
      </c>
      <c r="BA61" s="476">
        <f t="shared" si="13"/>
        <v>1.5</v>
      </c>
      <c r="BB61" s="476">
        <f t="shared" si="143"/>
        <v>0</v>
      </c>
      <c r="BC61" s="478">
        <f t="shared" si="143"/>
        <v>1.5</v>
      </c>
    </row>
    <row r="62" spans="1:55" x14ac:dyDescent="0.2">
      <c r="A62" s="216">
        <v>12</v>
      </c>
      <c r="B62" s="217">
        <v>3405</v>
      </c>
      <c r="C62" s="217">
        <v>600078337</v>
      </c>
      <c r="D62" s="217">
        <v>70698325</v>
      </c>
      <c r="E62" s="215" t="s">
        <v>143</v>
      </c>
      <c r="F62" s="217">
        <v>3143</v>
      </c>
      <c r="G62" s="218" t="s">
        <v>626</v>
      </c>
      <c r="H62" s="239" t="s">
        <v>277</v>
      </c>
      <c r="I62" s="477">
        <v>263773</v>
      </c>
      <c r="J62" s="472">
        <v>194236</v>
      </c>
      <c r="K62" s="472">
        <v>0</v>
      </c>
      <c r="L62" s="472">
        <v>65652</v>
      </c>
      <c r="M62" s="472">
        <v>3885</v>
      </c>
      <c r="N62" s="472">
        <v>0</v>
      </c>
      <c r="O62" s="473">
        <v>0.43330000000000002</v>
      </c>
      <c r="P62" s="474">
        <v>0.43330000000000002</v>
      </c>
      <c r="Q62" s="483">
        <v>0</v>
      </c>
      <c r="R62" s="485">
        <f t="shared" si="130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31"/>
        <v>0</v>
      </c>
      <c r="Y62" s="475">
        <v>0</v>
      </c>
      <c r="Z62" s="475">
        <v>0</v>
      </c>
      <c r="AA62" s="475">
        <v>0</v>
      </c>
      <c r="AB62" s="475">
        <f t="shared" si="132"/>
        <v>0</v>
      </c>
      <c r="AC62" s="475">
        <f t="shared" si="133"/>
        <v>0</v>
      </c>
      <c r="AD62" s="70">
        <f t="shared" si="134"/>
        <v>0</v>
      </c>
      <c r="AE62" s="70">
        <f t="shared" si="135"/>
        <v>0</v>
      </c>
      <c r="AF62" s="475">
        <v>0</v>
      </c>
      <c r="AG62" s="475">
        <v>0</v>
      </c>
      <c r="AH62" s="475">
        <f t="shared" si="136"/>
        <v>0</v>
      </c>
      <c r="AI62" s="475">
        <f t="shared" si="137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38"/>
        <v>0</v>
      </c>
      <c r="AS62" s="476">
        <f t="shared" si="139"/>
        <v>0</v>
      </c>
      <c r="AT62" s="478">
        <f t="shared" si="140"/>
        <v>0</v>
      </c>
      <c r="AU62" s="484">
        <f t="shared" si="10"/>
        <v>263773</v>
      </c>
      <c r="AV62" s="475">
        <f t="shared" si="11"/>
        <v>194236</v>
      </c>
      <c r="AW62" s="475">
        <f t="shared" si="141"/>
        <v>0</v>
      </c>
      <c r="AX62" s="475">
        <f t="shared" si="142"/>
        <v>65652</v>
      </c>
      <c r="AY62" s="475">
        <f t="shared" si="142"/>
        <v>3885</v>
      </c>
      <c r="AZ62" s="475">
        <f t="shared" si="12"/>
        <v>0</v>
      </c>
      <c r="BA62" s="476">
        <f t="shared" si="13"/>
        <v>0.43330000000000002</v>
      </c>
      <c r="BB62" s="476">
        <f t="shared" si="143"/>
        <v>0.43330000000000002</v>
      </c>
      <c r="BC62" s="478">
        <f t="shared" si="143"/>
        <v>0</v>
      </c>
    </row>
    <row r="63" spans="1:55" x14ac:dyDescent="0.2">
      <c r="A63" s="216">
        <v>12</v>
      </c>
      <c r="B63" s="217">
        <v>3405</v>
      </c>
      <c r="C63" s="217">
        <v>600078337</v>
      </c>
      <c r="D63" s="217">
        <v>70698325</v>
      </c>
      <c r="E63" s="215" t="s">
        <v>143</v>
      </c>
      <c r="F63" s="217">
        <v>3143</v>
      </c>
      <c r="G63" s="218" t="s">
        <v>627</v>
      </c>
      <c r="H63" s="239" t="s">
        <v>278</v>
      </c>
      <c r="I63" s="477">
        <v>11339</v>
      </c>
      <c r="J63" s="472">
        <v>8019</v>
      </c>
      <c r="K63" s="472">
        <v>0</v>
      </c>
      <c r="L63" s="472">
        <v>2710</v>
      </c>
      <c r="M63" s="472">
        <v>160</v>
      </c>
      <c r="N63" s="472">
        <v>450</v>
      </c>
      <c r="O63" s="473">
        <v>0.03</v>
      </c>
      <c r="P63" s="474">
        <v>0</v>
      </c>
      <c r="Q63" s="483">
        <v>0.03</v>
      </c>
      <c r="R63" s="485">
        <f t="shared" si="130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31"/>
        <v>0</v>
      </c>
      <c r="Y63" s="475">
        <v>0</v>
      </c>
      <c r="Z63" s="475">
        <v>0</v>
      </c>
      <c r="AA63" s="475">
        <v>0</v>
      </c>
      <c r="AB63" s="475">
        <f t="shared" si="132"/>
        <v>0</v>
      </c>
      <c r="AC63" s="475">
        <f t="shared" si="133"/>
        <v>0</v>
      </c>
      <c r="AD63" s="70">
        <f t="shared" si="134"/>
        <v>0</v>
      </c>
      <c r="AE63" s="70">
        <f t="shared" si="135"/>
        <v>0</v>
      </c>
      <c r="AF63" s="475">
        <v>0</v>
      </c>
      <c r="AG63" s="475">
        <v>0</v>
      </c>
      <c r="AH63" s="475">
        <f t="shared" si="136"/>
        <v>0</v>
      </c>
      <c r="AI63" s="475">
        <f t="shared" si="137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 t="shared" si="138"/>
        <v>0</v>
      </c>
      <c r="AS63" s="476">
        <f t="shared" si="139"/>
        <v>0</v>
      </c>
      <c r="AT63" s="478">
        <f t="shared" si="140"/>
        <v>0</v>
      </c>
      <c r="AU63" s="484">
        <f t="shared" si="10"/>
        <v>11339</v>
      </c>
      <c r="AV63" s="475">
        <f t="shared" si="11"/>
        <v>8019</v>
      </c>
      <c r="AW63" s="475">
        <f t="shared" si="141"/>
        <v>0</v>
      </c>
      <c r="AX63" s="475">
        <f t="shared" si="142"/>
        <v>2710</v>
      </c>
      <c r="AY63" s="475">
        <f t="shared" si="142"/>
        <v>160</v>
      </c>
      <c r="AZ63" s="475">
        <f t="shared" si="12"/>
        <v>450</v>
      </c>
      <c r="BA63" s="476">
        <f t="shared" si="13"/>
        <v>0.03</v>
      </c>
      <c r="BB63" s="476">
        <f t="shared" si="143"/>
        <v>0</v>
      </c>
      <c r="BC63" s="478">
        <f t="shared" si="143"/>
        <v>0.03</v>
      </c>
    </row>
    <row r="64" spans="1:55" x14ac:dyDescent="0.2">
      <c r="A64" s="162">
        <v>12</v>
      </c>
      <c r="B64" s="18">
        <v>3405</v>
      </c>
      <c r="C64" s="18">
        <v>600078337</v>
      </c>
      <c r="D64" s="18">
        <v>70698325</v>
      </c>
      <c r="E64" s="171" t="s">
        <v>144</v>
      </c>
      <c r="F64" s="18"/>
      <c r="G64" s="161"/>
      <c r="H64" s="195"/>
      <c r="I64" s="529">
        <v>5015059</v>
      </c>
      <c r="J64" s="526">
        <v>3654138</v>
      </c>
      <c r="K64" s="526">
        <v>0</v>
      </c>
      <c r="L64" s="526">
        <v>1235098</v>
      </c>
      <c r="M64" s="526">
        <v>73083</v>
      </c>
      <c r="N64" s="526">
        <v>52740</v>
      </c>
      <c r="O64" s="527">
        <v>7.9474999999999998</v>
      </c>
      <c r="P64" s="527">
        <v>4.9225000000000003</v>
      </c>
      <c r="Q64" s="531">
        <v>3.0249999999999999</v>
      </c>
      <c r="R64" s="529">
        <f t="shared" ref="R64:BC64" si="144">SUM(R58:R63)</f>
        <v>0</v>
      </c>
      <c r="S64" s="526">
        <f t="shared" si="144"/>
        <v>0</v>
      </c>
      <c r="T64" s="526">
        <f t="shared" si="144"/>
        <v>-4021</v>
      </c>
      <c r="U64" s="526">
        <f t="shared" si="144"/>
        <v>0</v>
      </c>
      <c r="V64" s="526">
        <f t="shared" si="144"/>
        <v>0</v>
      </c>
      <c r="W64" s="526">
        <f t="shared" si="144"/>
        <v>0</v>
      </c>
      <c r="X64" s="526">
        <f t="shared" si="144"/>
        <v>-4021</v>
      </c>
      <c r="Y64" s="526">
        <f t="shared" si="144"/>
        <v>0</v>
      </c>
      <c r="Z64" s="526">
        <f t="shared" si="144"/>
        <v>0</v>
      </c>
      <c r="AA64" s="526">
        <f t="shared" si="144"/>
        <v>0</v>
      </c>
      <c r="AB64" s="526">
        <f t="shared" si="144"/>
        <v>0</v>
      </c>
      <c r="AC64" s="526">
        <f t="shared" si="144"/>
        <v>-4021</v>
      </c>
      <c r="AD64" s="526">
        <f t="shared" si="144"/>
        <v>-1359</v>
      </c>
      <c r="AE64" s="526">
        <f t="shared" si="144"/>
        <v>-80</v>
      </c>
      <c r="AF64" s="526">
        <f t="shared" si="144"/>
        <v>0</v>
      </c>
      <c r="AG64" s="526">
        <f t="shared" si="144"/>
        <v>0</v>
      </c>
      <c r="AH64" s="526">
        <f t="shared" si="144"/>
        <v>0</v>
      </c>
      <c r="AI64" s="526">
        <f t="shared" si="144"/>
        <v>-5460</v>
      </c>
      <c r="AJ64" s="527">
        <f t="shared" si="144"/>
        <v>0</v>
      </c>
      <c r="AK64" s="527">
        <f t="shared" si="144"/>
        <v>0</v>
      </c>
      <c r="AL64" s="527">
        <f t="shared" si="144"/>
        <v>0</v>
      </c>
      <c r="AM64" s="527">
        <f t="shared" si="144"/>
        <v>0</v>
      </c>
      <c r="AN64" s="527">
        <f t="shared" si="144"/>
        <v>-0.02</v>
      </c>
      <c r="AO64" s="527">
        <f t="shared" si="144"/>
        <v>0</v>
      </c>
      <c r="AP64" s="527">
        <f t="shared" si="144"/>
        <v>0</v>
      </c>
      <c r="AQ64" s="527">
        <f t="shared" si="144"/>
        <v>0</v>
      </c>
      <c r="AR64" s="527">
        <f t="shared" si="144"/>
        <v>0</v>
      </c>
      <c r="AS64" s="527">
        <f t="shared" si="144"/>
        <v>-0.02</v>
      </c>
      <c r="AT64" s="40">
        <f t="shared" si="144"/>
        <v>-0.02</v>
      </c>
      <c r="AU64" s="533">
        <f t="shared" si="144"/>
        <v>5009599</v>
      </c>
      <c r="AV64" s="526">
        <f t="shared" si="144"/>
        <v>3650117</v>
      </c>
      <c r="AW64" s="526">
        <f t="shared" si="144"/>
        <v>0</v>
      </c>
      <c r="AX64" s="526">
        <f t="shared" si="144"/>
        <v>1233739</v>
      </c>
      <c r="AY64" s="526">
        <f t="shared" si="144"/>
        <v>73003</v>
      </c>
      <c r="AZ64" s="526">
        <f t="shared" si="144"/>
        <v>52740</v>
      </c>
      <c r="BA64" s="527">
        <f t="shared" si="144"/>
        <v>7.9275000000000002</v>
      </c>
      <c r="BB64" s="527">
        <f t="shared" si="144"/>
        <v>4.9225000000000003</v>
      </c>
      <c r="BC64" s="40">
        <f t="shared" si="144"/>
        <v>3.0049999999999999</v>
      </c>
    </row>
    <row r="65" spans="1:55" x14ac:dyDescent="0.2">
      <c r="A65" s="216">
        <v>13</v>
      </c>
      <c r="B65" s="217">
        <v>3444</v>
      </c>
      <c r="C65" s="217">
        <v>600078086</v>
      </c>
      <c r="D65" s="217">
        <v>16389573</v>
      </c>
      <c r="E65" s="215" t="s">
        <v>145</v>
      </c>
      <c r="F65" s="217">
        <v>3111</v>
      </c>
      <c r="G65" s="218" t="s">
        <v>311</v>
      </c>
      <c r="H65" s="219" t="s">
        <v>277</v>
      </c>
      <c r="I65" s="477">
        <v>3536511</v>
      </c>
      <c r="J65" s="472">
        <v>2566938</v>
      </c>
      <c r="K65" s="472">
        <v>20000</v>
      </c>
      <c r="L65" s="472">
        <v>874385</v>
      </c>
      <c r="M65" s="472">
        <v>51338</v>
      </c>
      <c r="N65" s="472">
        <v>23850</v>
      </c>
      <c r="O65" s="473">
        <v>5.4298000000000002</v>
      </c>
      <c r="P65" s="474">
        <v>4</v>
      </c>
      <c r="Q65" s="483">
        <v>1.4298</v>
      </c>
      <c r="R65" s="485">
        <f t="shared" ref="R65:R66" si="145">Y65*-1</f>
        <v>0</v>
      </c>
      <c r="S65" s="475">
        <v>0</v>
      </c>
      <c r="T65" s="475">
        <v>0</v>
      </c>
      <c r="U65" s="475">
        <v>0</v>
      </c>
      <c r="V65" s="475">
        <v>-22091</v>
      </c>
      <c r="W65" s="475">
        <v>0</v>
      </c>
      <c r="X65" s="475">
        <f>SUM(R65:W65)</f>
        <v>-22091</v>
      </c>
      <c r="Y65" s="475">
        <v>0</v>
      </c>
      <c r="Z65" s="475">
        <v>0</v>
      </c>
      <c r="AA65" s="475">
        <v>0</v>
      </c>
      <c r="AB65" s="475">
        <f t="shared" ref="AB65:AB66" si="146">SUM(Y65:AA65)</f>
        <v>0</v>
      </c>
      <c r="AC65" s="475">
        <f t="shared" ref="AC65:AC66" si="147">X65+AB65</f>
        <v>-22091</v>
      </c>
      <c r="AD65" s="70">
        <f t="shared" ref="AD65:AD66" si="148">ROUND((X65+Y65+Z65)*33.8%,0)</f>
        <v>-7467</v>
      </c>
      <c r="AE65" s="70">
        <f t="shared" ref="AE65:AE66" si="149">ROUND(X65*2%,0)</f>
        <v>-442</v>
      </c>
      <c r="AF65" s="475">
        <v>0</v>
      </c>
      <c r="AG65" s="475">
        <v>30000</v>
      </c>
      <c r="AH65" s="475">
        <f t="shared" ref="AH65:AH66" si="150">SUM(AF65:AG65)</f>
        <v>30000</v>
      </c>
      <c r="AI65" s="475">
        <f t="shared" ref="AI65:AI66" si="151">AC65+AD65+AE65+AH65</f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>AJ65+AL65+AM65+AO65+AP65</f>
        <v>0</v>
      </c>
      <c r="AS65" s="476">
        <f>AK65+AN65+AQ65</f>
        <v>0</v>
      </c>
      <c r="AT65" s="478">
        <f t="shared" ref="AT65:AT66" si="152">SUM(AR65:AS65)</f>
        <v>0</v>
      </c>
      <c r="AU65" s="484">
        <f t="shared" si="10"/>
        <v>3536511</v>
      </c>
      <c r="AV65" s="475">
        <f t="shared" si="11"/>
        <v>2544847</v>
      </c>
      <c r="AW65" s="475">
        <f t="shared" ref="AW65:AW66" si="153">K65+AB65</f>
        <v>20000</v>
      </c>
      <c r="AX65" s="475">
        <f>L65+AD65</f>
        <v>866918</v>
      </c>
      <c r="AY65" s="475">
        <f>M65+AE65</f>
        <v>50896</v>
      </c>
      <c r="AZ65" s="475">
        <f t="shared" si="12"/>
        <v>53850</v>
      </c>
      <c r="BA65" s="476">
        <f t="shared" si="13"/>
        <v>5.4298000000000002</v>
      </c>
      <c r="BB65" s="476">
        <f>P65+AR65</f>
        <v>4</v>
      </c>
      <c r="BC65" s="478">
        <f>Q65+AS65</f>
        <v>1.4298</v>
      </c>
    </row>
    <row r="66" spans="1:55" x14ac:dyDescent="0.2">
      <c r="A66" s="216">
        <v>13</v>
      </c>
      <c r="B66" s="217">
        <v>3444</v>
      </c>
      <c r="C66" s="217">
        <v>600078086</v>
      </c>
      <c r="D66" s="217">
        <v>16389573</v>
      </c>
      <c r="E66" s="215" t="s">
        <v>145</v>
      </c>
      <c r="F66" s="217">
        <v>3141</v>
      </c>
      <c r="G66" s="218" t="s">
        <v>315</v>
      </c>
      <c r="H66" s="219" t="s">
        <v>278</v>
      </c>
      <c r="I66" s="477">
        <v>715370</v>
      </c>
      <c r="J66" s="472">
        <v>514667</v>
      </c>
      <c r="K66" s="472">
        <v>10000</v>
      </c>
      <c r="L66" s="472">
        <v>177337</v>
      </c>
      <c r="M66" s="472">
        <v>10292</v>
      </c>
      <c r="N66" s="472">
        <v>3074</v>
      </c>
      <c r="O66" s="473">
        <v>1.65</v>
      </c>
      <c r="P66" s="474">
        <v>0</v>
      </c>
      <c r="Q66" s="483">
        <v>1.65</v>
      </c>
      <c r="R66" s="485">
        <f t="shared" si="145"/>
        <v>0</v>
      </c>
      <c r="S66" s="475">
        <v>0</v>
      </c>
      <c r="T66" s="475">
        <v>-2247</v>
      </c>
      <c r="U66" s="475">
        <v>0</v>
      </c>
      <c r="V66" s="475">
        <v>0</v>
      </c>
      <c r="W66" s="475">
        <v>0</v>
      </c>
      <c r="X66" s="475">
        <f>SUM(R66:W66)</f>
        <v>-2247</v>
      </c>
      <c r="Y66" s="475">
        <v>0</v>
      </c>
      <c r="Z66" s="475">
        <v>0</v>
      </c>
      <c r="AA66" s="475">
        <v>0</v>
      </c>
      <c r="AB66" s="475">
        <f t="shared" si="146"/>
        <v>0</v>
      </c>
      <c r="AC66" s="475">
        <f t="shared" si="147"/>
        <v>-2247</v>
      </c>
      <c r="AD66" s="70">
        <f t="shared" si="148"/>
        <v>-759</v>
      </c>
      <c r="AE66" s="70">
        <f t="shared" si="149"/>
        <v>-45</v>
      </c>
      <c r="AF66" s="475">
        <v>0</v>
      </c>
      <c r="AG66" s="475">
        <v>0</v>
      </c>
      <c r="AH66" s="475">
        <f t="shared" si="150"/>
        <v>0</v>
      </c>
      <c r="AI66" s="475">
        <f t="shared" si="151"/>
        <v>-3051</v>
      </c>
      <c r="AJ66" s="476">
        <v>0</v>
      </c>
      <c r="AK66" s="476">
        <v>0</v>
      </c>
      <c r="AL66" s="476">
        <v>0</v>
      </c>
      <c r="AM66" s="476">
        <v>0</v>
      </c>
      <c r="AN66" s="476">
        <v>-0.01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-0.01</v>
      </c>
      <c r="AT66" s="478">
        <f t="shared" si="152"/>
        <v>-0.01</v>
      </c>
      <c r="AU66" s="484">
        <f t="shared" si="10"/>
        <v>712319</v>
      </c>
      <c r="AV66" s="475">
        <f t="shared" si="11"/>
        <v>512420</v>
      </c>
      <c r="AW66" s="475">
        <f t="shared" si="153"/>
        <v>10000</v>
      </c>
      <c r="AX66" s="475">
        <f>L66+AD66</f>
        <v>176578</v>
      </c>
      <c r="AY66" s="475">
        <f>M66+AE66</f>
        <v>10247</v>
      </c>
      <c r="AZ66" s="475">
        <f t="shared" si="12"/>
        <v>3074</v>
      </c>
      <c r="BA66" s="476">
        <f t="shared" si="13"/>
        <v>1.64</v>
      </c>
      <c r="BB66" s="476">
        <f>P66+AR66</f>
        <v>0</v>
      </c>
      <c r="BC66" s="478">
        <f>Q66+AS66</f>
        <v>1.64</v>
      </c>
    </row>
    <row r="67" spans="1:55" x14ac:dyDescent="0.2">
      <c r="A67" s="162">
        <v>13</v>
      </c>
      <c r="B67" s="18">
        <v>3444</v>
      </c>
      <c r="C67" s="18">
        <v>600078086</v>
      </c>
      <c r="D67" s="18">
        <v>16389573</v>
      </c>
      <c r="E67" s="171" t="s">
        <v>146</v>
      </c>
      <c r="F67" s="18"/>
      <c r="G67" s="161"/>
      <c r="H67" s="195"/>
      <c r="I67" s="529">
        <v>4251881</v>
      </c>
      <c r="J67" s="526">
        <v>3081605</v>
      </c>
      <c r="K67" s="526">
        <v>30000</v>
      </c>
      <c r="L67" s="526">
        <v>1051722</v>
      </c>
      <c r="M67" s="526">
        <v>61630</v>
      </c>
      <c r="N67" s="526">
        <v>26924</v>
      </c>
      <c r="O67" s="527">
        <v>7.0798000000000005</v>
      </c>
      <c r="P67" s="527">
        <v>4</v>
      </c>
      <c r="Q67" s="531">
        <v>3.0797999999999996</v>
      </c>
      <c r="R67" s="529">
        <f t="shared" ref="R67:BC67" si="154">SUM(R65:R66)</f>
        <v>0</v>
      </c>
      <c r="S67" s="526">
        <f t="shared" si="154"/>
        <v>0</v>
      </c>
      <c r="T67" s="526">
        <f t="shared" si="154"/>
        <v>-2247</v>
      </c>
      <c r="U67" s="526">
        <f t="shared" si="154"/>
        <v>0</v>
      </c>
      <c r="V67" s="526">
        <f t="shared" si="154"/>
        <v>-22091</v>
      </c>
      <c r="W67" s="526">
        <f t="shared" si="154"/>
        <v>0</v>
      </c>
      <c r="X67" s="526">
        <f t="shared" si="154"/>
        <v>-24338</v>
      </c>
      <c r="Y67" s="526">
        <f t="shared" si="154"/>
        <v>0</v>
      </c>
      <c r="Z67" s="526">
        <f t="shared" si="154"/>
        <v>0</v>
      </c>
      <c r="AA67" s="526">
        <f t="shared" si="154"/>
        <v>0</v>
      </c>
      <c r="AB67" s="526">
        <f t="shared" si="154"/>
        <v>0</v>
      </c>
      <c r="AC67" s="526">
        <f t="shared" si="154"/>
        <v>-24338</v>
      </c>
      <c r="AD67" s="526">
        <f t="shared" si="154"/>
        <v>-8226</v>
      </c>
      <c r="AE67" s="526">
        <f t="shared" si="154"/>
        <v>-487</v>
      </c>
      <c r="AF67" s="526">
        <f t="shared" si="154"/>
        <v>0</v>
      </c>
      <c r="AG67" s="526">
        <f t="shared" si="154"/>
        <v>30000</v>
      </c>
      <c r="AH67" s="526">
        <f t="shared" si="154"/>
        <v>30000</v>
      </c>
      <c r="AI67" s="526">
        <f t="shared" si="154"/>
        <v>-3051</v>
      </c>
      <c r="AJ67" s="527">
        <f t="shared" si="154"/>
        <v>0</v>
      </c>
      <c r="AK67" s="527">
        <f t="shared" si="154"/>
        <v>0</v>
      </c>
      <c r="AL67" s="527">
        <f t="shared" si="154"/>
        <v>0</v>
      </c>
      <c r="AM67" s="527">
        <f t="shared" si="154"/>
        <v>0</v>
      </c>
      <c r="AN67" s="527">
        <f t="shared" si="154"/>
        <v>-0.01</v>
      </c>
      <c r="AO67" s="527">
        <f t="shared" si="154"/>
        <v>0</v>
      </c>
      <c r="AP67" s="527">
        <f t="shared" si="154"/>
        <v>0</v>
      </c>
      <c r="AQ67" s="527">
        <f t="shared" si="154"/>
        <v>0</v>
      </c>
      <c r="AR67" s="527">
        <f t="shared" si="154"/>
        <v>0</v>
      </c>
      <c r="AS67" s="527">
        <f t="shared" si="154"/>
        <v>-0.01</v>
      </c>
      <c r="AT67" s="40">
        <f t="shared" si="154"/>
        <v>-0.01</v>
      </c>
      <c r="AU67" s="533">
        <f t="shared" si="154"/>
        <v>4248830</v>
      </c>
      <c r="AV67" s="526">
        <f t="shared" si="154"/>
        <v>3057267</v>
      </c>
      <c r="AW67" s="526">
        <f t="shared" si="154"/>
        <v>30000</v>
      </c>
      <c r="AX67" s="526">
        <f t="shared" si="154"/>
        <v>1043496</v>
      </c>
      <c r="AY67" s="526">
        <f t="shared" si="154"/>
        <v>61143</v>
      </c>
      <c r="AZ67" s="526">
        <f t="shared" si="154"/>
        <v>56924</v>
      </c>
      <c r="BA67" s="527">
        <f t="shared" si="154"/>
        <v>7.0697999999999999</v>
      </c>
      <c r="BB67" s="527">
        <f t="shared" si="154"/>
        <v>4</v>
      </c>
      <c r="BC67" s="40">
        <f t="shared" si="154"/>
        <v>3.0697999999999999</v>
      </c>
    </row>
    <row r="68" spans="1:55" x14ac:dyDescent="0.2">
      <c r="A68" s="216">
        <v>14</v>
      </c>
      <c r="B68" s="217">
        <v>3443</v>
      </c>
      <c r="C68" s="217">
        <v>600078582</v>
      </c>
      <c r="D68" s="217">
        <v>16389581</v>
      </c>
      <c r="E68" s="215" t="s">
        <v>147</v>
      </c>
      <c r="F68" s="217">
        <v>3113</v>
      </c>
      <c r="G68" s="218" t="s">
        <v>314</v>
      </c>
      <c r="H68" s="219" t="s">
        <v>277</v>
      </c>
      <c r="I68" s="477">
        <v>13091221</v>
      </c>
      <c r="J68" s="472">
        <v>9284861</v>
      </c>
      <c r="K68" s="472">
        <v>170000</v>
      </c>
      <c r="L68" s="472">
        <v>3195743</v>
      </c>
      <c r="M68" s="472">
        <v>185697</v>
      </c>
      <c r="N68" s="472">
        <v>254920</v>
      </c>
      <c r="O68" s="473">
        <v>16.793599999999998</v>
      </c>
      <c r="P68" s="474">
        <v>12.849100000000002</v>
      </c>
      <c r="Q68" s="483">
        <v>3.9444999999999997</v>
      </c>
      <c r="R68" s="485">
        <f t="shared" ref="R68:R72" si="155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ref="AB68:AB72" si="156">SUM(Y68:AA68)</f>
        <v>0</v>
      </c>
      <c r="AC68" s="475">
        <f t="shared" ref="AC68:AC72" si="157">X68+AB68</f>
        <v>0</v>
      </c>
      <c r="AD68" s="70">
        <f t="shared" ref="AD68:AD72" si="158">ROUND((X68+Y68+Z68)*33.8%,0)</f>
        <v>0</v>
      </c>
      <c r="AE68" s="70">
        <f t="shared" ref="AE68:AE72" si="159">ROUND(X68*2%,0)</f>
        <v>0</v>
      </c>
      <c r="AF68" s="475">
        <v>0</v>
      </c>
      <c r="AG68" s="475">
        <v>0</v>
      </c>
      <c r="AH68" s="475">
        <f t="shared" ref="AH68:AH72" si="160">SUM(AF68:AG68)</f>
        <v>0</v>
      </c>
      <c r="AI68" s="475">
        <f t="shared" ref="AI68:AI72" si="161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ref="AT68:AT72" si="162">SUM(AR68:AS68)</f>
        <v>0</v>
      </c>
      <c r="AU68" s="484">
        <f t="shared" si="10"/>
        <v>13091221</v>
      </c>
      <c r="AV68" s="475">
        <f t="shared" si="11"/>
        <v>9284861</v>
      </c>
      <c r="AW68" s="475">
        <f t="shared" ref="AW68:AW72" si="163">K68+AB68</f>
        <v>170000</v>
      </c>
      <c r="AX68" s="475">
        <f t="shared" ref="AX68:AY72" si="164">L68+AD68</f>
        <v>3195743</v>
      </c>
      <c r="AY68" s="475">
        <f t="shared" si="164"/>
        <v>185697</v>
      </c>
      <c r="AZ68" s="475">
        <f t="shared" si="12"/>
        <v>254920</v>
      </c>
      <c r="BA68" s="476">
        <f t="shared" si="13"/>
        <v>16.793599999999998</v>
      </c>
      <c r="BB68" s="476">
        <f t="shared" ref="BB68:BC72" si="165">P68+AR68</f>
        <v>12.849100000000002</v>
      </c>
      <c r="BC68" s="478">
        <f t="shared" si="165"/>
        <v>3.9444999999999997</v>
      </c>
    </row>
    <row r="69" spans="1:55" x14ac:dyDescent="0.2">
      <c r="A69" s="216">
        <v>14</v>
      </c>
      <c r="B69" s="217">
        <v>3443</v>
      </c>
      <c r="C69" s="217">
        <v>600078582</v>
      </c>
      <c r="D69" s="217">
        <v>16389581</v>
      </c>
      <c r="E69" s="215" t="s">
        <v>147</v>
      </c>
      <c r="F69" s="217">
        <v>3113</v>
      </c>
      <c r="G69" s="218" t="s">
        <v>312</v>
      </c>
      <c r="H69" s="219" t="s">
        <v>278</v>
      </c>
      <c r="I69" s="477">
        <v>951508</v>
      </c>
      <c r="J69" s="472">
        <v>700669</v>
      </c>
      <c r="K69" s="472">
        <v>0</v>
      </c>
      <c r="L69" s="472">
        <v>236826</v>
      </c>
      <c r="M69" s="472">
        <v>14013</v>
      </c>
      <c r="N69" s="472">
        <v>0</v>
      </c>
      <c r="O69" s="473">
        <v>1.99</v>
      </c>
      <c r="P69" s="474">
        <v>1.99</v>
      </c>
      <c r="Q69" s="483">
        <v>0</v>
      </c>
      <c r="R69" s="485">
        <f t="shared" si="155"/>
        <v>0</v>
      </c>
      <c r="S69" s="475">
        <v>43306</v>
      </c>
      <c r="T69" s="475">
        <v>0</v>
      </c>
      <c r="U69" s="475">
        <v>0</v>
      </c>
      <c r="V69" s="475">
        <v>0</v>
      </c>
      <c r="W69" s="475">
        <v>0</v>
      </c>
      <c r="X69" s="475">
        <f>SUM(R69:W69)</f>
        <v>43306</v>
      </c>
      <c r="Y69" s="475">
        <v>0</v>
      </c>
      <c r="Z69" s="475">
        <v>0</v>
      </c>
      <c r="AA69" s="475">
        <v>0</v>
      </c>
      <c r="AB69" s="475">
        <f t="shared" si="156"/>
        <v>0</v>
      </c>
      <c r="AC69" s="475">
        <f t="shared" si="157"/>
        <v>43306</v>
      </c>
      <c r="AD69" s="70">
        <f t="shared" si="158"/>
        <v>14637</v>
      </c>
      <c r="AE69" s="70">
        <f t="shared" si="159"/>
        <v>866</v>
      </c>
      <c r="AF69" s="475">
        <v>0</v>
      </c>
      <c r="AG69" s="475">
        <v>0</v>
      </c>
      <c r="AH69" s="475">
        <f t="shared" si="160"/>
        <v>0</v>
      </c>
      <c r="AI69" s="475">
        <f t="shared" si="161"/>
        <v>58809</v>
      </c>
      <c r="AJ69" s="476">
        <v>0</v>
      </c>
      <c r="AK69" s="476">
        <v>0</v>
      </c>
      <c r="AL69" s="476">
        <v>0.13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>AJ69+AL69+AM69+AO69+AP69</f>
        <v>0.13</v>
      </c>
      <c r="AS69" s="476">
        <f>AK69+AN69+AQ69</f>
        <v>0</v>
      </c>
      <c r="AT69" s="478">
        <f t="shared" si="162"/>
        <v>0.13</v>
      </c>
      <c r="AU69" s="484">
        <f t="shared" si="10"/>
        <v>1010317</v>
      </c>
      <c r="AV69" s="475">
        <f t="shared" si="11"/>
        <v>743975</v>
      </c>
      <c r="AW69" s="475">
        <f t="shared" si="163"/>
        <v>0</v>
      </c>
      <c r="AX69" s="475">
        <f t="shared" si="164"/>
        <v>251463</v>
      </c>
      <c r="AY69" s="475">
        <f t="shared" si="164"/>
        <v>14879</v>
      </c>
      <c r="AZ69" s="475">
        <f t="shared" si="12"/>
        <v>0</v>
      </c>
      <c r="BA69" s="476">
        <f t="shared" si="13"/>
        <v>2.12</v>
      </c>
      <c r="BB69" s="476">
        <f t="shared" si="165"/>
        <v>2.12</v>
      </c>
      <c r="BC69" s="478">
        <f t="shared" si="165"/>
        <v>0</v>
      </c>
    </row>
    <row r="70" spans="1:55" x14ac:dyDescent="0.2">
      <c r="A70" s="216">
        <v>14</v>
      </c>
      <c r="B70" s="217">
        <v>3443</v>
      </c>
      <c r="C70" s="217">
        <v>600078582</v>
      </c>
      <c r="D70" s="217">
        <v>16389581</v>
      </c>
      <c r="E70" s="215" t="s">
        <v>147</v>
      </c>
      <c r="F70" s="217">
        <v>3141</v>
      </c>
      <c r="G70" s="218" t="s">
        <v>315</v>
      </c>
      <c r="H70" s="219" t="s">
        <v>278</v>
      </c>
      <c r="I70" s="477">
        <v>1251749</v>
      </c>
      <c r="J70" s="472">
        <v>895348</v>
      </c>
      <c r="K70" s="472">
        <v>20000</v>
      </c>
      <c r="L70" s="472">
        <v>309388</v>
      </c>
      <c r="M70" s="472">
        <v>17907</v>
      </c>
      <c r="N70" s="472">
        <v>9106</v>
      </c>
      <c r="O70" s="473">
        <v>2.88</v>
      </c>
      <c r="P70" s="474">
        <v>0</v>
      </c>
      <c r="Q70" s="483">
        <v>2.88</v>
      </c>
      <c r="R70" s="485">
        <f t="shared" si="155"/>
        <v>0</v>
      </c>
      <c r="S70" s="475">
        <v>0</v>
      </c>
      <c r="T70" s="475">
        <v>-3040</v>
      </c>
      <c r="U70" s="475">
        <v>0</v>
      </c>
      <c r="V70" s="475">
        <v>0</v>
      </c>
      <c r="W70" s="475">
        <v>0</v>
      </c>
      <c r="X70" s="475">
        <f>SUM(R70:W70)</f>
        <v>-3040</v>
      </c>
      <c r="Y70" s="475">
        <v>0</v>
      </c>
      <c r="Z70" s="475">
        <v>0</v>
      </c>
      <c r="AA70" s="475">
        <v>0</v>
      </c>
      <c r="AB70" s="475">
        <f t="shared" si="156"/>
        <v>0</v>
      </c>
      <c r="AC70" s="475">
        <f t="shared" si="157"/>
        <v>-3040</v>
      </c>
      <c r="AD70" s="70">
        <f t="shared" si="158"/>
        <v>-1028</v>
      </c>
      <c r="AE70" s="70">
        <f t="shared" si="159"/>
        <v>-61</v>
      </c>
      <c r="AF70" s="475">
        <v>0</v>
      </c>
      <c r="AG70" s="475">
        <v>0</v>
      </c>
      <c r="AH70" s="475">
        <f t="shared" si="160"/>
        <v>0</v>
      </c>
      <c r="AI70" s="475">
        <f t="shared" si="161"/>
        <v>-4129</v>
      </c>
      <c r="AJ70" s="476">
        <v>0</v>
      </c>
      <c r="AK70" s="476">
        <v>0</v>
      </c>
      <c r="AL70" s="476">
        <v>0</v>
      </c>
      <c r="AM70" s="476">
        <v>0</v>
      </c>
      <c r="AN70" s="476">
        <v>-0.01</v>
      </c>
      <c r="AO70" s="476">
        <v>0</v>
      </c>
      <c r="AP70" s="476">
        <v>0</v>
      </c>
      <c r="AQ70" s="476">
        <v>0</v>
      </c>
      <c r="AR70" s="476">
        <f>AJ70+AL70+AM70+AO70+AP70</f>
        <v>0</v>
      </c>
      <c r="AS70" s="476">
        <f>AK70+AN70+AQ70</f>
        <v>-0.01</v>
      </c>
      <c r="AT70" s="478">
        <f t="shared" si="162"/>
        <v>-0.01</v>
      </c>
      <c r="AU70" s="484">
        <f t="shared" si="10"/>
        <v>1247620</v>
      </c>
      <c r="AV70" s="475">
        <f t="shared" si="11"/>
        <v>892308</v>
      </c>
      <c r="AW70" s="475">
        <f t="shared" si="163"/>
        <v>20000</v>
      </c>
      <c r="AX70" s="475">
        <f t="shared" si="164"/>
        <v>308360</v>
      </c>
      <c r="AY70" s="475">
        <f t="shared" si="164"/>
        <v>17846</v>
      </c>
      <c r="AZ70" s="475">
        <f t="shared" si="12"/>
        <v>9106</v>
      </c>
      <c r="BA70" s="476">
        <f t="shared" si="13"/>
        <v>2.87</v>
      </c>
      <c r="BB70" s="476">
        <f t="shared" si="165"/>
        <v>0</v>
      </c>
      <c r="BC70" s="478">
        <f t="shared" si="165"/>
        <v>2.87</v>
      </c>
    </row>
    <row r="71" spans="1:55" x14ac:dyDescent="0.2">
      <c r="A71" s="216">
        <v>14</v>
      </c>
      <c r="B71" s="217">
        <v>3443</v>
      </c>
      <c r="C71" s="217">
        <v>600078582</v>
      </c>
      <c r="D71" s="217">
        <v>16389581</v>
      </c>
      <c r="E71" s="215" t="s">
        <v>147</v>
      </c>
      <c r="F71" s="217">
        <v>3143</v>
      </c>
      <c r="G71" s="218" t="s">
        <v>626</v>
      </c>
      <c r="H71" s="239" t="s">
        <v>277</v>
      </c>
      <c r="I71" s="477">
        <v>834569</v>
      </c>
      <c r="J71" s="472">
        <v>602734</v>
      </c>
      <c r="K71" s="472">
        <v>12000</v>
      </c>
      <c r="L71" s="472">
        <v>207780</v>
      </c>
      <c r="M71" s="472">
        <v>12055</v>
      </c>
      <c r="N71" s="472">
        <v>0</v>
      </c>
      <c r="O71" s="473">
        <v>1.5</v>
      </c>
      <c r="P71" s="474">
        <v>1.5</v>
      </c>
      <c r="Q71" s="483">
        <v>0</v>
      </c>
      <c r="R71" s="485">
        <f t="shared" si="155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>SUM(R71:W71)</f>
        <v>0</v>
      </c>
      <c r="Y71" s="475">
        <v>0</v>
      </c>
      <c r="Z71" s="475">
        <v>0</v>
      </c>
      <c r="AA71" s="475">
        <v>0</v>
      </c>
      <c r="AB71" s="475">
        <f t="shared" si="156"/>
        <v>0</v>
      </c>
      <c r="AC71" s="475">
        <f t="shared" si="157"/>
        <v>0</v>
      </c>
      <c r="AD71" s="70">
        <f t="shared" si="158"/>
        <v>0</v>
      </c>
      <c r="AE71" s="70">
        <f t="shared" si="159"/>
        <v>0</v>
      </c>
      <c r="AF71" s="475">
        <v>0</v>
      </c>
      <c r="AG71" s="475">
        <v>0</v>
      </c>
      <c r="AH71" s="475">
        <f t="shared" si="160"/>
        <v>0</v>
      </c>
      <c r="AI71" s="475">
        <f t="shared" si="161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>AJ71+AL71+AM71+AO71+AP71</f>
        <v>0</v>
      </c>
      <c r="AS71" s="476">
        <f>AK71+AN71+AQ71</f>
        <v>0</v>
      </c>
      <c r="AT71" s="478">
        <f t="shared" si="162"/>
        <v>0</v>
      </c>
      <c r="AU71" s="484">
        <f t="shared" si="10"/>
        <v>834569</v>
      </c>
      <c r="AV71" s="475">
        <f t="shared" si="11"/>
        <v>602734</v>
      </c>
      <c r="AW71" s="475">
        <f t="shared" si="163"/>
        <v>12000</v>
      </c>
      <c r="AX71" s="475">
        <f t="shared" si="164"/>
        <v>207780</v>
      </c>
      <c r="AY71" s="475">
        <f t="shared" si="164"/>
        <v>12055</v>
      </c>
      <c r="AZ71" s="475">
        <f t="shared" si="12"/>
        <v>0</v>
      </c>
      <c r="BA71" s="476">
        <f t="shared" si="13"/>
        <v>1.5</v>
      </c>
      <c r="BB71" s="476">
        <f t="shared" si="165"/>
        <v>1.5</v>
      </c>
      <c r="BC71" s="478">
        <f t="shared" si="165"/>
        <v>0</v>
      </c>
    </row>
    <row r="72" spans="1:55" x14ac:dyDescent="0.2">
      <c r="A72" s="216">
        <v>14</v>
      </c>
      <c r="B72" s="217">
        <v>3443</v>
      </c>
      <c r="C72" s="217">
        <v>600078582</v>
      </c>
      <c r="D72" s="217">
        <v>16389581</v>
      </c>
      <c r="E72" s="215" t="s">
        <v>147</v>
      </c>
      <c r="F72" s="217">
        <v>3143</v>
      </c>
      <c r="G72" s="218" t="s">
        <v>627</v>
      </c>
      <c r="H72" s="239" t="s">
        <v>278</v>
      </c>
      <c r="I72" s="477">
        <v>34776</v>
      </c>
      <c r="J72" s="472">
        <v>24592</v>
      </c>
      <c r="K72" s="472">
        <v>0</v>
      </c>
      <c r="L72" s="472">
        <v>8312</v>
      </c>
      <c r="M72" s="472">
        <v>492</v>
      </c>
      <c r="N72" s="472">
        <v>1380</v>
      </c>
      <c r="O72" s="473">
        <v>0.1</v>
      </c>
      <c r="P72" s="474">
        <v>0</v>
      </c>
      <c r="Q72" s="483">
        <v>0.1</v>
      </c>
      <c r="R72" s="485">
        <f t="shared" si="155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>SUM(R72:W72)</f>
        <v>0</v>
      </c>
      <c r="Y72" s="475">
        <v>0</v>
      </c>
      <c r="Z72" s="475">
        <v>0</v>
      </c>
      <c r="AA72" s="475">
        <v>0</v>
      </c>
      <c r="AB72" s="475">
        <f t="shared" si="156"/>
        <v>0</v>
      </c>
      <c r="AC72" s="475">
        <f t="shared" si="157"/>
        <v>0</v>
      </c>
      <c r="AD72" s="70">
        <f t="shared" si="158"/>
        <v>0</v>
      </c>
      <c r="AE72" s="70">
        <f t="shared" si="159"/>
        <v>0</v>
      </c>
      <c r="AF72" s="475">
        <v>0</v>
      </c>
      <c r="AG72" s="475">
        <v>0</v>
      </c>
      <c r="AH72" s="475">
        <f t="shared" si="160"/>
        <v>0</v>
      </c>
      <c r="AI72" s="475">
        <f t="shared" si="161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si="162"/>
        <v>0</v>
      </c>
      <c r="AU72" s="484">
        <f t="shared" si="10"/>
        <v>34776</v>
      </c>
      <c r="AV72" s="475">
        <f t="shared" si="11"/>
        <v>24592</v>
      </c>
      <c r="AW72" s="475">
        <f t="shared" si="163"/>
        <v>0</v>
      </c>
      <c r="AX72" s="475">
        <f t="shared" si="164"/>
        <v>8312</v>
      </c>
      <c r="AY72" s="475">
        <f t="shared" si="164"/>
        <v>492</v>
      </c>
      <c r="AZ72" s="475">
        <f t="shared" si="12"/>
        <v>1380</v>
      </c>
      <c r="BA72" s="476">
        <f t="shared" si="13"/>
        <v>0.1</v>
      </c>
      <c r="BB72" s="476">
        <f t="shared" si="165"/>
        <v>0</v>
      </c>
      <c r="BC72" s="478">
        <f t="shared" si="165"/>
        <v>0.1</v>
      </c>
    </row>
    <row r="73" spans="1:55" ht="13.5" thickBot="1" x14ac:dyDescent="0.25">
      <c r="A73" s="166">
        <v>14</v>
      </c>
      <c r="B73" s="33">
        <v>3443</v>
      </c>
      <c r="C73" s="33">
        <v>600078582</v>
      </c>
      <c r="D73" s="33">
        <v>16389581</v>
      </c>
      <c r="E73" s="248" t="s">
        <v>148</v>
      </c>
      <c r="F73" s="33"/>
      <c r="G73" s="167"/>
      <c r="H73" s="249"/>
      <c r="I73" s="546">
        <v>16163823</v>
      </c>
      <c r="J73" s="547">
        <v>11508204</v>
      </c>
      <c r="K73" s="547">
        <v>202000</v>
      </c>
      <c r="L73" s="547">
        <v>3958049</v>
      </c>
      <c r="M73" s="547">
        <v>230164</v>
      </c>
      <c r="N73" s="547">
        <v>265406</v>
      </c>
      <c r="O73" s="548">
        <v>23.263599999999997</v>
      </c>
      <c r="P73" s="548">
        <v>16.339100000000002</v>
      </c>
      <c r="Q73" s="549">
        <v>6.9244999999999992</v>
      </c>
      <c r="R73" s="737">
        <f t="shared" ref="R73:BC73" si="166">SUM(R68:R72)</f>
        <v>0</v>
      </c>
      <c r="S73" s="738">
        <f t="shared" si="166"/>
        <v>43306</v>
      </c>
      <c r="T73" s="738">
        <f t="shared" si="166"/>
        <v>-3040</v>
      </c>
      <c r="U73" s="738">
        <f t="shared" si="166"/>
        <v>0</v>
      </c>
      <c r="V73" s="738">
        <f t="shared" si="166"/>
        <v>0</v>
      </c>
      <c r="W73" s="738">
        <f t="shared" si="166"/>
        <v>0</v>
      </c>
      <c r="X73" s="738">
        <f t="shared" si="166"/>
        <v>40266</v>
      </c>
      <c r="Y73" s="738">
        <f t="shared" si="166"/>
        <v>0</v>
      </c>
      <c r="Z73" s="738">
        <f t="shared" si="166"/>
        <v>0</v>
      </c>
      <c r="AA73" s="738">
        <f t="shared" si="166"/>
        <v>0</v>
      </c>
      <c r="AB73" s="738">
        <f t="shared" si="166"/>
        <v>0</v>
      </c>
      <c r="AC73" s="738">
        <f t="shared" si="166"/>
        <v>40266</v>
      </c>
      <c r="AD73" s="738">
        <f t="shared" si="166"/>
        <v>13609</v>
      </c>
      <c r="AE73" s="738">
        <f t="shared" si="166"/>
        <v>805</v>
      </c>
      <c r="AF73" s="738">
        <f t="shared" si="166"/>
        <v>0</v>
      </c>
      <c r="AG73" s="738">
        <f t="shared" si="166"/>
        <v>0</v>
      </c>
      <c r="AH73" s="738">
        <f t="shared" si="166"/>
        <v>0</v>
      </c>
      <c r="AI73" s="738">
        <f t="shared" si="166"/>
        <v>54680</v>
      </c>
      <c r="AJ73" s="739">
        <f t="shared" si="166"/>
        <v>0</v>
      </c>
      <c r="AK73" s="739">
        <f t="shared" si="166"/>
        <v>0</v>
      </c>
      <c r="AL73" s="739">
        <f t="shared" si="166"/>
        <v>0.13</v>
      </c>
      <c r="AM73" s="739">
        <f t="shared" si="166"/>
        <v>0</v>
      </c>
      <c r="AN73" s="739">
        <f t="shared" si="166"/>
        <v>-0.01</v>
      </c>
      <c r="AO73" s="739">
        <f t="shared" si="166"/>
        <v>0</v>
      </c>
      <c r="AP73" s="739">
        <f t="shared" si="166"/>
        <v>0</v>
      </c>
      <c r="AQ73" s="739">
        <f t="shared" si="166"/>
        <v>0</v>
      </c>
      <c r="AR73" s="739">
        <f t="shared" si="166"/>
        <v>0.13</v>
      </c>
      <c r="AS73" s="739">
        <f t="shared" si="166"/>
        <v>-0.01</v>
      </c>
      <c r="AT73" s="740">
        <f t="shared" si="166"/>
        <v>0.12000000000000001</v>
      </c>
      <c r="AU73" s="551">
        <f t="shared" si="166"/>
        <v>16218503</v>
      </c>
      <c r="AV73" s="547">
        <f t="shared" si="166"/>
        <v>11548470</v>
      </c>
      <c r="AW73" s="547">
        <f t="shared" si="166"/>
        <v>202000</v>
      </c>
      <c r="AX73" s="547">
        <f t="shared" si="166"/>
        <v>3971658</v>
      </c>
      <c r="AY73" s="547">
        <f t="shared" si="166"/>
        <v>230969</v>
      </c>
      <c r="AZ73" s="547">
        <f t="shared" si="166"/>
        <v>265406</v>
      </c>
      <c r="BA73" s="548">
        <f t="shared" si="166"/>
        <v>23.383600000000001</v>
      </c>
      <c r="BB73" s="548">
        <f t="shared" si="166"/>
        <v>16.469100000000001</v>
      </c>
      <c r="BC73" s="550">
        <f t="shared" si="166"/>
        <v>6.9144999999999994</v>
      </c>
    </row>
    <row r="74" spans="1:55" ht="13.5" thickBot="1" x14ac:dyDescent="0.25">
      <c r="A74" s="168"/>
      <c r="B74" s="30"/>
      <c r="C74" s="30"/>
      <c r="D74" s="30"/>
      <c r="E74" s="90" t="s">
        <v>789</v>
      </c>
      <c r="F74" s="30"/>
      <c r="G74" s="169"/>
      <c r="H74" s="196"/>
      <c r="I74" s="540">
        <f t="shared" ref="I74:BC74" si="167">I15+I19+I23+I25+I32+I38+I40+I43+I48+I52+I57+I64+I67+I73</f>
        <v>148620573</v>
      </c>
      <c r="J74" s="541">
        <f t="shared" si="167"/>
        <v>107108565</v>
      </c>
      <c r="K74" s="541">
        <f t="shared" si="167"/>
        <v>892400</v>
      </c>
      <c r="L74" s="541">
        <f t="shared" si="167"/>
        <v>36504326</v>
      </c>
      <c r="M74" s="541">
        <f t="shared" si="167"/>
        <v>2142168</v>
      </c>
      <c r="N74" s="541">
        <f t="shared" si="167"/>
        <v>1973114</v>
      </c>
      <c r="O74" s="542">
        <f t="shared" si="167"/>
        <v>222.73679999999999</v>
      </c>
      <c r="P74" s="542">
        <f t="shared" si="167"/>
        <v>155.05420000000001</v>
      </c>
      <c r="Q74" s="543">
        <f t="shared" si="167"/>
        <v>67.682599999999994</v>
      </c>
      <c r="R74" s="729">
        <f t="shared" si="167"/>
        <v>0</v>
      </c>
      <c r="S74" s="730">
        <f t="shared" si="167"/>
        <v>-26003</v>
      </c>
      <c r="T74" s="730">
        <f t="shared" si="167"/>
        <v>105501</v>
      </c>
      <c r="U74" s="730">
        <f t="shared" si="167"/>
        <v>0</v>
      </c>
      <c r="V74" s="730">
        <f t="shared" si="167"/>
        <v>-132547</v>
      </c>
      <c r="W74" s="730">
        <f t="shared" si="167"/>
        <v>0</v>
      </c>
      <c r="X74" s="730">
        <f t="shared" si="167"/>
        <v>-53049</v>
      </c>
      <c r="Y74" s="730">
        <f t="shared" si="167"/>
        <v>0</v>
      </c>
      <c r="Z74" s="730">
        <f t="shared" si="167"/>
        <v>0</v>
      </c>
      <c r="AA74" s="730">
        <f t="shared" si="167"/>
        <v>0</v>
      </c>
      <c r="AB74" s="730">
        <f t="shared" si="167"/>
        <v>0</v>
      </c>
      <c r="AC74" s="730">
        <f t="shared" si="167"/>
        <v>-53049</v>
      </c>
      <c r="AD74" s="730">
        <f t="shared" si="167"/>
        <v>-17930</v>
      </c>
      <c r="AE74" s="730">
        <f t="shared" si="167"/>
        <v>-1060</v>
      </c>
      <c r="AF74" s="730">
        <f t="shared" si="167"/>
        <v>0</v>
      </c>
      <c r="AG74" s="730">
        <f t="shared" si="167"/>
        <v>179999</v>
      </c>
      <c r="AH74" s="730">
        <f t="shared" si="167"/>
        <v>179999</v>
      </c>
      <c r="AI74" s="730">
        <f t="shared" si="167"/>
        <v>107960</v>
      </c>
      <c r="AJ74" s="731">
        <f t="shared" si="167"/>
        <v>0</v>
      </c>
      <c r="AK74" s="731">
        <f t="shared" si="167"/>
        <v>0</v>
      </c>
      <c r="AL74" s="731">
        <f t="shared" si="167"/>
        <v>-7.0000000000000007E-2</v>
      </c>
      <c r="AM74" s="731">
        <f t="shared" si="167"/>
        <v>0.23</v>
      </c>
      <c r="AN74" s="731">
        <f t="shared" si="167"/>
        <v>-0.10299999999999999</v>
      </c>
      <c r="AO74" s="731">
        <f t="shared" si="167"/>
        <v>0</v>
      </c>
      <c r="AP74" s="731">
        <f t="shared" si="167"/>
        <v>0</v>
      </c>
      <c r="AQ74" s="731">
        <f t="shared" si="167"/>
        <v>0</v>
      </c>
      <c r="AR74" s="731">
        <f t="shared" si="167"/>
        <v>0.16</v>
      </c>
      <c r="AS74" s="731">
        <f t="shared" si="167"/>
        <v>-0.10299999999999999</v>
      </c>
      <c r="AT74" s="732">
        <f t="shared" si="167"/>
        <v>5.7000000000000009E-2</v>
      </c>
      <c r="AU74" s="545">
        <f t="shared" si="167"/>
        <v>148728533</v>
      </c>
      <c r="AV74" s="541">
        <f t="shared" si="167"/>
        <v>107055516</v>
      </c>
      <c r="AW74" s="541">
        <f t="shared" si="167"/>
        <v>892400</v>
      </c>
      <c r="AX74" s="541">
        <f t="shared" si="167"/>
        <v>36486396</v>
      </c>
      <c r="AY74" s="541">
        <f t="shared" si="167"/>
        <v>2141108</v>
      </c>
      <c r="AZ74" s="541">
        <f t="shared" si="167"/>
        <v>2153113</v>
      </c>
      <c r="BA74" s="542">
        <f t="shared" si="167"/>
        <v>222.79379999999998</v>
      </c>
      <c r="BB74" s="542">
        <f t="shared" si="167"/>
        <v>155.21420000000003</v>
      </c>
      <c r="BC74" s="544">
        <f t="shared" si="167"/>
        <v>67.579600000000013</v>
      </c>
    </row>
    <row r="75" spans="1:55" x14ac:dyDescent="0.2">
      <c r="D75" s="9"/>
      <c r="E75" s="5"/>
      <c r="F75" s="9"/>
      <c r="G75" s="20"/>
      <c r="H75" s="5"/>
      <c r="I75" s="490">
        <f>SUM(J74:N74)</f>
        <v>148620573</v>
      </c>
      <c r="J75" s="490"/>
      <c r="K75" s="490"/>
      <c r="L75" s="490"/>
      <c r="M75" s="490"/>
      <c r="N75" s="490"/>
      <c r="O75" s="491">
        <f>SUM(P74:Q74)</f>
        <v>222.73680000000002</v>
      </c>
      <c r="P75" s="491"/>
      <c r="Q75" s="491"/>
      <c r="R75" s="490">
        <f>Y74</f>
        <v>0</v>
      </c>
      <c r="S75" s="491"/>
      <c r="T75" s="491"/>
      <c r="U75" s="491"/>
      <c r="V75" s="491"/>
      <c r="W75" s="491"/>
      <c r="X75" s="497">
        <f>SUM(R74:W74)</f>
        <v>-53049</v>
      </c>
      <c r="Y75" s="497">
        <f>R74</f>
        <v>0</v>
      </c>
      <c r="Z75" s="498"/>
      <c r="AA75" s="498"/>
      <c r="AB75" s="497">
        <f>SUM(Y74:AA74)</f>
        <v>0</v>
      </c>
      <c r="AC75" s="497">
        <f>X74+AB74</f>
        <v>-53049</v>
      </c>
      <c r="AD75" s="499"/>
      <c r="AE75" s="499"/>
      <c r="AF75" s="498"/>
      <c r="AG75" s="498"/>
      <c r="AH75" s="497">
        <f>SUM(AF74:AG74)</f>
        <v>179999</v>
      </c>
      <c r="AI75" s="497">
        <f>AC74+AD74+AE74+AH74</f>
        <v>107960</v>
      </c>
      <c r="AJ75" s="500"/>
      <c r="AK75" s="500"/>
      <c r="AL75" s="500"/>
      <c r="AM75" s="500"/>
      <c r="AN75" s="500"/>
      <c r="AO75" s="500"/>
      <c r="AP75" s="500"/>
      <c r="AQ75" s="500"/>
      <c r="AR75" s="706">
        <f>AJ74+AL74+AM74+AO74+AP74</f>
        <v>0.16</v>
      </c>
      <c r="AS75" s="706">
        <f>AK74+AN74+AQ74</f>
        <v>-0.10299999999999999</v>
      </c>
      <c r="AT75" s="706">
        <f>SUM(AR74:AS74)</f>
        <v>5.7000000000000009E-2</v>
      </c>
      <c r="AU75" s="490">
        <f>SUM(AV74:AZ74)</f>
        <v>148728533</v>
      </c>
      <c r="AV75" s="55"/>
      <c r="AW75" s="55"/>
      <c r="AX75" s="55"/>
      <c r="AY75" s="55"/>
      <c r="AZ75" s="55"/>
      <c r="BA75" s="491">
        <f>SUM(BB74:BC74)</f>
        <v>222.79380000000003</v>
      </c>
      <c r="BB75" s="93"/>
      <c r="BC75" s="93"/>
    </row>
    <row r="76" spans="1:55" ht="13.5" thickBot="1" x14ac:dyDescent="0.25">
      <c r="D76" s="9"/>
      <c r="E76" s="5"/>
      <c r="F76" s="9"/>
      <c r="G76" s="20"/>
      <c r="H76" s="5"/>
      <c r="I76" s="91">
        <f>SUM(J77:N77)</f>
        <v>148620573</v>
      </c>
      <c r="J76" s="53"/>
      <c r="K76" s="53"/>
      <c r="L76" s="496"/>
      <c r="M76" s="496"/>
      <c r="N76" s="53"/>
      <c r="O76" s="92">
        <f>SUM(P77:Q77)</f>
        <v>222.73679999999996</v>
      </c>
      <c r="P76" s="183"/>
      <c r="Q76" s="183"/>
      <c r="R76" s="491"/>
      <c r="S76" s="491"/>
      <c r="T76" s="491"/>
      <c r="U76" s="491"/>
      <c r="V76" s="491"/>
      <c r="W76" s="491"/>
      <c r="X76" s="497">
        <f>SUM(R77:W77)</f>
        <v>-53049</v>
      </c>
      <c r="Y76" s="498"/>
      <c r="Z76" s="498"/>
      <c r="AA76" s="498"/>
      <c r="AB76" s="497">
        <f>SUM(Y77:AA77)</f>
        <v>0</v>
      </c>
      <c r="AC76" s="497">
        <f>X77+AB77</f>
        <v>-53049</v>
      </c>
      <c r="AD76" s="499"/>
      <c r="AE76" s="499"/>
      <c r="AF76" s="498"/>
      <c r="AG76" s="498"/>
      <c r="AH76" s="497">
        <f>SUM(AF77:AG77)</f>
        <v>179999</v>
      </c>
      <c r="AI76" s="497">
        <f>AC77+AD77+AE77+AH77</f>
        <v>107960</v>
      </c>
      <c r="AJ76" s="500"/>
      <c r="AK76" s="500"/>
      <c r="AL76" s="500"/>
      <c r="AM76" s="500"/>
      <c r="AN76" s="500"/>
      <c r="AO76" s="500"/>
      <c r="AP76" s="500"/>
      <c r="AQ76" s="500"/>
      <c r="AR76" s="663">
        <f>AJ77+AL77+AM77+AO77+AP77</f>
        <v>0.16</v>
      </c>
      <c r="AS76" s="663">
        <f>AK77+AN77+AQ77</f>
        <v>-0.10299999999999999</v>
      </c>
      <c r="AT76" s="663">
        <f>SUM(AR77:AS77)</f>
        <v>5.7000000000000009E-2</v>
      </c>
      <c r="AU76" s="490">
        <f>SUM(AV77:AZ77)</f>
        <v>148728533</v>
      </c>
      <c r="AV76" s="55"/>
      <c r="AW76" s="55"/>
      <c r="AX76" s="55"/>
      <c r="AY76" s="55"/>
      <c r="AZ76" s="55"/>
      <c r="BA76" s="491">
        <f>SUM(BB77:BC77)</f>
        <v>222.79379999999998</v>
      </c>
      <c r="BB76" s="93"/>
      <c r="BC76" s="93"/>
    </row>
    <row r="77" spans="1:55" ht="13.5" thickBot="1" x14ac:dyDescent="0.25">
      <c r="D77" s="9"/>
      <c r="E77" s="5"/>
      <c r="F77" s="9"/>
      <c r="G77" s="20"/>
      <c r="H77" s="517" t="s">
        <v>0</v>
      </c>
      <c r="I77" s="146">
        <f t="shared" ref="I77:BC77" si="168">SUM(I78:I87)</f>
        <v>148620573</v>
      </c>
      <c r="J77" s="34">
        <f t="shared" si="168"/>
        <v>107108565</v>
      </c>
      <c r="K77" s="34">
        <f t="shared" si="168"/>
        <v>892400</v>
      </c>
      <c r="L77" s="34">
        <f t="shared" si="168"/>
        <v>36504326</v>
      </c>
      <c r="M77" s="34">
        <f t="shared" si="168"/>
        <v>2142168</v>
      </c>
      <c r="N77" s="34">
        <f t="shared" si="168"/>
        <v>1973114</v>
      </c>
      <c r="O77" s="35">
        <f t="shared" si="168"/>
        <v>222.73680000000002</v>
      </c>
      <c r="P77" s="35">
        <f t="shared" si="168"/>
        <v>155.05419999999998</v>
      </c>
      <c r="Q77" s="155">
        <f t="shared" si="168"/>
        <v>67.682599999999994</v>
      </c>
      <c r="R77" s="146">
        <f t="shared" si="168"/>
        <v>0</v>
      </c>
      <c r="S77" s="34">
        <f t="shared" si="168"/>
        <v>-26003</v>
      </c>
      <c r="T77" s="34">
        <f t="shared" si="168"/>
        <v>105501</v>
      </c>
      <c r="U77" s="34">
        <f t="shared" si="168"/>
        <v>0</v>
      </c>
      <c r="V77" s="34">
        <f t="shared" si="168"/>
        <v>-132547</v>
      </c>
      <c r="W77" s="34">
        <f t="shared" si="168"/>
        <v>0</v>
      </c>
      <c r="X77" s="34">
        <f t="shared" si="168"/>
        <v>-53049</v>
      </c>
      <c r="Y77" s="34">
        <f t="shared" si="168"/>
        <v>0</v>
      </c>
      <c r="Z77" s="34">
        <f t="shared" si="168"/>
        <v>0</v>
      </c>
      <c r="AA77" s="34">
        <f t="shared" si="168"/>
        <v>0</v>
      </c>
      <c r="AB77" s="34">
        <f t="shared" si="168"/>
        <v>0</v>
      </c>
      <c r="AC77" s="34">
        <f t="shared" si="168"/>
        <v>-53049</v>
      </c>
      <c r="AD77" s="34">
        <f t="shared" si="168"/>
        <v>-17930</v>
      </c>
      <c r="AE77" s="34">
        <f t="shared" si="168"/>
        <v>-1060</v>
      </c>
      <c r="AF77" s="34">
        <f t="shared" si="168"/>
        <v>0</v>
      </c>
      <c r="AG77" s="34">
        <f t="shared" si="168"/>
        <v>179999</v>
      </c>
      <c r="AH77" s="34">
        <f t="shared" si="168"/>
        <v>179999</v>
      </c>
      <c r="AI77" s="34">
        <f t="shared" si="168"/>
        <v>107960</v>
      </c>
      <c r="AJ77" s="35">
        <f t="shared" si="168"/>
        <v>0</v>
      </c>
      <c r="AK77" s="35">
        <f t="shared" si="168"/>
        <v>0</v>
      </c>
      <c r="AL77" s="35">
        <f t="shared" si="168"/>
        <v>-7.0000000000000007E-2</v>
      </c>
      <c r="AM77" s="35">
        <f t="shared" si="168"/>
        <v>0.23</v>
      </c>
      <c r="AN77" s="35">
        <f t="shared" si="168"/>
        <v>-0.10299999999999999</v>
      </c>
      <c r="AO77" s="35">
        <f t="shared" si="168"/>
        <v>0</v>
      </c>
      <c r="AP77" s="35">
        <f t="shared" si="168"/>
        <v>0</v>
      </c>
      <c r="AQ77" s="35">
        <f t="shared" si="168"/>
        <v>0</v>
      </c>
      <c r="AR77" s="35">
        <f t="shared" si="168"/>
        <v>0.16</v>
      </c>
      <c r="AS77" s="35">
        <f t="shared" si="168"/>
        <v>-0.10299999999999999</v>
      </c>
      <c r="AT77" s="36">
        <f t="shared" si="168"/>
        <v>5.6999999999999995E-2</v>
      </c>
      <c r="AU77" s="156">
        <f t="shared" si="168"/>
        <v>148728533</v>
      </c>
      <c r="AV77" s="34">
        <f t="shared" si="168"/>
        <v>107055516</v>
      </c>
      <c r="AW77" s="34">
        <f t="shared" si="168"/>
        <v>892400</v>
      </c>
      <c r="AX77" s="34">
        <f t="shared" si="168"/>
        <v>36486396</v>
      </c>
      <c r="AY77" s="34">
        <f t="shared" si="168"/>
        <v>2141108</v>
      </c>
      <c r="AZ77" s="34">
        <f t="shared" si="168"/>
        <v>2153113</v>
      </c>
      <c r="BA77" s="35">
        <f t="shared" si="168"/>
        <v>222.7938</v>
      </c>
      <c r="BB77" s="35">
        <f t="shared" si="168"/>
        <v>155.21419999999998</v>
      </c>
      <c r="BC77" s="36">
        <f t="shared" si="168"/>
        <v>67.579599999999999</v>
      </c>
    </row>
    <row r="78" spans="1:55" x14ac:dyDescent="0.2">
      <c r="D78" s="9"/>
      <c r="E78" s="5"/>
      <c r="F78" s="9"/>
      <c r="G78" s="20"/>
      <c r="H78" s="518">
        <v>3111</v>
      </c>
      <c r="I78" s="618">
        <f t="shared" ref="I78:BC78" si="169">SUMIF($F$12:$F$463,"=3111",I$12:I$463)</f>
        <v>29412662</v>
      </c>
      <c r="J78" s="619">
        <f t="shared" si="169"/>
        <v>21464900</v>
      </c>
      <c r="K78" s="619">
        <f t="shared" si="169"/>
        <v>60000</v>
      </c>
      <c r="L78" s="619">
        <f t="shared" si="169"/>
        <v>7275416</v>
      </c>
      <c r="M78" s="619">
        <f t="shared" si="169"/>
        <v>429296</v>
      </c>
      <c r="N78" s="619">
        <f t="shared" si="169"/>
        <v>183050</v>
      </c>
      <c r="O78" s="624">
        <f t="shared" si="169"/>
        <v>47.7256</v>
      </c>
      <c r="P78" s="624">
        <f t="shared" si="169"/>
        <v>36.295700000000004</v>
      </c>
      <c r="Q78" s="625">
        <f t="shared" si="169"/>
        <v>11.4299</v>
      </c>
      <c r="R78" s="618">
        <f t="shared" si="169"/>
        <v>0</v>
      </c>
      <c r="S78" s="619">
        <f t="shared" si="169"/>
        <v>0</v>
      </c>
      <c r="T78" s="619">
        <f t="shared" si="169"/>
        <v>0</v>
      </c>
      <c r="U78" s="619">
        <f t="shared" si="169"/>
        <v>0</v>
      </c>
      <c r="V78" s="619">
        <f t="shared" si="169"/>
        <v>-22091</v>
      </c>
      <c r="W78" s="619">
        <f t="shared" si="169"/>
        <v>0</v>
      </c>
      <c r="X78" s="619">
        <f t="shared" si="169"/>
        <v>-22091</v>
      </c>
      <c r="Y78" s="619">
        <f t="shared" si="169"/>
        <v>0</v>
      </c>
      <c r="Z78" s="619">
        <f t="shared" si="169"/>
        <v>0</v>
      </c>
      <c r="AA78" s="619">
        <f t="shared" si="169"/>
        <v>0</v>
      </c>
      <c r="AB78" s="619">
        <f t="shared" si="169"/>
        <v>0</v>
      </c>
      <c r="AC78" s="619">
        <f t="shared" si="169"/>
        <v>-22091</v>
      </c>
      <c r="AD78" s="619">
        <f t="shared" si="169"/>
        <v>-7467</v>
      </c>
      <c r="AE78" s="619">
        <f t="shared" si="169"/>
        <v>-442</v>
      </c>
      <c r="AF78" s="619">
        <f t="shared" si="169"/>
        <v>0</v>
      </c>
      <c r="AG78" s="619">
        <f t="shared" si="169"/>
        <v>30000</v>
      </c>
      <c r="AH78" s="619">
        <f t="shared" si="169"/>
        <v>30000</v>
      </c>
      <c r="AI78" s="619">
        <f t="shared" si="169"/>
        <v>0</v>
      </c>
      <c r="AJ78" s="624">
        <f t="shared" si="169"/>
        <v>0</v>
      </c>
      <c r="AK78" s="624">
        <f t="shared" si="169"/>
        <v>0</v>
      </c>
      <c r="AL78" s="624">
        <f t="shared" si="169"/>
        <v>0</v>
      </c>
      <c r="AM78" s="624">
        <f t="shared" si="169"/>
        <v>0</v>
      </c>
      <c r="AN78" s="624">
        <f t="shared" si="169"/>
        <v>0</v>
      </c>
      <c r="AO78" s="624">
        <f t="shared" si="169"/>
        <v>0</v>
      </c>
      <c r="AP78" s="624">
        <f t="shared" si="169"/>
        <v>0</v>
      </c>
      <c r="AQ78" s="624">
        <f t="shared" si="169"/>
        <v>0</v>
      </c>
      <c r="AR78" s="624">
        <f t="shared" si="169"/>
        <v>0</v>
      </c>
      <c r="AS78" s="624">
        <f t="shared" si="169"/>
        <v>0</v>
      </c>
      <c r="AT78" s="627">
        <f t="shared" si="169"/>
        <v>0</v>
      </c>
      <c r="AU78" s="620">
        <f t="shared" si="169"/>
        <v>29412662</v>
      </c>
      <c r="AV78" s="619">
        <f t="shared" si="169"/>
        <v>21442809</v>
      </c>
      <c r="AW78" s="619">
        <f t="shared" si="169"/>
        <v>60000</v>
      </c>
      <c r="AX78" s="619">
        <f t="shared" si="169"/>
        <v>7267949</v>
      </c>
      <c r="AY78" s="619">
        <f t="shared" si="169"/>
        <v>428854</v>
      </c>
      <c r="AZ78" s="619">
        <f t="shared" si="169"/>
        <v>213050</v>
      </c>
      <c r="BA78" s="624">
        <f t="shared" si="169"/>
        <v>47.7256</v>
      </c>
      <c r="BB78" s="624">
        <f t="shared" si="169"/>
        <v>36.295700000000004</v>
      </c>
      <c r="BC78" s="627">
        <f t="shared" si="169"/>
        <v>11.4299</v>
      </c>
    </row>
    <row r="79" spans="1:55" x14ac:dyDescent="0.2">
      <c r="D79" s="9"/>
      <c r="E79" s="5"/>
      <c r="F79" s="9"/>
      <c r="G79" s="20"/>
      <c r="H79" s="2">
        <v>3113</v>
      </c>
      <c r="I79" s="174">
        <f t="shared" ref="I79:BC79" si="170">SUMIF($F$12:$F$463,"=3113",I$12:I$463)</f>
        <v>78672755</v>
      </c>
      <c r="J79" s="16">
        <f t="shared" si="170"/>
        <v>56407416</v>
      </c>
      <c r="K79" s="16">
        <f t="shared" si="170"/>
        <v>462740</v>
      </c>
      <c r="L79" s="16">
        <f t="shared" si="170"/>
        <v>19222113</v>
      </c>
      <c r="M79" s="16">
        <f t="shared" si="170"/>
        <v>1128146</v>
      </c>
      <c r="N79" s="16">
        <f t="shared" si="170"/>
        <v>1452340</v>
      </c>
      <c r="O79" s="13">
        <f t="shared" si="170"/>
        <v>105.08839999999999</v>
      </c>
      <c r="P79" s="13">
        <f t="shared" si="170"/>
        <v>84.330500000000001</v>
      </c>
      <c r="Q79" s="176">
        <f t="shared" si="170"/>
        <v>20.757899999999999</v>
      </c>
      <c r="R79" s="174">
        <f t="shared" si="170"/>
        <v>0</v>
      </c>
      <c r="S79" s="16">
        <f t="shared" si="170"/>
        <v>-26003</v>
      </c>
      <c r="T79" s="16">
        <f t="shared" si="170"/>
        <v>-16586</v>
      </c>
      <c r="U79" s="16">
        <f t="shared" si="170"/>
        <v>0</v>
      </c>
      <c r="V79" s="16">
        <f t="shared" si="170"/>
        <v>-110456</v>
      </c>
      <c r="W79" s="16">
        <f t="shared" si="170"/>
        <v>0</v>
      </c>
      <c r="X79" s="16">
        <f t="shared" si="170"/>
        <v>-153045</v>
      </c>
      <c r="Y79" s="16">
        <f t="shared" si="170"/>
        <v>0</v>
      </c>
      <c r="Z79" s="16">
        <f t="shared" si="170"/>
        <v>0</v>
      </c>
      <c r="AA79" s="16">
        <f t="shared" si="170"/>
        <v>0</v>
      </c>
      <c r="AB79" s="16">
        <f t="shared" si="170"/>
        <v>0</v>
      </c>
      <c r="AC79" s="16">
        <f t="shared" si="170"/>
        <v>-153045</v>
      </c>
      <c r="AD79" s="16">
        <f t="shared" si="170"/>
        <v>-51729</v>
      </c>
      <c r="AE79" s="16">
        <f t="shared" si="170"/>
        <v>-3060</v>
      </c>
      <c r="AF79" s="16">
        <f t="shared" si="170"/>
        <v>0</v>
      </c>
      <c r="AG79" s="16">
        <f t="shared" si="170"/>
        <v>149999</v>
      </c>
      <c r="AH79" s="16">
        <f t="shared" si="170"/>
        <v>149999</v>
      </c>
      <c r="AI79" s="16">
        <f t="shared" si="170"/>
        <v>-57835</v>
      </c>
      <c r="AJ79" s="13">
        <f t="shared" si="170"/>
        <v>0</v>
      </c>
      <c r="AK79" s="13">
        <f t="shared" si="170"/>
        <v>0</v>
      </c>
      <c r="AL79" s="13">
        <f t="shared" si="170"/>
        <v>-7.0000000000000007E-2</v>
      </c>
      <c r="AM79" s="13">
        <f t="shared" si="170"/>
        <v>-0.03</v>
      </c>
      <c r="AN79" s="13">
        <f t="shared" si="170"/>
        <v>0</v>
      </c>
      <c r="AO79" s="13">
        <f t="shared" si="170"/>
        <v>0</v>
      </c>
      <c r="AP79" s="13">
        <f t="shared" si="170"/>
        <v>0</v>
      </c>
      <c r="AQ79" s="13">
        <f t="shared" si="170"/>
        <v>0</v>
      </c>
      <c r="AR79" s="13">
        <f t="shared" si="170"/>
        <v>-0.1</v>
      </c>
      <c r="AS79" s="13">
        <f t="shared" si="170"/>
        <v>0</v>
      </c>
      <c r="AT79" s="17">
        <f t="shared" si="170"/>
        <v>-0.1</v>
      </c>
      <c r="AU79" s="175">
        <f t="shared" si="170"/>
        <v>78614920</v>
      </c>
      <c r="AV79" s="16">
        <f t="shared" si="170"/>
        <v>56254371</v>
      </c>
      <c r="AW79" s="16">
        <f t="shared" si="170"/>
        <v>462740</v>
      </c>
      <c r="AX79" s="16">
        <f t="shared" si="170"/>
        <v>19170384</v>
      </c>
      <c r="AY79" s="16">
        <f t="shared" si="170"/>
        <v>1125086</v>
      </c>
      <c r="AZ79" s="16">
        <f t="shared" si="170"/>
        <v>1602339</v>
      </c>
      <c r="BA79" s="13">
        <f t="shared" si="170"/>
        <v>104.9884</v>
      </c>
      <c r="BB79" s="13">
        <f t="shared" si="170"/>
        <v>84.230500000000006</v>
      </c>
      <c r="BC79" s="17">
        <f t="shared" si="170"/>
        <v>20.757899999999999</v>
      </c>
    </row>
    <row r="80" spans="1:55" x14ac:dyDescent="0.2">
      <c r="D80" s="9"/>
      <c r="E80" s="5"/>
      <c r="F80" s="9"/>
      <c r="G80" s="20"/>
      <c r="H80" s="2">
        <v>3114</v>
      </c>
      <c r="I80" s="174">
        <f t="shared" ref="I80:BC80" si="171">SUMIF($F$12:$F$463,"=3114",I$12:I$463)</f>
        <v>0</v>
      </c>
      <c r="J80" s="16">
        <f t="shared" si="171"/>
        <v>0</v>
      </c>
      <c r="K80" s="16">
        <f t="shared" si="171"/>
        <v>0</v>
      </c>
      <c r="L80" s="16">
        <f t="shared" si="171"/>
        <v>0</v>
      </c>
      <c r="M80" s="16">
        <f t="shared" si="171"/>
        <v>0</v>
      </c>
      <c r="N80" s="16">
        <f t="shared" si="171"/>
        <v>0</v>
      </c>
      <c r="O80" s="13">
        <f t="shared" si="171"/>
        <v>0</v>
      </c>
      <c r="P80" s="13">
        <f t="shared" si="171"/>
        <v>0</v>
      </c>
      <c r="Q80" s="176">
        <f t="shared" si="171"/>
        <v>0</v>
      </c>
      <c r="R80" s="174">
        <f t="shared" si="171"/>
        <v>0</v>
      </c>
      <c r="S80" s="16">
        <f t="shared" si="171"/>
        <v>0</v>
      </c>
      <c r="T80" s="16">
        <f t="shared" si="171"/>
        <v>0</v>
      </c>
      <c r="U80" s="16">
        <f t="shared" si="171"/>
        <v>0</v>
      </c>
      <c r="V80" s="16">
        <f t="shared" si="171"/>
        <v>0</v>
      </c>
      <c r="W80" s="16">
        <f t="shared" si="171"/>
        <v>0</v>
      </c>
      <c r="X80" s="16">
        <f t="shared" si="171"/>
        <v>0</v>
      </c>
      <c r="Y80" s="16">
        <f t="shared" si="171"/>
        <v>0</v>
      </c>
      <c r="Z80" s="16">
        <f t="shared" si="171"/>
        <v>0</v>
      </c>
      <c r="AA80" s="16">
        <f t="shared" si="171"/>
        <v>0</v>
      </c>
      <c r="AB80" s="16">
        <f t="shared" si="171"/>
        <v>0</v>
      </c>
      <c r="AC80" s="16">
        <f t="shared" si="171"/>
        <v>0</v>
      </c>
      <c r="AD80" s="16">
        <f t="shared" si="171"/>
        <v>0</v>
      </c>
      <c r="AE80" s="16">
        <f t="shared" si="171"/>
        <v>0</v>
      </c>
      <c r="AF80" s="16">
        <f t="shared" si="171"/>
        <v>0</v>
      </c>
      <c r="AG80" s="16">
        <f t="shared" si="171"/>
        <v>0</v>
      </c>
      <c r="AH80" s="16">
        <f t="shared" si="171"/>
        <v>0</v>
      </c>
      <c r="AI80" s="16">
        <f t="shared" si="171"/>
        <v>0</v>
      </c>
      <c r="AJ80" s="13">
        <f t="shared" si="171"/>
        <v>0</v>
      </c>
      <c r="AK80" s="13">
        <f t="shared" si="171"/>
        <v>0</v>
      </c>
      <c r="AL80" s="13">
        <f t="shared" si="171"/>
        <v>0</v>
      </c>
      <c r="AM80" s="13">
        <f t="shared" si="171"/>
        <v>0</v>
      </c>
      <c r="AN80" s="13">
        <f t="shared" si="171"/>
        <v>0</v>
      </c>
      <c r="AO80" s="13">
        <f t="shared" si="171"/>
        <v>0</v>
      </c>
      <c r="AP80" s="13">
        <f t="shared" si="171"/>
        <v>0</v>
      </c>
      <c r="AQ80" s="13">
        <f t="shared" si="171"/>
        <v>0</v>
      </c>
      <c r="AR80" s="13">
        <f t="shared" si="171"/>
        <v>0</v>
      </c>
      <c r="AS80" s="13">
        <f t="shared" si="171"/>
        <v>0</v>
      </c>
      <c r="AT80" s="17">
        <f t="shared" si="171"/>
        <v>0</v>
      </c>
      <c r="AU80" s="175">
        <f t="shared" si="171"/>
        <v>0</v>
      </c>
      <c r="AV80" s="16">
        <f t="shared" si="171"/>
        <v>0</v>
      </c>
      <c r="AW80" s="16">
        <f t="shared" si="171"/>
        <v>0</v>
      </c>
      <c r="AX80" s="16">
        <f t="shared" si="171"/>
        <v>0</v>
      </c>
      <c r="AY80" s="16">
        <f t="shared" si="171"/>
        <v>0</v>
      </c>
      <c r="AZ80" s="16">
        <f t="shared" si="171"/>
        <v>0</v>
      </c>
      <c r="BA80" s="13">
        <f t="shared" si="171"/>
        <v>0</v>
      </c>
      <c r="BB80" s="13">
        <f t="shared" si="171"/>
        <v>0</v>
      </c>
      <c r="BC80" s="17">
        <f t="shared" si="171"/>
        <v>0</v>
      </c>
    </row>
    <row r="81" spans="4:55" x14ac:dyDescent="0.2">
      <c r="D81" s="9"/>
      <c r="E81" s="5"/>
      <c r="F81" s="9"/>
      <c r="G81" s="20"/>
      <c r="H81" s="2">
        <v>3117</v>
      </c>
      <c r="I81" s="174">
        <f t="shared" ref="I81:BC81" si="172">SUMIF($F$12:$F$463,"=3117",I$12:I$463)</f>
        <v>7964815</v>
      </c>
      <c r="J81" s="16">
        <f t="shared" si="172"/>
        <v>5733503</v>
      </c>
      <c r="K81" s="16">
        <f t="shared" si="172"/>
        <v>23660</v>
      </c>
      <c r="L81" s="16">
        <f t="shared" si="172"/>
        <v>1945921</v>
      </c>
      <c r="M81" s="16">
        <f t="shared" si="172"/>
        <v>114671</v>
      </c>
      <c r="N81" s="16">
        <f t="shared" si="172"/>
        <v>147060</v>
      </c>
      <c r="O81" s="13">
        <f t="shared" si="172"/>
        <v>11.580600000000002</v>
      </c>
      <c r="P81" s="13">
        <f t="shared" si="172"/>
        <v>8.6623000000000001</v>
      </c>
      <c r="Q81" s="176">
        <f t="shared" si="172"/>
        <v>2.9182999999999999</v>
      </c>
      <c r="R81" s="174">
        <f t="shared" si="172"/>
        <v>0</v>
      </c>
      <c r="S81" s="16">
        <f t="shared" si="172"/>
        <v>0</v>
      </c>
      <c r="T81" s="16">
        <f t="shared" si="172"/>
        <v>0</v>
      </c>
      <c r="U81" s="16">
        <f t="shared" si="172"/>
        <v>0</v>
      </c>
      <c r="V81" s="16">
        <f t="shared" si="172"/>
        <v>0</v>
      </c>
      <c r="W81" s="16">
        <f t="shared" si="172"/>
        <v>0</v>
      </c>
      <c r="X81" s="16">
        <f t="shared" si="172"/>
        <v>0</v>
      </c>
      <c r="Y81" s="16">
        <f t="shared" si="172"/>
        <v>0</v>
      </c>
      <c r="Z81" s="16">
        <f t="shared" si="172"/>
        <v>0</v>
      </c>
      <c r="AA81" s="16">
        <f t="shared" si="172"/>
        <v>0</v>
      </c>
      <c r="AB81" s="16">
        <f t="shared" si="172"/>
        <v>0</v>
      </c>
      <c r="AC81" s="16">
        <f t="shared" si="172"/>
        <v>0</v>
      </c>
      <c r="AD81" s="16">
        <f t="shared" si="172"/>
        <v>0</v>
      </c>
      <c r="AE81" s="16">
        <f t="shared" si="172"/>
        <v>0</v>
      </c>
      <c r="AF81" s="16">
        <f t="shared" si="172"/>
        <v>0</v>
      </c>
      <c r="AG81" s="16">
        <f t="shared" si="172"/>
        <v>0</v>
      </c>
      <c r="AH81" s="16">
        <f t="shared" si="172"/>
        <v>0</v>
      </c>
      <c r="AI81" s="16">
        <f t="shared" si="172"/>
        <v>0</v>
      </c>
      <c r="AJ81" s="13">
        <f t="shared" si="172"/>
        <v>0</v>
      </c>
      <c r="AK81" s="13">
        <f t="shared" si="172"/>
        <v>0</v>
      </c>
      <c r="AL81" s="13">
        <f t="shared" si="172"/>
        <v>0</v>
      </c>
      <c r="AM81" s="13">
        <f t="shared" si="172"/>
        <v>0</v>
      </c>
      <c r="AN81" s="13">
        <f t="shared" si="172"/>
        <v>0</v>
      </c>
      <c r="AO81" s="13">
        <f t="shared" si="172"/>
        <v>0</v>
      </c>
      <c r="AP81" s="13">
        <f t="shared" si="172"/>
        <v>0</v>
      </c>
      <c r="AQ81" s="13">
        <f t="shared" si="172"/>
        <v>0</v>
      </c>
      <c r="AR81" s="13">
        <f t="shared" si="172"/>
        <v>0</v>
      </c>
      <c r="AS81" s="13">
        <f t="shared" si="172"/>
        <v>0</v>
      </c>
      <c r="AT81" s="17">
        <f t="shared" si="172"/>
        <v>0</v>
      </c>
      <c r="AU81" s="175">
        <f t="shared" si="172"/>
        <v>7964815</v>
      </c>
      <c r="AV81" s="16">
        <f t="shared" si="172"/>
        <v>5733503</v>
      </c>
      <c r="AW81" s="16">
        <f t="shared" si="172"/>
        <v>23660</v>
      </c>
      <c r="AX81" s="16">
        <f t="shared" si="172"/>
        <v>1945921</v>
      </c>
      <c r="AY81" s="16">
        <f t="shared" si="172"/>
        <v>114671</v>
      </c>
      <c r="AZ81" s="16">
        <f t="shared" si="172"/>
        <v>147060</v>
      </c>
      <c r="BA81" s="13">
        <f t="shared" si="172"/>
        <v>11.580600000000002</v>
      </c>
      <c r="BB81" s="13">
        <f t="shared" si="172"/>
        <v>8.6623000000000001</v>
      </c>
      <c r="BC81" s="17">
        <f t="shared" si="172"/>
        <v>2.9182999999999999</v>
      </c>
    </row>
    <row r="82" spans="4:55" x14ac:dyDescent="0.2">
      <c r="D82" s="9"/>
      <c r="E82" s="5"/>
      <c r="F82" s="9"/>
      <c r="G82" s="20"/>
      <c r="H82" s="2">
        <v>3122</v>
      </c>
      <c r="I82" s="174">
        <f t="shared" ref="I82:BC82" si="173">SUMIF($F$12:$F$463,"=3122",I$12:I$463)</f>
        <v>0</v>
      </c>
      <c r="J82" s="16">
        <f t="shared" si="173"/>
        <v>0</v>
      </c>
      <c r="K82" s="16">
        <f t="shared" si="173"/>
        <v>0</v>
      </c>
      <c r="L82" s="16">
        <f t="shared" si="173"/>
        <v>0</v>
      </c>
      <c r="M82" s="16">
        <f t="shared" si="173"/>
        <v>0</v>
      </c>
      <c r="N82" s="16">
        <f t="shared" si="173"/>
        <v>0</v>
      </c>
      <c r="O82" s="13">
        <f t="shared" si="173"/>
        <v>0</v>
      </c>
      <c r="P82" s="13">
        <f t="shared" si="173"/>
        <v>0</v>
      </c>
      <c r="Q82" s="176">
        <f t="shared" si="173"/>
        <v>0</v>
      </c>
      <c r="R82" s="174">
        <f t="shared" si="173"/>
        <v>0</v>
      </c>
      <c r="S82" s="16">
        <f t="shared" si="173"/>
        <v>0</v>
      </c>
      <c r="T82" s="16">
        <f t="shared" si="173"/>
        <v>0</v>
      </c>
      <c r="U82" s="16">
        <f t="shared" si="173"/>
        <v>0</v>
      </c>
      <c r="V82" s="16">
        <f t="shared" si="173"/>
        <v>0</v>
      </c>
      <c r="W82" s="16">
        <f t="shared" si="173"/>
        <v>0</v>
      </c>
      <c r="X82" s="16">
        <f t="shared" si="173"/>
        <v>0</v>
      </c>
      <c r="Y82" s="16">
        <f t="shared" si="173"/>
        <v>0</v>
      </c>
      <c r="Z82" s="16">
        <f t="shared" si="173"/>
        <v>0</v>
      </c>
      <c r="AA82" s="16">
        <f t="shared" si="173"/>
        <v>0</v>
      </c>
      <c r="AB82" s="16">
        <f t="shared" si="173"/>
        <v>0</v>
      </c>
      <c r="AC82" s="16">
        <f t="shared" si="173"/>
        <v>0</v>
      </c>
      <c r="AD82" s="16">
        <f t="shared" si="173"/>
        <v>0</v>
      </c>
      <c r="AE82" s="16">
        <f t="shared" si="173"/>
        <v>0</v>
      </c>
      <c r="AF82" s="16">
        <f t="shared" si="173"/>
        <v>0</v>
      </c>
      <c r="AG82" s="16">
        <f t="shared" si="173"/>
        <v>0</v>
      </c>
      <c r="AH82" s="16">
        <f t="shared" si="173"/>
        <v>0</v>
      </c>
      <c r="AI82" s="16">
        <f t="shared" si="173"/>
        <v>0</v>
      </c>
      <c r="AJ82" s="13">
        <f t="shared" si="173"/>
        <v>0</v>
      </c>
      <c r="AK82" s="13">
        <f t="shared" si="173"/>
        <v>0</v>
      </c>
      <c r="AL82" s="13">
        <f t="shared" si="173"/>
        <v>0</v>
      </c>
      <c r="AM82" s="13">
        <f t="shared" si="173"/>
        <v>0</v>
      </c>
      <c r="AN82" s="13">
        <f t="shared" si="173"/>
        <v>0</v>
      </c>
      <c r="AO82" s="13">
        <f t="shared" si="173"/>
        <v>0</v>
      </c>
      <c r="AP82" s="13">
        <f t="shared" si="173"/>
        <v>0</v>
      </c>
      <c r="AQ82" s="13">
        <f t="shared" si="173"/>
        <v>0</v>
      </c>
      <c r="AR82" s="13">
        <f t="shared" si="173"/>
        <v>0</v>
      </c>
      <c r="AS82" s="13">
        <f t="shared" si="173"/>
        <v>0</v>
      </c>
      <c r="AT82" s="17">
        <f t="shared" si="173"/>
        <v>0</v>
      </c>
      <c r="AU82" s="175">
        <f t="shared" si="173"/>
        <v>0</v>
      </c>
      <c r="AV82" s="16">
        <f t="shared" si="173"/>
        <v>0</v>
      </c>
      <c r="AW82" s="16">
        <f t="shared" si="173"/>
        <v>0</v>
      </c>
      <c r="AX82" s="16">
        <f t="shared" si="173"/>
        <v>0</v>
      </c>
      <c r="AY82" s="16">
        <f t="shared" si="173"/>
        <v>0</v>
      </c>
      <c r="AZ82" s="16">
        <f t="shared" si="173"/>
        <v>0</v>
      </c>
      <c r="BA82" s="13">
        <f t="shared" si="173"/>
        <v>0</v>
      </c>
      <c r="BB82" s="13">
        <f t="shared" si="173"/>
        <v>0</v>
      </c>
      <c r="BC82" s="17">
        <f t="shared" si="173"/>
        <v>0</v>
      </c>
    </row>
    <row r="83" spans="4:55" x14ac:dyDescent="0.2">
      <c r="D83" s="9"/>
      <c r="E83" s="5"/>
      <c r="F83" s="9"/>
      <c r="G83" s="20"/>
      <c r="H83" s="2">
        <v>3124</v>
      </c>
      <c r="I83" s="174">
        <f t="shared" ref="I83:BC83" si="174">SUMIF($F$12:$F$463,"=3124",I$12:I$463)</f>
        <v>0</v>
      </c>
      <c r="J83" s="16">
        <f t="shared" si="174"/>
        <v>0</v>
      </c>
      <c r="K83" s="16">
        <f t="shared" si="174"/>
        <v>0</v>
      </c>
      <c r="L83" s="16">
        <f t="shared" si="174"/>
        <v>0</v>
      </c>
      <c r="M83" s="16">
        <f t="shared" si="174"/>
        <v>0</v>
      </c>
      <c r="N83" s="16">
        <f t="shared" si="174"/>
        <v>0</v>
      </c>
      <c r="O83" s="13">
        <f t="shared" si="174"/>
        <v>0</v>
      </c>
      <c r="P83" s="13">
        <f t="shared" si="174"/>
        <v>0</v>
      </c>
      <c r="Q83" s="176">
        <f t="shared" si="174"/>
        <v>0</v>
      </c>
      <c r="R83" s="174">
        <f t="shared" si="174"/>
        <v>0</v>
      </c>
      <c r="S83" s="16">
        <f t="shared" si="174"/>
        <v>0</v>
      </c>
      <c r="T83" s="16">
        <f t="shared" si="174"/>
        <v>0</v>
      </c>
      <c r="U83" s="16">
        <f t="shared" si="174"/>
        <v>0</v>
      </c>
      <c r="V83" s="16">
        <f t="shared" si="174"/>
        <v>0</v>
      </c>
      <c r="W83" s="16">
        <f t="shared" si="174"/>
        <v>0</v>
      </c>
      <c r="X83" s="16">
        <f t="shared" si="174"/>
        <v>0</v>
      </c>
      <c r="Y83" s="16">
        <f t="shared" si="174"/>
        <v>0</v>
      </c>
      <c r="Z83" s="16">
        <f t="shared" si="174"/>
        <v>0</v>
      </c>
      <c r="AA83" s="16">
        <f t="shared" si="174"/>
        <v>0</v>
      </c>
      <c r="AB83" s="16">
        <f t="shared" si="174"/>
        <v>0</v>
      </c>
      <c r="AC83" s="16">
        <f t="shared" si="174"/>
        <v>0</v>
      </c>
      <c r="AD83" s="16">
        <f t="shared" si="174"/>
        <v>0</v>
      </c>
      <c r="AE83" s="16">
        <f t="shared" si="174"/>
        <v>0</v>
      </c>
      <c r="AF83" s="16">
        <f t="shared" si="174"/>
        <v>0</v>
      </c>
      <c r="AG83" s="16">
        <f t="shared" si="174"/>
        <v>0</v>
      </c>
      <c r="AH83" s="16">
        <f t="shared" si="174"/>
        <v>0</v>
      </c>
      <c r="AI83" s="16">
        <f t="shared" si="174"/>
        <v>0</v>
      </c>
      <c r="AJ83" s="13">
        <f t="shared" si="174"/>
        <v>0</v>
      </c>
      <c r="AK83" s="13">
        <f t="shared" si="174"/>
        <v>0</v>
      </c>
      <c r="AL83" s="13">
        <f t="shared" si="174"/>
        <v>0</v>
      </c>
      <c r="AM83" s="13">
        <f t="shared" si="174"/>
        <v>0</v>
      </c>
      <c r="AN83" s="13">
        <f t="shared" si="174"/>
        <v>0</v>
      </c>
      <c r="AO83" s="13">
        <f t="shared" si="174"/>
        <v>0</v>
      </c>
      <c r="AP83" s="13">
        <f t="shared" si="174"/>
        <v>0</v>
      </c>
      <c r="AQ83" s="13">
        <f t="shared" si="174"/>
        <v>0</v>
      </c>
      <c r="AR83" s="13">
        <f t="shared" si="174"/>
        <v>0</v>
      </c>
      <c r="AS83" s="13">
        <f t="shared" si="174"/>
        <v>0</v>
      </c>
      <c r="AT83" s="17">
        <f t="shared" si="174"/>
        <v>0</v>
      </c>
      <c r="AU83" s="175">
        <f t="shared" si="174"/>
        <v>0</v>
      </c>
      <c r="AV83" s="16">
        <f t="shared" si="174"/>
        <v>0</v>
      </c>
      <c r="AW83" s="16">
        <f t="shared" si="174"/>
        <v>0</v>
      </c>
      <c r="AX83" s="16">
        <f t="shared" si="174"/>
        <v>0</v>
      </c>
      <c r="AY83" s="16">
        <f t="shared" si="174"/>
        <v>0</v>
      </c>
      <c r="AZ83" s="16">
        <f t="shared" si="174"/>
        <v>0</v>
      </c>
      <c r="BA83" s="13">
        <f t="shared" si="174"/>
        <v>0</v>
      </c>
      <c r="BB83" s="13">
        <f t="shared" si="174"/>
        <v>0</v>
      </c>
      <c r="BC83" s="17">
        <f t="shared" si="174"/>
        <v>0</v>
      </c>
    </row>
    <row r="84" spans="4:55" x14ac:dyDescent="0.2">
      <c r="D84" s="9"/>
      <c r="E84" s="5"/>
      <c r="F84" s="9"/>
      <c r="G84" s="20"/>
      <c r="H84" s="2">
        <v>3141</v>
      </c>
      <c r="I84" s="174">
        <f t="shared" ref="I84:BC84" si="175">SUMIF($F$12:$F$463,"=3141",I$12:I$463)</f>
        <v>12500149</v>
      </c>
      <c r="J84" s="16">
        <f t="shared" si="175"/>
        <v>9032530</v>
      </c>
      <c r="K84" s="16">
        <f t="shared" si="175"/>
        <v>116000</v>
      </c>
      <c r="L84" s="16">
        <f t="shared" si="175"/>
        <v>3092204</v>
      </c>
      <c r="M84" s="16">
        <f t="shared" si="175"/>
        <v>180651</v>
      </c>
      <c r="N84" s="16">
        <f t="shared" si="175"/>
        <v>78764</v>
      </c>
      <c r="O84" s="13">
        <f t="shared" si="175"/>
        <v>28.649999999999991</v>
      </c>
      <c r="P84" s="13">
        <f t="shared" si="175"/>
        <v>0</v>
      </c>
      <c r="Q84" s="176">
        <f t="shared" si="175"/>
        <v>28.649999999999991</v>
      </c>
      <c r="R84" s="174">
        <f t="shared" si="175"/>
        <v>0</v>
      </c>
      <c r="S84" s="16">
        <f t="shared" si="175"/>
        <v>0</v>
      </c>
      <c r="T84" s="16">
        <f t="shared" si="175"/>
        <v>-26818</v>
      </c>
      <c r="U84" s="16">
        <f t="shared" si="175"/>
        <v>0</v>
      </c>
      <c r="V84" s="16">
        <f t="shared" si="175"/>
        <v>0</v>
      </c>
      <c r="W84" s="16">
        <f t="shared" si="175"/>
        <v>0</v>
      </c>
      <c r="X84" s="16">
        <f t="shared" si="175"/>
        <v>-26818</v>
      </c>
      <c r="Y84" s="16">
        <f t="shared" si="175"/>
        <v>0</v>
      </c>
      <c r="Z84" s="16">
        <f t="shared" si="175"/>
        <v>0</v>
      </c>
      <c r="AA84" s="16">
        <f t="shared" si="175"/>
        <v>0</v>
      </c>
      <c r="AB84" s="16">
        <f t="shared" si="175"/>
        <v>0</v>
      </c>
      <c r="AC84" s="16">
        <f t="shared" si="175"/>
        <v>-26818</v>
      </c>
      <c r="AD84" s="16">
        <f t="shared" si="175"/>
        <v>-9064</v>
      </c>
      <c r="AE84" s="16">
        <f t="shared" si="175"/>
        <v>-536</v>
      </c>
      <c r="AF84" s="16">
        <f t="shared" si="175"/>
        <v>0</v>
      </c>
      <c r="AG84" s="16">
        <f t="shared" si="175"/>
        <v>0</v>
      </c>
      <c r="AH84" s="16">
        <f t="shared" si="175"/>
        <v>0</v>
      </c>
      <c r="AI84" s="16">
        <f t="shared" si="175"/>
        <v>-36418</v>
      </c>
      <c r="AJ84" s="13">
        <f t="shared" si="175"/>
        <v>0</v>
      </c>
      <c r="AK84" s="13">
        <f t="shared" si="175"/>
        <v>0</v>
      </c>
      <c r="AL84" s="13">
        <f t="shared" si="175"/>
        <v>0</v>
      </c>
      <c r="AM84" s="13">
        <f t="shared" si="175"/>
        <v>0</v>
      </c>
      <c r="AN84" s="13">
        <f t="shared" si="175"/>
        <v>-0.10299999999999999</v>
      </c>
      <c r="AO84" s="13">
        <f t="shared" si="175"/>
        <v>0</v>
      </c>
      <c r="AP84" s="13">
        <f t="shared" si="175"/>
        <v>0</v>
      </c>
      <c r="AQ84" s="13">
        <f t="shared" si="175"/>
        <v>0</v>
      </c>
      <c r="AR84" s="13">
        <f t="shared" si="175"/>
        <v>0</v>
      </c>
      <c r="AS84" s="13">
        <f t="shared" si="175"/>
        <v>-0.10299999999999999</v>
      </c>
      <c r="AT84" s="17">
        <f t="shared" si="175"/>
        <v>-0.10299999999999999</v>
      </c>
      <c r="AU84" s="175">
        <f t="shared" si="175"/>
        <v>12463731</v>
      </c>
      <c r="AV84" s="16">
        <f t="shared" si="175"/>
        <v>9005712</v>
      </c>
      <c r="AW84" s="16">
        <f t="shared" si="175"/>
        <v>116000</v>
      </c>
      <c r="AX84" s="16">
        <f t="shared" si="175"/>
        <v>3083140</v>
      </c>
      <c r="AY84" s="16">
        <f t="shared" si="175"/>
        <v>180115</v>
      </c>
      <c r="AZ84" s="16">
        <f t="shared" si="175"/>
        <v>78764</v>
      </c>
      <c r="BA84" s="13">
        <f t="shared" si="175"/>
        <v>28.547000000000001</v>
      </c>
      <c r="BB84" s="13">
        <f t="shared" si="175"/>
        <v>0</v>
      </c>
      <c r="BC84" s="17">
        <f t="shared" si="175"/>
        <v>28.547000000000001</v>
      </c>
    </row>
    <row r="85" spans="4:55" x14ac:dyDescent="0.2">
      <c r="D85" s="9"/>
      <c r="E85" s="5"/>
      <c r="F85" s="9"/>
      <c r="G85" s="20"/>
      <c r="H85" s="2">
        <v>3143</v>
      </c>
      <c r="I85" s="174">
        <f t="shared" ref="I85:BC85" si="176">SUMIF($F$12:$F$463,"=3143",I$12:I$463)</f>
        <v>6393448</v>
      </c>
      <c r="J85" s="16">
        <f t="shared" si="176"/>
        <v>4672289</v>
      </c>
      <c r="K85" s="16">
        <f t="shared" si="176"/>
        <v>30000</v>
      </c>
      <c r="L85" s="16">
        <f t="shared" si="176"/>
        <v>1589373</v>
      </c>
      <c r="M85" s="16">
        <f t="shared" si="176"/>
        <v>93446</v>
      </c>
      <c r="N85" s="16">
        <f t="shared" si="176"/>
        <v>8340</v>
      </c>
      <c r="O85" s="13">
        <f t="shared" si="176"/>
        <v>10.648299999999999</v>
      </c>
      <c r="P85" s="13">
        <f t="shared" si="176"/>
        <v>10.068300000000001</v>
      </c>
      <c r="Q85" s="176">
        <f t="shared" si="176"/>
        <v>0.57999999999999996</v>
      </c>
      <c r="R85" s="174">
        <f t="shared" si="176"/>
        <v>0</v>
      </c>
      <c r="S85" s="16">
        <f t="shared" si="176"/>
        <v>0</v>
      </c>
      <c r="T85" s="16">
        <f t="shared" si="176"/>
        <v>0</v>
      </c>
      <c r="U85" s="16">
        <f t="shared" si="176"/>
        <v>0</v>
      </c>
      <c r="V85" s="16">
        <f t="shared" si="176"/>
        <v>0</v>
      </c>
      <c r="W85" s="16">
        <f t="shared" si="176"/>
        <v>0</v>
      </c>
      <c r="X85" s="16">
        <f t="shared" si="176"/>
        <v>0</v>
      </c>
      <c r="Y85" s="16">
        <f t="shared" si="176"/>
        <v>0</v>
      </c>
      <c r="Z85" s="16">
        <f t="shared" si="176"/>
        <v>0</v>
      </c>
      <c r="AA85" s="16">
        <f t="shared" si="176"/>
        <v>0</v>
      </c>
      <c r="AB85" s="16">
        <f t="shared" si="176"/>
        <v>0</v>
      </c>
      <c r="AC85" s="16">
        <f t="shared" si="176"/>
        <v>0</v>
      </c>
      <c r="AD85" s="16">
        <f t="shared" si="176"/>
        <v>0</v>
      </c>
      <c r="AE85" s="16">
        <f t="shared" si="176"/>
        <v>0</v>
      </c>
      <c r="AF85" s="16">
        <f t="shared" si="176"/>
        <v>0</v>
      </c>
      <c r="AG85" s="16">
        <f t="shared" si="176"/>
        <v>0</v>
      </c>
      <c r="AH85" s="16">
        <f t="shared" si="176"/>
        <v>0</v>
      </c>
      <c r="AI85" s="16">
        <f t="shared" si="176"/>
        <v>0</v>
      </c>
      <c r="AJ85" s="13">
        <f t="shared" si="176"/>
        <v>0</v>
      </c>
      <c r="AK85" s="13">
        <f t="shared" si="176"/>
        <v>0</v>
      </c>
      <c r="AL85" s="13">
        <f t="shared" si="176"/>
        <v>0</v>
      </c>
      <c r="AM85" s="13">
        <f t="shared" si="176"/>
        <v>0</v>
      </c>
      <c r="AN85" s="13">
        <f t="shared" si="176"/>
        <v>0</v>
      </c>
      <c r="AO85" s="13">
        <f t="shared" si="176"/>
        <v>0</v>
      </c>
      <c r="AP85" s="13">
        <f t="shared" si="176"/>
        <v>0</v>
      </c>
      <c r="AQ85" s="13">
        <f t="shared" si="176"/>
        <v>0</v>
      </c>
      <c r="AR85" s="13">
        <f t="shared" si="176"/>
        <v>0</v>
      </c>
      <c r="AS85" s="13">
        <f t="shared" si="176"/>
        <v>0</v>
      </c>
      <c r="AT85" s="17">
        <f t="shared" si="176"/>
        <v>0</v>
      </c>
      <c r="AU85" s="175">
        <f t="shared" si="176"/>
        <v>6393448</v>
      </c>
      <c r="AV85" s="16">
        <f t="shared" si="176"/>
        <v>4672289</v>
      </c>
      <c r="AW85" s="16">
        <f t="shared" si="176"/>
        <v>30000</v>
      </c>
      <c r="AX85" s="16">
        <f t="shared" si="176"/>
        <v>1589373</v>
      </c>
      <c r="AY85" s="16">
        <f t="shared" si="176"/>
        <v>93446</v>
      </c>
      <c r="AZ85" s="16">
        <f t="shared" si="176"/>
        <v>8340</v>
      </c>
      <c r="BA85" s="13">
        <f t="shared" si="176"/>
        <v>10.648299999999999</v>
      </c>
      <c r="BB85" s="13">
        <f t="shared" si="176"/>
        <v>10.068300000000001</v>
      </c>
      <c r="BC85" s="17">
        <f t="shared" si="176"/>
        <v>0.57999999999999996</v>
      </c>
    </row>
    <row r="86" spans="4:55" x14ac:dyDescent="0.2">
      <c r="D86" s="9"/>
      <c r="E86" s="5"/>
      <c r="F86" s="9"/>
      <c r="G86" s="20"/>
      <c r="H86" s="2">
        <v>3231</v>
      </c>
      <c r="I86" s="174">
        <f t="shared" ref="I86:BC86" si="177">SUMIF($F$12:$F$463,"=3231",I$12:I$463)</f>
        <v>10349673</v>
      </c>
      <c r="J86" s="16">
        <f t="shared" si="177"/>
        <v>7567116</v>
      </c>
      <c r="K86" s="16">
        <f t="shared" si="177"/>
        <v>0</v>
      </c>
      <c r="L86" s="16">
        <f t="shared" si="177"/>
        <v>2557685</v>
      </c>
      <c r="M86" s="16">
        <f t="shared" si="177"/>
        <v>151342</v>
      </c>
      <c r="N86" s="16">
        <f t="shared" si="177"/>
        <v>73530</v>
      </c>
      <c r="O86" s="13">
        <f t="shared" si="177"/>
        <v>14.113900000000001</v>
      </c>
      <c r="P86" s="13">
        <f t="shared" si="177"/>
        <v>12.5274</v>
      </c>
      <c r="Q86" s="176">
        <f t="shared" si="177"/>
        <v>1.5865</v>
      </c>
      <c r="R86" s="174">
        <f t="shared" si="177"/>
        <v>0</v>
      </c>
      <c r="S86" s="16">
        <f t="shared" si="177"/>
        <v>0</v>
      </c>
      <c r="T86" s="16">
        <f t="shared" si="177"/>
        <v>148905</v>
      </c>
      <c r="U86" s="16">
        <f t="shared" si="177"/>
        <v>0</v>
      </c>
      <c r="V86" s="16">
        <f t="shared" si="177"/>
        <v>0</v>
      </c>
      <c r="W86" s="16">
        <f t="shared" si="177"/>
        <v>0</v>
      </c>
      <c r="X86" s="16">
        <f t="shared" si="177"/>
        <v>148905</v>
      </c>
      <c r="Y86" s="16">
        <f t="shared" si="177"/>
        <v>0</v>
      </c>
      <c r="Z86" s="16">
        <f t="shared" si="177"/>
        <v>0</v>
      </c>
      <c r="AA86" s="16">
        <f t="shared" si="177"/>
        <v>0</v>
      </c>
      <c r="AB86" s="16">
        <f t="shared" si="177"/>
        <v>0</v>
      </c>
      <c r="AC86" s="16">
        <f t="shared" si="177"/>
        <v>148905</v>
      </c>
      <c r="AD86" s="16">
        <f t="shared" si="177"/>
        <v>50330</v>
      </c>
      <c r="AE86" s="16">
        <f t="shared" si="177"/>
        <v>2978</v>
      </c>
      <c r="AF86" s="16">
        <f t="shared" si="177"/>
        <v>0</v>
      </c>
      <c r="AG86" s="16">
        <f t="shared" si="177"/>
        <v>0</v>
      </c>
      <c r="AH86" s="16">
        <f t="shared" si="177"/>
        <v>0</v>
      </c>
      <c r="AI86" s="16">
        <f t="shared" si="177"/>
        <v>202213</v>
      </c>
      <c r="AJ86" s="13">
        <f t="shared" si="177"/>
        <v>0</v>
      </c>
      <c r="AK86" s="13">
        <f t="shared" si="177"/>
        <v>0</v>
      </c>
      <c r="AL86" s="13">
        <f t="shared" si="177"/>
        <v>0</v>
      </c>
      <c r="AM86" s="13">
        <f t="shared" si="177"/>
        <v>0.26</v>
      </c>
      <c r="AN86" s="13">
        <f t="shared" si="177"/>
        <v>0</v>
      </c>
      <c r="AO86" s="13">
        <f t="shared" si="177"/>
        <v>0</v>
      </c>
      <c r="AP86" s="13">
        <f t="shared" si="177"/>
        <v>0</v>
      </c>
      <c r="AQ86" s="13">
        <f t="shared" si="177"/>
        <v>0</v>
      </c>
      <c r="AR86" s="13">
        <f t="shared" si="177"/>
        <v>0.26</v>
      </c>
      <c r="AS86" s="13">
        <f t="shared" si="177"/>
        <v>0</v>
      </c>
      <c r="AT86" s="17">
        <f t="shared" si="177"/>
        <v>0.26</v>
      </c>
      <c r="AU86" s="175">
        <f t="shared" si="177"/>
        <v>10551886</v>
      </c>
      <c r="AV86" s="16">
        <f t="shared" si="177"/>
        <v>7716021</v>
      </c>
      <c r="AW86" s="16">
        <f t="shared" si="177"/>
        <v>0</v>
      </c>
      <c r="AX86" s="16">
        <f t="shared" si="177"/>
        <v>2608015</v>
      </c>
      <c r="AY86" s="16">
        <f t="shared" si="177"/>
        <v>154320</v>
      </c>
      <c r="AZ86" s="16">
        <f t="shared" si="177"/>
        <v>73530</v>
      </c>
      <c r="BA86" s="13">
        <f t="shared" si="177"/>
        <v>14.373900000000001</v>
      </c>
      <c r="BB86" s="13">
        <f t="shared" si="177"/>
        <v>12.7874</v>
      </c>
      <c r="BC86" s="17">
        <f t="shared" si="177"/>
        <v>1.5865</v>
      </c>
    </row>
    <row r="87" spans="4:55" ht="13.5" thickBot="1" x14ac:dyDescent="0.25">
      <c r="D87" s="9"/>
      <c r="E87" s="5"/>
      <c r="F87" s="9"/>
      <c r="G87" s="20"/>
      <c r="H87" s="158">
        <v>3233</v>
      </c>
      <c r="I87" s="177">
        <f t="shared" ref="I87:BC87" si="178">SUMIF($F$12:$F$463,"=3233",I$12:I$463)</f>
        <v>3327071</v>
      </c>
      <c r="J87" s="178">
        <f t="shared" si="178"/>
        <v>2230811</v>
      </c>
      <c r="K87" s="178">
        <f t="shared" si="178"/>
        <v>200000</v>
      </c>
      <c r="L87" s="178">
        <f t="shared" si="178"/>
        <v>821614</v>
      </c>
      <c r="M87" s="178">
        <f t="shared" si="178"/>
        <v>44616</v>
      </c>
      <c r="N87" s="178">
        <f t="shared" si="178"/>
        <v>30030</v>
      </c>
      <c r="O87" s="179">
        <f t="shared" si="178"/>
        <v>4.9300000000000006</v>
      </c>
      <c r="P87" s="179">
        <f t="shared" si="178"/>
        <v>3.1700000000000004</v>
      </c>
      <c r="Q87" s="182">
        <f t="shared" si="178"/>
        <v>1.76</v>
      </c>
      <c r="R87" s="177">
        <f t="shared" si="178"/>
        <v>0</v>
      </c>
      <c r="S87" s="178">
        <f t="shared" si="178"/>
        <v>0</v>
      </c>
      <c r="T87" s="178">
        <f t="shared" si="178"/>
        <v>0</v>
      </c>
      <c r="U87" s="178">
        <f t="shared" si="178"/>
        <v>0</v>
      </c>
      <c r="V87" s="178">
        <f t="shared" si="178"/>
        <v>0</v>
      </c>
      <c r="W87" s="178">
        <f t="shared" si="178"/>
        <v>0</v>
      </c>
      <c r="X87" s="178">
        <f t="shared" si="178"/>
        <v>0</v>
      </c>
      <c r="Y87" s="178">
        <f t="shared" si="178"/>
        <v>0</v>
      </c>
      <c r="Z87" s="178">
        <f t="shared" si="178"/>
        <v>0</v>
      </c>
      <c r="AA87" s="178">
        <f t="shared" si="178"/>
        <v>0</v>
      </c>
      <c r="AB87" s="178">
        <f t="shared" si="178"/>
        <v>0</v>
      </c>
      <c r="AC87" s="178">
        <f t="shared" si="178"/>
        <v>0</v>
      </c>
      <c r="AD87" s="178">
        <f t="shared" si="178"/>
        <v>0</v>
      </c>
      <c r="AE87" s="178">
        <f t="shared" si="178"/>
        <v>0</v>
      </c>
      <c r="AF87" s="178">
        <f t="shared" si="178"/>
        <v>0</v>
      </c>
      <c r="AG87" s="178">
        <f t="shared" si="178"/>
        <v>0</v>
      </c>
      <c r="AH87" s="178">
        <f t="shared" si="178"/>
        <v>0</v>
      </c>
      <c r="AI87" s="178">
        <f t="shared" si="178"/>
        <v>0</v>
      </c>
      <c r="AJ87" s="179">
        <f t="shared" si="178"/>
        <v>0</v>
      </c>
      <c r="AK87" s="179">
        <f t="shared" si="178"/>
        <v>0</v>
      </c>
      <c r="AL87" s="179">
        <f t="shared" si="178"/>
        <v>0</v>
      </c>
      <c r="AM87" s="179">
        <f t="shared" si="178"/>
        <v>0</v>
      </c>
      <c r="AN87" s="179">
        <f t="shared" si="178"/>
        <v>0</v>
      </c>
      <c r="AO87" s="179">
        <f t="shared" si="178"/>
        <v>0</v>
      </c>
      <c r="AP87" s="179">
        <f t="shared" si="178"/>
        <v>0</v>
      </c>
      <c r="AQ87" s="179">
        <f t="shared" si="178"/>
        <v>0</v>
      </c>
      <c r="AR87" s="179">
        <f t="shared" si="178"/>
        <v>0</v>
      </c>
      <c r="AS87" s="179">
        <f t="shared" si="178"/>
        <v>0</v>
      </c>
      <c r="AT87" s="180">
        <f t="shared" si="178"/>
        <v>0</v>
      </c>
      <c r="AU87" s="181">
        <f t="shared" si="178"/>
        <v>3327071</v>
      </c>
      <c r="AV87" s="178">
        <f t="shared" si="178"/>
        <v>2230811</v>
      </c>
      <c r="AW87" s="178">
        <f t="shared" si="178"/>
        <v>200000</v>
      </c>
      <c r="AX87" s="178">
        <f t="shared" si="178"/>
        <v>821614</v>
      </c>
      <c r="AY87" s="178">
        <f t="shared" si="178"/>
        <v>44616</v>
      </c>
      <c r="AZ87" s="178">
        <f t="shared" si="178"/>
        <v>30030</v>
      </c>
      <c r="BA87" s="179">
        <f t="shared" si="178"/>
        <v>4.9300000000000006</v>
      </c>
      <c r="BB87" s="179">
        <f t="shared" si="178"/>
        <v>3.1700000000000004</v>
      </c>
      <c r="BC87" s="180">
        <f t="shared" si="178"/>
        <v>1.76</v>
      </c>
    </row>
    <row r="88" spans="4:55" x14ac:dyDescent="0.2">
      <c r="D88" s="5"/>
      <c r="E88" s="5"/>
      <c r="F88" s="5"/>
      <c r="G88" s="20"/>
      <c r="H88" s="5"/>
    </row>
    <row r="132" spans="44:46" x14ac:dyDescent="0.2">
      <c r="AR132" s="706">
        <f>AJ131+AL131+AM131+AO131+AP131</f>
        <v>0</v>
      </c>
      <c r="AS132" s="706">
        <f>AK131+AN131+AQ131</f>
        <v>0</v>
      </c>
      <c r="AT132" s="706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315"/>
  <sheetViews>
    <sheetView workbookViewId="0">
      <pane xSplit="8" ySplit="11" topLeftCell="P284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AJ286" sqref="AJ286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1.57031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1.140625" style="8" customWidth="1"/>
    <col min="48" max="48" width="10.140625" style="8" customWidth="1"/>
    <col min="49" max="49" width="9.140625" style="8"/>
    <col min="50" max="50" width="10" style="8" customWidth="1"/>
    <col min="51" max="52" width="9.140625" style="8"/>
    <col min="53" max="53" width="11.85546875" style="7" customWidth="1"/>
    <col min="54" max="55" width="9.28515625" style="7" customWidth="1"/>
    <col min="181" max="181" width="6.85546875" customWidth="1"/>
    <col min="182" max="182" width="29.85546875" customWidth="1"/>
    <col min="183" max="183" width="6.7109375" customWidth="1"/>
    <col min="184" max="184" width="32.28515625" customWidth="1"/>
    <col min="185" max="185" width="10.85546875" customWidth="1"/>
    <col min="186" max="186" width="11.7109375" customWidth="1"/>
    <col min="187" max="187" width="10.85546875" customWidth="1"/>
    <col min="188" max="188" width="10.5703125" customWidth="1"/>
    <col min="190" max="190" width="10.85546875" customWidth="1"/>
    <col min="193" max="193" width="12" customWidth="1"/>
    <col min="437" max="437" width="6.85546875" customWidth="1"/>
    <col min="438" max="438" width="29.85546875" customWidth="1"/>
    <col min="439" max="439" width="6.7109375" customWidth="1"/>
    <col min="440" max="440" width="32.28515625" customWidth="1"/>
    <col min="441" max="441" width="10.85546875" customWidth="1"/>
    <col min="442" max="442" width="11.7109375" customWidth="1"/>
    <col min="443" max="443" width="10.85546875" customWidth="1"/>
    <col min="444" max="444" width="10.5703125" customWidth="1"/>
    <col min="446" max="446" width="10.85546875" customWidth="1"/>
    <col min="449" max="449" width="12" customWidth="1"/>
    <col min="693" max="693" width="6.85546875" customWidth="1"/>
    <col min="694" max="694" width="29.85546875" customWidth="1"/>
    <col min="695" max="695" width="6.7109375" customWidth="1"/>
    <col min="696" max="696" width="32.28515625" customWidth="1"/>
    <col min="697" max="697" width="10.85546875" customWidth="1"/>
    <col min="698" max="698" width="11.7109375" customWidth="1"/>
    <col min="699" max="699" width="10.85546875" customWidth="1"/>
    <col min="700" max="700" width="10.5703125" customWidth="1"/>
    <col min="702" max="702" width="10.85546875" customWidth="1"/>
    <col min="705" max="705" width="12" customWidth="1"/>
    <col min="949" max="949" width="6.85546875" customWidth="1"/>
    <col min="950" max="950" width="29.85546875" customWidth="1"/>
    <col min="951" max="951" width="6.7109375" customWidth="1"/>
    <col min="952" max="952" width="32.28515625" customWidth="1"/>
    <col min="953" max="953" width="10.85546875" customWidth="1"/>
    <col min="954" max="954" width="11.7109375" customWidth="1"/>
    <col min="955" max="955" width="10.85546875" customWidth="1"/>
    <col min="956" max="956" width="10.5703125" customWidth="1"/>
    <col min="958" max="958" width="10.85546875" customWidth="1"/>
    <col min="961" max="961" width="12" customWidth="1"/>
    <col min="1205" max="1205" width="6.85546875" customWidth="1"/>
    <col min="1206" max="1206" width="29.85546875" customWidth="1"/>
    <col min="1207" max="1207" width="6.7109375" customWidth="1"/>
    <col min="1208" max="1208" width="32.28515625" customWidth="1"/>
    <col min="1209" max="1209" width="10.85546875" customWidth="1"/>
    <col min="1210" max="1210" width="11.7109375" customWidth="1"/>
    <col min="1211" max="1211" width="10.85546875" customWidth="1"/>
    <col min="1212" max="1212" width="10.5703125" customWidth="1"/>
    <col min="1214" max="1214" width="10.85546875" customWidth="1"/>
    <col min="1217" max="1217" width="12" customWidth="1"/>
    <col min="1461" max="1461" width="6.85546875" customWidth="1"/>
    <col min="1462" max="1462" width="29.85546875" customWidth="1"/>
    <col min="1463" max="1463" width="6.7109375" customWidth="1"/>
    <col min="1464" max="1464" width="32.28515625" customWidth="1"/>
    <col min="1465" max="1465" width="10.85546875" customWidth="1"/>
    <col min="1466" max="1466" width="11.7109375" customWidth="1"/>
    <col min="1467" max="1467" width="10.85546875" customWidth="1"/>
    <col min="1468" max="1468" width="10.5703125" customWidth="1"/>
    <col min="1470" max="1470" width="10.85546875" customWidth="1"/>
    <col min="1473" max="1473" width="12" customWidth="1"/>
    <col min="1717" max="1717" width="6.85546875" customWidth="1"/>
    <col min="1718" max="1718" width="29.85546875" customWidth="1"/>
    <col min="1719" max="1719" width="6.7109375" customWidth="1"/>
    <col min="1720" max="1720" width="32.28515625" customWidth="1"/>
    <col min="1721" max="1721" width="10.85546875" customWidth="1"/>
    <col min="1722" max="1722" width="11.7109375" customWidth="1"/>
    <col min="1723" max="1723" width="10.85546875" customWidth="1"/>
    <col min="1724" max="1724" width="10.5703125" customWidth="1"/>
    <col min="1726" max="1726" width="10.85546875" customWidth="1"/>
    <col min="1729" max="1729" width="12" customWidth="1"/>
    <col min="1973" max="1973" width="6.85546875" customWidth="1"/>
    <col min="1974" max="1974" width="29.85546875" customWidth="1"/>
    <col min="1975" max="1975" width="6.7109375" customWidth="1"/>
    <col min="1976" max="1976" width="32.28515625" customWidth="1"/>
    <col min="1977" max="1977" width="10.85546875" customWidth="1"/>
    <col min="1978" max="1978" width="11.7109375" customWidth="1"/>
    <col min="1979" max="1979" width="10.85546875" customWidth="1"/>
    <col min="1980" max="1980" width="10.5703125" customWidth="1"/>
    <col min="1982" max="1982" width="10.85546875" customWidth="1"/>
    <col min="1985" max="1985" width="12" customWidth="1"/>
    <col min="2229" max="2229" width="6.85546875" customWidth="1"/>
    <col min="2230" max="2230" width="29.85546875" customWidth="1"/>
    <col min="2231" max="2231" width="6.7109375" customWidth="1"/>
    <col min="2232" max="2232" width="32.28515625" customWidth="1"/>
    <col min="2233" max="2233" width="10.85546875" customWidth="1"/>
    <col min="2234" max="2234" width="11.7109375" customWidth="1"/>
    <col min="2235" max="2235" width="10.85546875" customWidth="1"/>
    <col min="2236" max="2236" width="10.5703125" customWidth="1"/>
    <col min="2238" max="2238" width="10.85546875" customWidth="1"/>
    <col min="2241" max="2241" width="12" customWidth="1"/>
    <col min="2485" max="2485" width="6.85546875" customWidth="1"/>
    <col min="2486" max="2486" width="29.85546875" customWidth="1"/>
    <col min="2487" max="2487" width="6.7109375" customWidth="1"/>
    <col min="2488" max="2488" width="32.28515625" customWidth="1"/>
    <col min="2489" max="2489" width="10.85546875" customWidth="1"/>
    <col min="2490" max="2490" width="11.7109375" customWidth="1"/>
    <col min="2491" max="2491" width="10.85546875" customWidth="1"/>
    <col min="2492" max="2492" width="10.5703125" customWidth="1"/>
    <col min="2494" max="2494" width="10.85546875" customWidth="1"/>
    <col min="2497" max="2497" width="12" customWidth="1"/>
    <col min="2741" max="2741" width="6.85546875" customWidth="1"/>
    <col min="2742" max="2742" width="29.85546875" customWidth="1"/>
    <col min="2743" max="2743" width="6.7109375" customWidth="1"/>
    <col min="2744" max="2744" width="32.28515625" customWidth="1"/>
    <col min="2745" max="2745" width="10.85546875" customWidth="1"/>
    <col min="2746" max="2746" width="11.7109375" customWidth="1"/>
    <col min="2747" max="2747" width="10.85546875" customWidth="1"/>
    <col min="2748" max="2748" width="10.5703125" customWidth="1"/>
    <col min="2750" max="2750" width="10.85546875" customWidth="1"/>
    <col min="2753" max="2753" width="12" customWidth="1"/>
    <col min="2997" max="2997" width="6.85546875" customWidth="1"/>
    <col min="2998" max="2998" width="29.85546875" customWidth="1"/>
    <col min="2999" max="2999" width="6.7109375" customWidth="1"/>
    <col min="3000" max="3000" width="32.28515625" customWidth="1"/>
    <col min="3001" max="3001" width="10.85546875" customWidth="1"/>
    <col min="3002" max="3002" width="11.7109375" customWidth="1"/>
    <col min="3003" max="3003" width="10.85546875" customWidth="1"/>
    <col min="3004" max="3004" width="10.5703125" customWidth="1"/>
    <col min="3006" max="3006" width="10.85546875" customWidth="1"/>
    <col min="3009" max="3009" width="12" customWidth="1"/>
    <col min="3253" max="3253" width="6.85546875" customWidth="1"/>
    <col min="3254" max="3254" width="29.85546875" customWidth="1"/>
    <col min="3255" max="3255" width="6.7109375" customWidth="1"/>
    <col min="3256" max="3256" width="32.28515625" customWidth="1"/>
    <col min="3257" max="3257" width="10.85546875" customWidth="1"/>
    <col min="3258" max="3258" width="11.7109375" customWidth="1"/>
    <col min="3259" max="3259" width="10.85546875" customWidth="1"/>
    <col min="3260" max="3260" width="10.5703125" customWidth="1"/>
    <col min="3262" max="3262" width="10.85546875" customWidth="1"/>
    <col min="3265" max="3265" width="12" customWidth="1"/>
    <col min="3509" max="3509" width="6.85546875" customWidth="1"/>
    <col min="3510" max="3510" width="29.85546875" customWidth="1"/>
    <col min="3511" max="3511" width="6.7109375" customWidth="1"/>
    <col min="3512" max="3512" width="32.28515625" customWidth="1"/>
    <col min="3513" max="3513" width="10.85546875" customWidth="1"/>
    <col min="3514" max="3514" width="11.7109375" customWidth="1"/>
    <col min="3515" max="3515" width="10.85546875" customWidth="1"/>
    <col min="3516" max="3516" width="10.5703125" customWidth="1"/>
    <col min="3518" max="3518" width="10.85546875" customWidth="1"/>
    <col min="3521" max="3521" width="12" customWidth="1"/>
    <col min="3765" max="3765" width="6.85546875" customWidth="1"/>
    <col min="3766" max="3766" width="29.85546875" customWidth="1"/>
    <col min="3767" max="3767" width="6.7109375" customWidth="1"/>
    <col min="3768" max="3768" width="32.28515625" customWidth="1"/>
    <col min="3769" max="3769" width="10.85546875" customWidth="1"/>
    <col min="3770" max="3770" width="11.7109375" customWidth="1"/>
    <col min="3771" max="3771" width="10.85546875" customWidth="1"/>
    <col min="3772" max="3772" width="10.5703125" customWidth="1"/>
    <col min="3774" max="3774" width="10.85546875" customWidth="1"/>
    <col min="3777" max="3777" width="12" customWidth="1"/>
    <col min="4021" max="4021" width="6.85546875" customWidth="1"/>
    <col min="4022" max="4022" width="29.85546875" customWidth="1"/>
    <col min="4023" max="4023" width="6.7109375" customWidth="1"/>
    <col min="4024" max="4024" width="32.28515625" customWidth="1"/>
    <col min="4025" max="4025" width="10.85546875" customWidth="1"/>
    <col min="4026" max="4026" width="11.7109375" customWidth="1"/>
    <col min="4027" max="4027" width="10.85546875" customWidth="1"/>
    <col min="4028" max="4028" width="10.5703125" customWidth="1"/>
    <col min="4030" max="4030" width="10.85546875" customWidth="1"/>
    <col min="4033" max="4033" width="12" customWidth="1"/>
    <col min="4277" max="4277" width="6.85546875" customWidth="1"/>
    <col min="4278" max="4278" width="29.85546875" customWidth="1"/>
    <col min="4279" max="4279" width="6.7109375" customWidth="1"/>
    <col min="4280" max="4280" width="32.28515625" customWidth="1"/>
    <col min="4281" max="4281" width="10.85546875" customWidth="1"/>
    <col min="4282" max="4282" width="11.7109375" customWidth="1"/>
    <col min="4283" max="4283" width="10.85546875" customWidth="1"/>
    <col min="4284" max="4284" width="10.5703125" customWidth="1"/>
    <col min="4286" max="4286" width="10.85546875" customWidth="1"/>
    <col min="4289" max="4289" width="12" customWidth="1"/>
    <col min="4533" max="4533" width="6.85546875" customWidth="1"/>
    <col min="4534" max="4534" width="29.85546875" customWidth="1"/>
    <col min="4535" max="4535" width="6.7109375" customWidth="1"/>
    <col min="4536" max="4536" width="32.28515625" customWidth="1"/>
    <col min="4537" max="4537" width="10.85546875" customWidth="1"/>
    <col min="4538" max="4538" width="11.7109375" customWidth="1"/>
    <col min="4539" max="4539" width="10.85546875" customWidth="1"/>
    <col min="4540" max="4540" width="10.5703125" customWidth="1"/>
    <col min="4542" max="4542" width="10.85546875" customWidth="1"/>
    <col min="4545" max="4545" width="12" customWidth="1"/>
    <col min="4789" max="4789" width="6.85546875" customWidth="1"/>
    <col min="4790" max="4790" width="29.85546875" customWidth="1"/>
    <col min="4791" max="4791" width="6.7109375" customWidth="1"/>
    <col min="4792" max="4792" width="32.28515625" customWidth="1"/>
    <col min="4793" max="4793" width="10.85546875" customWidth="1"/>
    <col min="4794" max="4794" width="11.7109375" customWidth="1"/>
    <col min="4795" max="4795" width="10.85546875" customWidth="1"/>
    <col min="4796" max="4796" width="10.5703125" customWidth="1"/>
    <col min="4798" max="4798" width="10.85546875" customWidth="1"/>
    <col min="4801" max="4801" width="12" customWidth="1"/>
    <col min="5045" max="5045" width="6.85546875" customWidth="1"/>
    <col min="5046" max="5046" width="29.85546875" customWidth="1"/>
    <col min="5047" max="5047" width="6.7109375" customWidth="1"/>
    <col min="5048" max="5048" width="32.28515625" customWidth="1"/>
    <col min="5049" max="5049" width="10.85546875" customWidth="1"/>
    <col min="5050" max="5050" width="11.7109375" customWidth="1"/>
    <col min="5051" max="5051" width="10.85546875" customWidth="1"/>
    <col min="5052" max="5052" width="10.5703125" customWidth="1"/>
    <col min="5054" max="5054" width="10.85546875" customWidth="1"/>
    <col min="5057" max="5057" width="12" customWidth="1"/>
    <col min="5301" max="5301" width="6.85546875" customWidth="1"/>
    <col min="5302" max="5302" width="29.85546875" customWidth="1"/>
    <col min="5303" max="5303" width="6.7109375" customWidth="1"/>
    <col min="5304" max="5304" width="32.28515625" customWidth="1"/>
    <col min="5305" max="5305" width="10.85546875" customWidth="1"/>
    <col min="5306" max="5306" width="11.7109375" customWidth="1"/>
    <col min="5307" max="5307" width="10.85546875" customWidth="1"/>
    <col min="5308" max="5308" width="10.5703125" customWidth="1"/>
    <col min="5310" max="5310" width="10.85546875" customWidth="1"/>
    <col min="5313" max="5313" width="12" customWidth="1"/>
    <col min="5557" max="5557" width="6.85546875" customWidth="1"/>
    <col min="5558" max="5558" width="29.85546875" customWidth="1"/>
    <col min="5559" max="5559" width="6.7109375" customWidth="1"/>
    <col min="5560" max="5560" width="32.28515625" customWidth="1"/>
    <col min="5561" max="5561" width="10.85546875" customWidth="1"/>
    <col min="5562" max="5562" width="11.7109375" customWidth="1"/>
    <col min="5563" max="5563" width="10.85546875" customWidth="1"/>
    <col min="5564" max="5564" width="10.5703125" customWidth="1"/>
    <col min="5566" max="5566" width="10.85546875" customWidth="1"/>
    <col min="5569" max="5569" width="12" customWidth="1"/>
    <col min="5813" max="5813" width="6.85546875" customWidth="1"/>
    <col min="5814" max="5814" width="29.85546875" customWidth="1"/>
    <col min="5815" max="5815" width="6.7109375" customWidth="1"/>
    <col min="5816" max="5816" width="32.28515625" customWidth="1"/>
    <col min="5817" max="5817" width="10.85546875" customWidth="1"/>
    <col min="5818" max="5818" width="11.7109375" customWidth="1"/>
    <col min="5819" max="5819" width="10.85546875" customWidth="1"/>
    <col min="5820" max="5820" width="10.5703125" customWidth="1"/>
    <col min="5822" max="5822" width="10.85546875" customWidth="1"/>
    <col min="5825" max="5825" width="12" customWidth="1"/>
    <col min="6069" max="6069" width="6.85546875" customWidth="1"/>
    <col min="6070" max="6070" width="29.85546875" customWidth="1"/>
    <col min="6071" max="6071" width="6.7109375" customWidth="1"/>
    <col min="6072" max="6072" width="32.28515625" customWidth="1"/>
    <col min="6073" max="6073" width="10.85546875" customWidth="1"/>
    <col min="6074" max="6074" width="11.7109375" customWidth="1"/>
    <col min="6075" max="6075" width="10.85546875" customWidth="1"/>
    <col min="6076" max="6076" width="10.5703125" customWidth="1"/>
    <col min="6078" max="6078" width="10.85546875" customWidth="1"/>
    <col min="6081" max="6081" width="12" customWidth="1"/>
    <col min="6325" max="6325" width="6.85546875" customWidth="1"/>
    <col min="6326" max="6326" width="29.85546875" customWidth="1"/>
    <col min="6327" max="6327" width="6.7109375" customWidth="1"/>
    <col min="6328" max="6328" width="32.28515625" customWidth="1"/>
    <col min="6329" max="6329" width="10.85546875" customWidth="1"/>
    <col min="6330" max="6330" width="11.7109375" customWidth="1"/>
    <col min="6331" max="6331" width="10.85546875" customWidth="1"/>
    <col min="6332" max="6332" width="10.5703125" customWidth="1"/>
    <col min="6334" max="6334" width="10.85546875" customWidth="1"/>
    <col min="6337" max="6337" width="12" customWidth="1"/>
    <col min="6581" max="6581" width="6.85546875" customWidth="1"/>
    <col min="6582" max="6582" width="29.85546875" customWidth="1"/>
    <col min="6583" max="6583" width="6.7109375" customWidth="1"/>
    <col min="6584" max="6584" width="32.28515625" customWidth="1"/>
    <col min="6585" max="6585" width="10.85546875" customWidth="1"/>
    <col min="6586" max="6586" width="11.7109375" customWidth="1"/>
    <col min="6587" max="6587" width="10.85546875" customWidth="1"/>
    <col min="6588" max="6588" width="10.5703125" customWidth="1"/>
    <col min="6590" max="6590" width="10.85546875" customWidth="1"/>
    <col min="6593" max="6593" width="12" customWidth="1"/>
    <col min="6837" max="6837" width="6.85546875" customWidth="1"/>
    <col min="6838" max="6838" width="29.85546875" customWidth="1"/>
    <col min="6839" max="6839" width="6.7109375" customWidth="1"/>
    <col min="6840" max="6840" width="32.28515625" customWidth="1"/>
    <col min="6841" max="6841" width="10.85546875" customWidth="1"/>
    <col min="6842" max="6842" width="11.7109375" customWidth="1"/>
    <col min="6843" max="6843" width="10.85546875" customWidth="1"/>
    <col min="6844" max="6844" width="10.5703125" customWidth="1"/>
    <col min="6846" max="6846" width="10.85546875" customWidth="1"/>
    <col min="6849" max="6849" width="12" customWidth="1"/>
    <col min="7093" max="7093" width="6.85546875" customWidth="1"/>
    <col min="7094" max="7094" width="29.85546875" customWidth="1"/>
    <col min="7095" max="7095" width="6.7109375" customWidth="1"/>
    <col min="7096" max="7096" width="32.28515625" customWidth="1"/>
    <col min="7097" max="7097" width="10.85546875" customWidth="1"/>
    <col min="7098" max="7098" width="11.7109375" customWidth="1"/>
    <col min="7099" max="7099" width="10.85546875" customWidth="1"/>
    <col min="7100" max="7100" width="10.5703125" customWidth="1"/>
    <col min="7102" max="7102" width="10.85546875" customWidth="1"/>
    <col min="7105" max="7105" width="12" customWidth="1"/>
    <col min="7349" max="7349" width="6.85546875" customWidth="1"/>
    <col min="7350" max="7350" width="29.85546875" customWidth="1"/>
    <col min="7351" max="7351" width="6.7109375" customWidth="1"/>
    <col min="7352" max="7352" width="32.28515625" customWidth="1"/>
    <col min="7353" max="7353" width="10.85546875" customWidth="1"/>
    <col min="7354" max="7354" width="11.7109375" customWidth="1"/>
    <col min="7355" max="7355" width="10.85546875" customWidth="1"/>
    <col min="7356" max="7356" width="10.5703125" customWidth="1"/>
    <col min="7358" max="7358" width="10.85546875" customWidth="1"/>
    <col min="7361" max="7361" width="12" customWidth="1"/>
    <col min="7605" max="7605" width="6.85546875" customWidth="1"/>
    <col min="7606" max="7606" width="29.85546875" customWidth="1"/>
    <col min="7607" max="7607" width="6.7109375" customWidth="1"/>
    <col min="7608" max="7608" width="32.28515625" customWidth="1"/>
    <col min="7609" max="7609" width="10.85546875" customWidth="1"/>
    <col min="7610" max="7610" width="11.7109375" customWidth="1"/>
    <col min="7611" max="7611" width="10.85546875" customWidth="1"/>
    <col min="7612" max="7612" width="10.5703125" customWidth="1"/>
    <col min="7614" max="7614" width="10.85546875" customWidth="1"/>
    <col min="7617" max="7617" width="12" customWidth="1"/>
    <col min="7861" max="7861" width="6.85546875" customWidth="1"/>
    <col min="7862" max="7862" width="29.85546875" customWidth="1"/>
    <col min="7863" max="7863" width="6.7109375" customWidth="1"/>
    <col min="7864" max="7864" width="32.28515625" customWidth="1"/>
    <col min="7865" max="7865" width="10.85546875" customWidth="1"/>
    <col min="7866" max="7866" width="11.7109375" customWidth="1"/>
    <col min="7867" max="7867" width="10.85546875" customWidth="1"/>
    <col min="7868" max="7868" width="10.5703125" customWidth="1"/>
    <col min="7870" max="7870" width="10.85546875" customWidth="1"/>
    <col min="7873" max="7873" width="12" customWidth="1"/>
    <col min="8117" max="8117" width="6.85546875" customWidth="1"/>
    <col min="8118" max="8118" width="29.85546875" customWidth="1"/>
    <col min="8119" max="8119" width="6.7109375" customWidth="1"/>
    <col min="8120" max="8120" width="32.28515625" customWidth="1"/>
    <col min="8121" max="8121" width="10.85546875" customWidth="1"/>
    <col min="8122" max="8122" width="11.7109375" customWidth="1"/>
    <col min="8123" max="8123" width="10.85546875" customWidth="1"/>
    <col min="8124" max="8124" width="10.5703125" customWidth="1"/>
    <col min="8126" max="8126" width="10.85546875" customWidth="1"/>
    <col min="8129" max="8129" width="12" customWidth="1"/>
    <col min="8373" max="8373" width="6.85546875" customWidth="1"/>
    <col min="8374" max="8374" width="29.85546875" customWidth="1"/>
    <col min="8375" max="8375" width="6.7109375" customWidth="1"/>
    <col min="8376" max="8376" width="32.28515625" customWidth="1"/>
    <col min="8377" max="8377" width="10.85546875" customWidth="1"/>
    <col min="8378" max="8378" width="11.7109375" customWidth="1"/>
    <col min="8379" max="8379" width="10.85546875" customWidth="1"/>
    <col min="8380" max="8380" width="10.5703125" customWidth="1"/>
    <col min="8382" max="8382" width="10.85546875" customWidth="1"/>
    <col min="8385" max="8385" width="12" customWidth="1"/>
    <col min="8629" max="8629" width="6.85546875" customWidth="1"/>
    <col min="8630" max="8630" width="29.85546875" customWidth="1"/>
    <col min="8631" max="8631" width="6.7109375" customWidth="1"/>
    <col min="8632" max="8632" width="32.28515625" customWidth="1"/>
    <col min="8633" max="8633" width="10.85546875" customWidth="1"/>
    <col min="8634" max="8634" width="11.7109375" customWidth="1"/>
    <col min="8635" max="8635" width="10.85546875" customWidth="1"/>
    <col min="8636" max="8636" width="10.5703125" customWidth="1"/>
    <col min="8638" max="8638" width="10.85546875" customWidth="1"/>
    <col min="8641" max="8641" width="12" customWidth="1"/>
    <col min="8885" max="8885" width="6.85546875" customWidth="1"/>
    <col min="8886" max="8886" width="29.85546875" customWidth="1"/>
    <col min="8887" max="8887" width="6.7109375" customWidth="1"/>
    <col min="8888" max="8888" width="32.28515625" customWidth="1"/>
    <col min="8889" max="8889" width="10.85546875" customWidth="1"/>
    <col min="8890" max="8890" width="11.7109375" customWidth="1"/>
    <col min="8891" max="8891" width="10.85546875" customWidth="1"/>
    <col min="8892" max="8892" width="10.5703125" customWidth="1"/>
    <col min="8894" max="8894" width="10.85546875" customWidth="1"/>
    <col min="8897" max="8897" width="12" customWidth="1"/>
    <col min="9141" max="9141" width="6.85546875" customWidth="1"/>
    <col min="9142" max="9142" width="29.85546875" customWidth="1"/>
    <col min="9143" max="9143" width="6.7109375" customWidth="1"/>
    <col min="9144" max="9144" width="32.28515625" customWidth="1"/>
    <col min="9145" max="9145" width="10.85546875" customWidth="1"/>
    <col min="9146" max="9146" width="11.7109375" customWidth="1"/>
    <col min="9147" max="9147" width="10.85546875" customWidth="1"/>
    <col min="9148" max="9148" width="10.5703125" customWidth="1"/>
    <col min="9150" max="9150" width="10.85546875" customWidth="1"/>
    <col min="9153" max="9153" width="12" customWidth="1"/>
    <col min="9397" max="9397" width="6.85546875" customWidth="1"/>
    <col min="9398" max="9398" width="29.85546875" customWidth="1"/>
    <col min="9399" max="9399" width="6.7109375" customWidth="1"/>
    <col min="9400" max="9400" width="32.28515625" customWidth="1"/>
    <col min="9401" max="9401" width="10.85546875" customWidth="1"/>
    <col min="9402" max="9402" width="11.7109375" customWidth="1"/>
    <col min="9403" max="9403" width="10.85546875" customWidth="1"/>
    <col min="9404" max="9404" width="10.5703125" customWidth="1"/>
    <col min="9406" max="9406" width="10.85546875" customWidth="1"/>
    <col min="9409" max="9409" width="12" customWidth="1"/>
    <col min="9653" max="9653" width="6.85546875" customWidth="1"/>
    <col min="9654" max="9654" width="29.85546875" customWidth="1"/>
    <col min="9655" max="9655" width="6.7109375" customWidth="1"/>
    <col min="9656" max="9656" width="32.28515625" customWidth="1"/>
    <col min="9657" max="9657" width="10.85546875" customWidth="1"/>
    <col min="9658" max="9658" width="11.7109375" customWidth="1"/>
    <col min="9659" max="9659" width="10.85546875" customWidth="1"/>
    <col min="9660" max="9660" width="10.5703125" customWidth="1"/>
    <col min="9662" max="9662" width="10.85546875" customWidth="1"/>
    <col min="9665" max="9665" width="12" customWidth="1"/>
    <col min="9909" max="9909" width="6.85546875" customWidth="1"/>
    <col min="9910" max="9910" width="29.85546875" customWidth="1"/>
    <col min="9911" max="9911" width="6.7109375" customWidth="1"/>
    <col min="9912" max="9912" width="32.28515625" customWidth="1"/>
    <col min="9913" max="9913" width="10.85546875" customWidth="1"/>
    <col min="9914" max="9914" width="11.7109375" customWidth="1"/>
    <col min="9915" max="9915" width="10.85546875" customWidth="1"/>
    <col min="9916" max="9916" width="10.5703125" customWidth="1"/>
    <col min="9918" max="9918" width="10.85546875" customWidth="1"/>
    <col min="9921" max="9921" width="12" customWidth="1"/>
    <col min="10165" max="10165" width="6.85546875" customWidth="1"/>
    <col min="10166" max="10166" width="29.85546875" customWidth="1"/>
    <col min="10167" max="10167" width="6.7109375" customWidth="1"/>
    <col min="10168" max="10168" width="32.28515625" customWidth="1"/>
    <col min="10169" max="10169" width="10.85546875" customWidth="1"/>
    <col min="10170" max="10170" width="11.7109375" customWidth="1"/>
    <col min="10171" max="10171" width="10.85546875" customWidth="1"/>
    <col min="10172" max="10172" width="10.5703125" customWidth="1"/>
    <col min="10174" max="10174" width="10.85546875" customWidth="1"/>
    <col min="10177" max="10177" width="12" customWidth="1"/>
    <col min="10421" max="10421" width="6.85546875" customWidth="1"/>
    <col min="10422" max="10422" width="29.85546875" customWidth="1"/>
    <col min="10423" max="10423" width="6.7109375" customWidth="1"/>
    <col min="10424" max="10424" width="32.28515625" customWidth="1"/>
    <col min="10425" max="10425" width="10.85546875" customWidth="1"/>
    <col min="10426" max="10426" width="11.7109375" customWidth="1"/>
    <col min="10427" max="10427" width="10.85546875" customWidth="1"/>
    <col min="10428" max="10428" width="10.5703125" customWidth="1"/>
    <col min="10430" max="10430" width="10.85546875" customWidth="1"/>
    <col min="10433" max="10433" width="12" customWidth="1"/>
    <col min="10677" max="10677" width="6.85546875" customWidth="1"/>
    <col min="10678" max="10678" width="29.85546875" customWidth="1"/>
    <col min="10679" max="10679" width="6.7109375" customWidth="1"/>
    <col min="10680" max="10680" width="32.28515625" customWidth="1"/>
    <col min="10681" max="10681" width="10.85546875" customWidth="1"/>
    <col min="10682" max="10682" width="11.7109375" customWidth="1"/>
    <col min="10683" max="10683" width="10.85546875" customWidth="1"/>
    <col min="10684" max="10684" width="10.5703125" customWidth="1"/>
    <col min="10686" max="10686" width="10.85546875" customWidth="1"/>
    <col min="10689" max="10689" width="12" customWidth="1"/>
    <col min="10933" max="10933" width="6.85546875" customWidth="1"/>
    <col min="10934" max="10934" width="29.85546875" customWidth="1"/>
    <col min="10935" max="10935" width="6.7109375" customWidth="1"/>
    <col min="10936" max="10936" width="32.28515625" customWidth="1"/>
    <col min="10937" max="10937" width="10.85546875" customWidth="1"/>
    <col min="10938" max="10938" width="11.7109375" customWidth="1"/>
    <col min="10939" max="10939" width="10.85546875" customWidth="1"/>
    <col min="10940" max="10940" width="10.5703125" customWidth="1"/>
    <col min="10942" max="10942" width="10.85546875" customWidth="1"/>
    <col min="10945" max="10945" width="12" customWidth="1"/>
    <col min="11189" max="11189" width="6.85546875" customWidth="1"/>
    <col min="11190" max="11190" width="29.85546875" customWidth="1"/>
    <col min="11191" max="11191" width="6.7109375" customWidth="1"/>
    <col min="11192" max="11192" width="32.28515625" customWidth="1"/>
    <col min="11193" max="11193" width="10.85546875" customWidth="1"/>
    <col min="11194" max="11194" width="11.7109375" customWidth="1"/>
    <col min="11195" max="11195" width="10.85546875" customWidth="1"/>
    <col min="11196" max="11196" width="10.5703125" customWidth="1"/>
    <col min="11198" max="11198" width="10.85546875" customWidth="1"/>
    <col min="11201" max="11201" width="12" customWidth="1"/>
    <col min="11445" max="11445" width="6.85546875" customWidth="1"/>
    <col min="11446" max="11446" width="29.85546875" customWidth="1"/>
    <col min="11447" max="11447" width="6.7109375" customWidth="1"/>
    <col min="11448" max="11448" width="32.28515625" customWidth="1"/>
    <col min="11449" max="11449" width="10.85546875" customWidth="1"/>
    <col min="11450" max="11450" width="11.7109375" customWidth="1"/>
    <col min="11451" max="11451" width="10.85546875" customWidth="1"/>
    <col min="11452" max="11452" width="10.5703125" customWidth="1"/>
    <col min="11454" max="11454" width="10.85546875" customWidth="1"/>
    <col min="11457" max="11457" width="12" customWidth="1"/>
    <col min="11701" max="11701" width="6.85546875" customWidth="1"/>
    <col min="11702" max="11702" width="29.85546875" customWidth="1"/>
    <col min="11703" max="11703" width="6.7109375" customWidth="1"/>
    <col min="11704" max="11704" width="32.28515625" customWidth="1"/>
    <col min="11705" max="11705" width="10.85546875" customWidth="1"/>
    <col min="11706" max="11706" width="11.7109375" customWidth="1"/>
    <col min="11707" max="11707" width="10.85546875" customWidth="1"/>
    <col min="11708" max="11708" width="10.5703125" customWidth="1"/>
    <col min="11710" max="11710" width="10.85546875" customWidth="1"/>
    <col min="11713" max="11713" width="12" customWidth="1"/>
    <col min="11957" max="11957" width="6.85546875" customWidth="1"/>
    <col min="11958" max="11958" width="29.85546875" customWidth="1"/>
    <col min="11959" max="11959" width="6.7109375" customWidth="1"/>
    <col min="11960" max="11960" width="32.28515625" customWidth="1"/>
    <col min="11961" max="11961" width="10.85546875" customWidth="1"/>
    <col min="11962" max="11962" width="11.7109375" customWidth="1"/>
    <col min="11963" max="11963" width="10.85546875" customWidth="1"/>
    <col min="11964" max="11964" width="10.5703125" customWidth="1"/>
    <col min="11966" max="11966" width="10.85546875" customWidth="1"/>
    <col min="11969" max="11969" width="12" customWidth="1"/>
    <col min="12213" max="12213" width="6.85546875" customWidth="1"/>
    <col min="12214" max="12214" width="29.85546875" customWidth="1"/>
    <col min="12215" max="12215" width="6.7109375" customWidth="1"/>
    <col min="12216" max="12216" width="32.28515625" customWidth="1"/>
    <col min="12217" max="12217" width="10.85546875" customWidth="1"/>
    <col min="12218" max="12218" width="11.7109375" customWidth="1"/>
    <col min="12219" max="12219" width="10.85546875" customWidth="1"/>
    <col min="12220" max="12220" width="10.5703125" customWidth="1"/>
    <col min="12222" max="12222" width="10.85546875" customWidth="1"/>
    <col min="12225" max="12225" width="12" customWidth="1"/>
    <col min="12469" max="12469" width="6.85546875" customWidth="1"/>
    <col min="12470" max="12470" width="29.85546875" customWidth="1"/>
    <col min="12471" max="12471" width="6.7109375" customWidth="1"/>
    <col min="12472" max="12472" width="32.28515625" customWidth="1"/>
    <col min="12473" max="12473" width="10.85546875" customWidth="1"/>
    <col min="12474" max="12474" width="11.7109375" customWidth="1"/>
    <col min="12475" max="12475" width="10.85546875" customWidth="1"/>
    <col min="12476" max="12476" width="10.5703125" customWidth="1"/>
    <col min="12478" max="12478" width="10.85546875" customWidth="1"/>
    <col min="12481" max="12481" width="12" customWidth="1"/>
    <col min="12725" max="12725" width="6.85546875" customWidth="1"/>
    <col min="12726" max="12726" width="29.85546875" customWidth="1"/>
    <col min="12727" max="12727" width="6.7109375" customWidth="1"/>
    <col min="12728" max="12728" width="32.28515625" customWidth="1"/>
    <col min="12729" max="12729" width="10.85546875" customWidth="1"/>
    <col min="12730" max="12730" width="11.7109375" customWidth="1"/>
    <col min="12731" max="12731" width="10.85546875" customWidth="1"/>
    <col min="12732" max="12732" width="10.5703125" customWidth="1"/>
    <col min="12734" max="12734" width="10.85546875" customWidth="1"/>
    <col min="12737" max="12737" width="12" customWidth="1"/>
    <col min="12981" max="12981" width="6.85546875" customWidth="1"/>
    <col min="12982" max="12982" width="29.85546875" customWidth="1"/>
    <col min="12983" max="12983" width="6.7109375" customWidth="1"/>
    <col min="12984" max="12984" width="32.28515625" customWidth="1"/>
    <col min="12985" max="12985" width="10.85546875" customWidth="1"/>
    <col min="12986" max="12986" width="11.7109375" customWidth="1"/>
    <col min="12987" max="12987" width="10.85546875" customWidth="1"/>
    <col min="12988" max="12988" width="10.5703125" customWidth="1"/>
    <col min="12990" max="12990" width="10.85546875" customWidth="1"/>
    <col min="12993" max="12993" width="12" customWidth="1"/>
    <col min="13237" max="13237" width="6.85546875" customWidth="1"/>
    <col min="13238" max="13238" width="29.85546875" customWidth="1"/>
    <col min="13239" max="13239" width="6.7109375" customWidth="1"/>
    <col min="13240" max="13240" width="32.28515625" customWidth="1"/>
    <col min="13241" max="13241" width="10.85546875" customWidth="1"/>
    <col min="13242" max="13242" width="11.7109375" customWidth="1"/>
    <col min="13243" max="13243" width="10.85546875" customWidth="1"/>
    <col min="13244" max="13244" width="10.5703125" customWidth="1"/>
    <col min="13246" max="13246" width="10.85546875" customWidth="1"/>
    <col min="13249" max="13249" width="12" customWidth="1"/>
    <col min="13493" max="13493" width="6.85546875" customWidth="1"/>
    <col min="13494" max="13494" width="29.85546875" customWidth="1"/>
    <col min="13495" max="13495" width="6.7109375" customWidth="1"/>
    <col min="13496" max="13496" width="32.28515625" customWidth="1"/>
    <col min="13497" max="13497" width="10.85546875" customWidth="1"/>
    <col min="13498" max="13498" width="11.7109375" customWidth="1"/>
    <col min="13499" max="13499" width="10.85546875" customWidth="1"/>
    <col min="13500" max="13500" width="10.5703125" customWidth="1"/>
    <col min="13502" max="13502" width="10.85546875" customWidth="1"/>
    <col min="13505" max="13505" width="12" customWidth="1"/>
    <col min="13749" max="13749" width="6.85546875" customWidth="1"/>
    <col min="13750" max="13750" width="29.85546875" customWidth="1"/>
    <col min="13751" max="13751" width="6.7109375" customWidth="1"/>
    <col min="13752" max="13752" width="32.28515625" customWidth="1"/>
    <col min="13753" max="13753" width="10.85546875" customWidth="1"/>
    <col min="13754" max="13754" width="11.7109375" customWidth="1"/>
    <col min="13755" max="13755" width="10.85546875" customWidth="1"/>
    <col min="13756" max="13756" width="10.5703125" customWidth="1"/>
    <col min="13758" max="13758" width="10.85546875" customWidth="1"/>
    <col min="13761" max="13761" width="12" customWidth="1"/>
    <col min="14005" max="14005" width="6.85546875" customWidth="1"/>
    <col min="14006" max="14006" width="29.85546875" customWidth="1"/>
    <col min="14007" max="14007" width="6.7109375" customWidth="1"/>
    <col min="14008" max="14008" width="32.28515625" customWidth="1"/>
    <col min="14009" max="14009" width="10.85546875" customWidth="1"/>
    <col min="14010" max="14010" width="11.7109375" customWidth="1"/>
    <col min="14011" max="14011" width="10.85546875" customWidth="1"/>
    <col min="14012" max="14012" width="10.5703125" customWidth="1"/>
    <col min="14014" max="14014" width="10.85546875" customWidth="1"/>
    <col min="14017" max="14017" width="12" customWidth="1"/>
    <col min="14261" max="14261" width="6.85546875" customWidth="1"/>
    <col min="14262" max="14262" width="29.85546875" customWidth="1"/>
    <col min="14263" max="14263" width="6.7109375" customWidth="1"/>
    <col min="14264" max="14264" width="32.28515625" customWidth="1"/>
    <col min="14265" max="14265" width="10.85546875" customWidth="1"/>
    <col min="14266" max="14266" width="11.7109375" customWidth="1"/>
    <col min="14267" max="14267" width="10.85546875" customWidth="1"/>
    <col min="14268" max="14268" width="10.5703125" customWidth="1"/>
    <col min="14270" max="14270" width="10.85546875" customWidth="1"/>
    <col min="14273" max="14273" width="12" customWidth="1"/>
    <col min="14517" max="14517" width="6.85546875" customWidth="1"/>
    <col min="14518" max="14518" width="29.85546875" customWidth="1"/>
    <col min="14519" max="14519" width="6.7109375" customWidth="1"/>
    <col min="14520" max="14520" width="32.28515625" customWidth="1"/>
    <col min="14521" max="14521" width="10.85546875" customWidth="1"/>
    <col min="14522" max="14522" width="11.7109375" customWidth="1"/>
    <col min="14523" max="14523" width="10.85546875" customWidth="1"/>
    <col min="14524" max="14524" width="10.5703125" customWidth="1"/>
    <col min="14526" max="14526" width="10.85546875" customWidth="1"/>
    <col min="14529" max="14529" width="12" customWidth="1"/>
    <col min="14773" max="14773" width="6.85546875" customWidth="1"/>
    <col min="14774" max="14774" width="29.85546875" customWidth="1"/>
    <col min="14775" max="14775" width="6.7109375" customWidth="1"/>
    <col min="14776" max="14776" width="32.28515625" customWidth="1"/>
    <col min="14777" max="14777" width="10.85546875" customWidth="1"/>
    <col min="14778" max="14778" width="11.7109375" customWidth="1"/>
    <col min="14779" max="14779" width="10.85546875" customWidth="1"/>
    <col min="14780" max="14780" width="10.5703125" customWidth="1"/>
    <col min="14782" max="14782" width="10.85546875" customWidth="1"/>
    <col min="14785" max="14785" width="12" customWidth="1"/>
    <col min="15029" max="15029" width="6.85546875" customWidth="1"/>
    <col min="15030" max="15030" width="29.85546875" customWidth="1"/>
    <col min="15031" max="15031" width="6.7109375" customWidth="1"/>
    <col min="15032" max="15032" width="32.28515625" customWidth="1"/>
    <col min="15033" max="15033" width="10.85546875" customWidth="1"/>
    <col min="15034" max="15034" width="11.7109375" customWidth="1"/>
    <col min="15035" max="15035" width="10.85546875" customWidth="1"/>
    <col min="15036" max="15036" width="10.5703125" customWidth="1"/>
    <col min="15038" max="15038" width="10.85546875" customWidth="1"/>
    <col min="15041" max="15041" width="12" customWidth="1"/>
    <col min="15285" max="15285" width="6.85546875" customWidth="1"/>
    <col min="15286" max="15286" width="29.85546875" customWidth="1"/>
    <col min="15287" max="15287" width="6.7109375" customWidth="1"/>
    <col min="15288" max="15288" width="32.28515625" customWidth="1"/>
    <col min="15289" max="15289" width="10.85546875" customWidth="1"/>
    <col min="15290" max="15290" width="11.7109375" customWidth="1"/>
    <col min="15291" max="15291" width="10.85546875" customWidth="1"/>
    <col min="15292" max="15292" width="10.5703125" customWidth="1"/>
    <col min="15294" max="15294" width="10.85546875" customWidth="1"/>
    <col min="15297" max="15297" width="12" customWidth="1"/>
    <col min="15541" max="15541" width="6.85546875" customWidth="1"/>
    <col min="15542" max="15542" width="29.85546875" customWidth="1"/>
    <col min="15543" max="15543" width="6.7109375" customWidth="1"/>
    <col min="15544" max="15544" width="32.28515625" customWidth="1"/>
    <col min="15545" max="15545" width="10.85546875" customWidth="1"/>
    <col min="15546" max="15546" width="11.7109375" customWidth="1"/>
    <col min="15547" max="15547" width="10.85546875" customWidth="1"/>
    <col min="15548" max="15548" width="10.5703125" customWidth="1"/>
    <col min="15550" max="15550" width="10.85546875" customWidth="1"/>
    <col min="15553" max="15553" width="12" customWidth="1"/>
    <col min="15797" max="15797" width="6.85546875" customWidth="1"/>
    <col min="15798" max="15798" width="29.85546875" customWidth="1"/>
    <col min="15799" max="15799" width="6.7109375" customWidth="1"/>
    <col min="15800" max="15800" width="32.28515625" customWidth="1"/>
    <col min="15801" max="15801" width="10.85546875" customWidth="1"/>
    <col min="15802" max="15802" width="11.7109375" customWidth="1"/>
    <col min="15803" max="15803" width="10.85546875" customWidth="1"/>
    <col min="15804" max="15804" width="10.5703125" customWidth="1"/>
    <col min="15806" max="15806" width="10.85546875" customWidth="1"/>
    <col min="15809" max="15809" width="12" customWidth="1"/>
    <col min="16053" max="16053" width="6.85546875" customWidth="1"/>
    <col min="16054" max="16054" width="29.85546875" customWidth="1"/>
    <col min="16055" max="16055" width="6.7109375" customWidth="1"/>
    <col min="16056" max="16056" width="32.28515625" customWidth="1"/>
    <col min="16057" max="16057" width="10.85546875" customWidth="1"/>
    <col min="16058" max="16058" width="11.7109375" customWidth="1"/>
    <col min="16059" max="16059" width="10.85546875" customWidth="1"/>
    <col min="16060" max="16060" width="10.5703125" customWidth="1"/>
    <col min="16062" max="16062" width="10.85546875" customWidth="1"/>
    <col min="16065" max="16065" width="12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820" t="s">
        <v>4</v>
      </c>
      <c r="B3" s="820"/>
      <c r="C3" s="820"/>
      <c r="D3" s="820"/>
      <c r="E3" s="820"/>
      <c r="F3" s="96"/>
      <c r="G3" s="96"/>
      <c r="H3" s="96"/>
      <c r="S3" s="699"/>
      <c r="T3" s="699"/>
      <c r="U3" s="699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54"/>
      <c r="S5" s="700"/>
      <c r="T5" s="698"/>
      <c r="U5" s="698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3.5" customHeight="1" thickBot="1" x14ac:dyDescent="0.25">
      <c r="A9" s="12" t="s">
        <v>810</v>
      </c>
      <c r="D9" s="12"/>
      <c r="F9" s="61"/>
      <c r="G9" s="62"/>
      <c r="H9" s="62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7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x14ac:dyDescent="0.2">
      <c r="A12" s="250">
        <v>1</v>
      </c>
      <c r="B12" s="251">
        <v>4476</v>
      </c>
      <c r="C12" s="251">
        <v>600075184</v>
      </c>
      <c r="D12" s="251">
        <v>70200815</v>
      </c>
      <c r="E12" s="245" t="s">
        <v>149</v>
      </c>
      <c r="F12" s="251">
        <v>3233</v>
      </c>
      <c r="G12" s="252" t="s">
        <v>318</v>
      </c>
      <c r="H12" s="253" t="s">
        <v>278</v>
      </c>
      <c r="I12" s="455">
        <v>7774786</v>
      </c>
      <c r="J12" s="456">
        <v>4912688</v>
      </c>
      <c r="K12" s="456">
        <v>770000</v>
      </c>
      <c r="L12" s="456">
        <v>1920749</v>
      </c>
      <c r="M12" s="456">
        <v>98254</v>
      </c>
      <c r="N12" s="456">
        <v>73095</v>
      </c>
      <c r="O12" s="457">
        <v>10.96</v>
      </c>
      <c r="P12" s="458">
        <v>6.73</v>
      </c>
      <c r="Q12" s="482">
        <v>4.2299999999999995</v>
      </c>
      <c r="R12" s="462">
        <f t="shared" ref="R12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>X12+AB12</f>
        <v>0</v>
      </c>
      <c r="AD12" s="151">
        <f>ROUND((X12+Y12+Z12)*33.8%,0)</f>
        <v>0</v>
      </c>
      <c r="AE12" s="151">
        <f>ROUND(X12*2%,0)</f>
        <v>0</v>
      </c>
      <c r="AF12" s="460">
        <v>0</v>
      </c>
      <c r="AG12" s="460">
        <v>0</v>
      </c>
      <c r="AH12" s="460">
        <f t="shared" ref="AH12" si="2">SUM(AF12:AG12)</f>
        <v>0</v>
      </c>
      <c r="AI12" s="460">
        <f t="shared" ref="AI12" si="3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4">SUM(AR12:AS12)</f>
        <v>0</v>
      </c>
      <c r="AU12" s="459">
        <f>I12+AI12</f>
        <v>7774786</v>
      </c>
      <c r="AV12" s="460">
        <f>J12+X12</f>
        <v>4912688</v>
      </c>
      <c r="AW12" s="460">
        <f>K12+AB12</f>
        <v>770000</v>
      </c>
      <c r="AX12" s="460">
        <f>L12+AD12</f>
        <v>1920749</v>
      </c>
      <c r="AY12" s="460">
        <f>M12+AE12</f>
        <v>98254</v>
      </c>
      <c r="AZ12" s="460">
        <f>N12+AH12</f>
        <v>73095</v>
      </c>
      <c r="BA12" s="461">
        <f>O12+AT12</f>
        <v>10.96</v>
      </c>
      <c r="BB12" s="461">
        <f>P12+AR12</f>
        <v>6.73</v>
      </c>
      <c r="BC12" s="463">
        <f>Q12+AS12</f>
        <v>4.2299999999999995</v>
      </c>
    </row>
    <row r="13" spans="1:55" s="234" customFormat="1" x14ac:dyDescent="0.2">
      <c r="A13" s="162">
        <v>1</v>
      </c>
      <c r="B13" s="18">
        <v>4476</v>
      </c>
      <c r="C13" s="18">
        <v>600075184</v>
      </c>
      <c r="D13" s="18">
        <v>70200815</v>
      </c>
      <c r="E13" s="171" t="s">
        <v>150</v>
      </c>
      <c r="F13" s="18"/>
      <c r="G13" s="161"/>
      <c r="H13" s="195"/>
      <c r="I13" s="529">
        <v>7774786</v>
      </c>
      <c r="J13" s="526">
        <v>4912688</v>
      </c>
      <c r="K13" s="526">
        <v>770000</v>
      </c>
      <c r="L13" s="526">
        <v>1920749</v>
      </c>
      <c r="M13" s="526">
        <v>98254</v>
      </c>
      <c r="N13" s="526">
        <v>73095</v>
      </c>
      <c r="O13" s="527">
        <v>10.96</v>
      </c>
      <c r="P13" s="527">
        <v>6.73</v>
      </c>
      <c r="Q13" s="531">
        <v>4.2299999999999995</v>
      </c>
      <c r="R13" s="529">
        <f t="shared" ref="R13:BC13" si="5">SUM(R12)</f>
        <v>0</v>
      </c>
      <c r="S13" s="526">
        <f t="shared" si="5"/>
        <v>0</v>
      </c>
      <c r="T13" s="526">
        <f t="shared" si="5"/>
        <v>0</v>
      </c>
      <c r="U13" s="526">
        <f t="shared" si="5"/>
        <v>0</v>
      </c>
      <c r="V13" s="526">
        <f t="shared" si="5"/>
        <v>0</v>
      </c>
      <c r="W13" s="526">
        <f t="shared" si="5"/>
        <v>0</v>
      </c>
      <c r="X13" s="526">
        <f t="shared" si="5"/>
        <v>0</v>
      </c>
      <c r="Y13" s="526">
        <f t="shared" si="5"/>
        <v>0</v>
      </c>
      <c r="Z13" s="526">
        <f t="shared" si="5"/>
        <v>0</v>
      </c>
      <c r="AA13" s="526">
        <f t="shared" si="5"/>
        <v>0</v>
      </c>
      <c r="AB13" s="526">
        <f t="shared" si="5"/>
        <v>0</v>
      </c>
      <c r="AC13" s="526">
        <f t="shared" si="5"/>
        <v>0</v>
      </c>
      <c r="AD13" s="526">
        <f t="shared" si="5"/>
        <v>0</v>
      </c>
      <c r="AE13" s="526">
        <f t="shared" si="5"/>
        <v>0</v>
      </c>
      <c r="AF13" s="526">
        <f t="shared" si="5"/>
        <v>0</v>
      </c>
      <c r="AG13" s="526">
        <f t="shared" si="5"/>
        <v>0</v>
      </c>
      <c r="AH13" s="526">
        <f t="shared" si="5"/>
        <v>0</v>
      </c>
      <c r="AI13" s="526">
        <f t="shared" si="5"/>
        <v>0</v>
      </c>
      <c r="AJ13" s="527">
        <f t="shared" si="5"/>
        <v>0</v>
      </c>
      <c r="AK13" s="527">
        <f t="shared" si="5"/>
        <v>0</v>
      </c>
      <c r="AL13" s="527">
        <f t="shared" si="5"/>
        <v>0</v>
      </c>
      <c r="AM13" s="527">
        <f t="shared" si="5"/>
        <v>0</v>
      </c>
      <c r="AN13" s="527">
        <f t="shared" si="5"/>
        <v>0</v>
      </c>
      <c r="AO13" s="527">
        <f t="shared" si="5"/>
        <v>0</v>
      </c>
      <c r="AP13" s="527">
        <f t="shared" si="5"/>
        <v>0</v>
      </c>
      <c r="AQ13" s="527">
        <f t="shared" si="5"/>
        <v>0</v>
      </c>
      <c r="AR13" s="527">
        <f t="shared" si="5"/>
        <v>0</v>
      </c>
      <c r="AS13" s="527">
        <f t="shared" si="5"/>
        <v>0</v>
      </c>
      <c r="AT13" s="40">
        <f t="shared" si="5"/>
        <v>0</v>
      </c>
      <c r="AU13" s="533">
        <f t="shared" si="5"/>
        <v>7774786</v>
      </c>
      <c r="AV13" s="526">
        <f t="shared" si="5"/>
        <v>4912688</v>
      </c>
      <c r="AW13" s="526">
        <f t="shared" si="5"/>
        <v>770000</v>
      </c>
      <c r="AX13" s="526">
        <f t="shared" si="5"/>
        <v>1920749</v>
      </c>
      <c r="AY13" s="526">
        <f t="shared" si="5"/>
        <v>98254</v>
      </c>
      <c r="AZ13" s="526">
        <f t="shared" si="5"/>
        <v>73095</v>
      </c>
      <c r="BA13" s="527">
        <f t="shared" si="5"/>
        <v>10.96</v>
      </c>
      <c r="BB13" s="527">
        <f t="shared" si="5"/>
        <v>6.73</v>
      </c>
      <c r="BC13" s="40">
        <f t="shared" si="5"/>
        <v>4.2299999999999995</v>
      </c>
    </row>
    <row r="14" spans="1:55" s="234" customFormat="1" x14ac:dyDescent="0.2">
      <c r="A14" s="221">
        <v>2</v>
      </c>
      <c r="B14" s="222">
        <v>4411</v>
      </c>
      <c r="C14" s="222">
        <v>600074340</v>
      </c>
      <c r="D14" s="222">
        <v>70982121</v>
      </c>
      <c r="E14" s="220" t="s">
        <v>151</v>
      </c>
      <c r="F14" s="222">
        <v>3111</v>
      </c>
      <c r="G14" s="172" t="s">
        <v>311</v>
      </c>
      <c r="H14" s="223" t="s">
        <v>277</v>
      </c>
      <c r="I14" s="477">
        <v>8518082</v>
      </c>
      <c r="J14" s="472">
        <v>6142164</v>
      </c>
      <c r="K14" s="472">
        <v>98000</v>
      </c>
      <c r="L14" s="472">
        <v>2109175</v>
      </c>
      <c r="M14" s="472">
        <v>122843</v>
      </c>
      <c r="N14" s="472">
        <v>45900</v>
      </c>
      <c r="O14" s="473">
        <v>13.452199999999998</v>
      </c>
      <c r="P14" s="474">
        <v>9.7799999999999994</v>
      </c>
      <c r="Q14" s="483">
        <v>3.6722000000000001</v>
      </c>
      <c r="R14" s="485">
        <f t="shared" ref="R14:R16" si="6">Y14*-1</f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76" si="7">SUM(R14:W14)</f>
        <v>0</v>
      </c>
      <c r="Y14" s="475">
        <v>0</v>
      </c>
      <c r="Z14" s="475">
        <v>0</v>
      </c>
      <c r="AA14" s="475">
        <v>0</v>
      </c>
      <c r="AB14" s="475">
        <f t="shared" ref="AB14:AB16" si="8">SUM(Y14:AA14)</f>
        <v>0</v>
      </c>
      <c r="AC14" s="475">
        <f>X14+AB14</f>
        <v>0</v>
      </c>
      <c r="AD14" s="70">
        <f>ROUND((X14+Y14+Z14)*33.8%,0)</f>
        <v>0</v>
      </c>
      <c r="AE14" s="70">
        <f>ROUND(X14*2%,0)</f>
        <v>0</v>
      </c>
      <c r="AF14" s="475">
        <v>0</v>
      </c>
      <c r="AG14" s="475">
        <v>0</v>
      </c>
      <c r="AH14" s="475">
        <f t="shared" ref="AH14:AH16" si="9">SUM(AF14:AG14)</f>
        <v>0</v>
      </c>
      <c r="AI14" s="475">
        <f t="shared" ref="AI14:AI16" si="10">AC14+AD14+AE14+AH14</f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ref="AT14:AT16" si="11">SUM(AR14:AS14)</f>
        <v>0</v>
      </c>
      <c r="AU14" s="484">
        <f>I14+AI14</f>
        <v>8518082</v>
      </c>
      <c r="AV14" s="475">
        <f>J14+X14</f>
        <v>6142164</v>
      </c>
      <c r="AW14" s="475">
        <f>K14+AB14</f>
        <v>98000</v>
      </c>
      <c r="AX14" s="475">
        <f t="shared" ref="AX14:AY16" si="12">L14+AD14</f>
        <v>2109175</v>
      </c>
      <c r="AY14" s="475">
        <f t="shared" si="12"/>
        <v>122843</v>
      </c>
      <c r="AZ14" s="475">
        <f>N14+AH14</f>
        <v>45900</v>
      </c>
      <c r="BA14" s="476">
        <f>O14+AT14</f>
        <v>13.452199999999998</v>
      </c>
      <c r="BB14" s="476">
        <f t="shared" ref="BB14:BC16" si="13">P14+AR14</f>
        <v>9.7799999999999994</v>
      </c>
      <c r="BC14" s="478">
        <f t="shared" si="13"/>
        <v>3.6722000000000001</v>
      </c>
    </row>
    <row r="15" spans="1:55" s="234" customFormat="1" x14ac:dyDescent="0.2">
      <c r="A15" s="221">
        <v>2</v>
      </c>
      <c r="B15" s="222">
        <v>4411</v>
      </c>
      <c r="C15" s="222">
        <v>600074340</v>
      </c>
      <c r="D15" s="222">
        <v>70982121</v>
      </c>
      <c r="E15" s="220" t="s">
        <v>151</v>
      </c>
      <c r="F15" s="222">
        <v>3111</v>
      </c>
      <c r="G15" s="172" t="s">
        <v>312</v>
      </c>
      <c r="H15" s="223" t="s">
        <v>278</v>
      </c>
      <c r="I15" s="477">
        <v>918209</v>
      </c>
      <c r="J15" s="472">
        <v>676148</v>
      </c>
      <c r="K15" s="472">
        <v>0</v>
      </c>
      <c r="L15" s="472">
        <v>228538</v>
      </c>
      <c r="M15" s="472">
        <v>13523</v>
      </c>
      <c r="N15" s="472">
        <v>0</v>
      </c>
      <c r="O15" s="473">
        <v>2.1100000000000003</v>
      </c>
      <c r="P15" s="474">
        <v>2.1100000000000003</v>
      </c>
      <c r="Q15" s="483">
        <v>0</v>
      </c>
      <c r="R15" s="485">
        <f t="shared" si="6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7"/>
        <v>0</v>
      </c>
      <c r="Y15" s="475">
        <v>0</v>
      </c>
      <c r="Z15" s="475">
        <v>0</v>
      </c>
      <c r="AA15" s="475">
        <v>0</v>
      </c>
      <c r="AB15" s="475">
        <f t="shared" si="8"/>
        <v>0</v>
      </c>
      <c r="AC15" s="475">
        <f>X15+AB15</f>
        <v>0</v>
      </c>
      <c r="AD15" s="70">
        <f>ROUND((X15+Y15+Z15)*33.8%,0)</f>
        <v>0</v>
      </c>
      <c r="AE15" s="70">
        <f>ROUND(X15*2%,0)</f>
        <v>0</v>
      </c>
      <c r="AF15" s="475">
        <v>0</v>
      </c>
      <c r="AG15" s="475">
        <v>0</v>
      </c>
      <c r="AH15" s="475">
        <f t="shared" si="9"/>
        <v>0</v>
      </c>
      <c r="AI15" s="475">
        <f t="shared" si="10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1"/>
        <v>0</v>
      </c>
      <c r="AU15" s="484">
        <f>I15+AI15</f>
        <v>918209</v>
      </c>
      <c r="AV15" s="475">
        <f>J15+X15</f>
        <v>676148</v>
      </c>
      <c r="AW15" s="475">
        <f>K15+AB15</f>
        <v>0</v>
      </c>
      <c r="AX15" s="475">
        <f t="shared" si="12"/>
        <v>228538</v>
      </c>
      <c r="AY15" s="475">
        <f t="shared" si="12"/>
        <v>13523</v>
      </c>
      <c r="AZ15" s="475">
        <f>N15+AH15</f>
        <v>0</v>
      </c>
      <c r="BA15" s="476">
        <f>O15+AT15</f>
        <v>2.1100000000000003</v>
      </c>
      <c r="BB15" s="476">
        <f t="shared" si="13"/>
        <v>2.1100000000000003</v>
      </c>
      <c r="BC15" s="478">
        <f t="shared" si="13"/>
        <v>0</v>
      </c>
    </row>
    <row r="16" spans="1:55" s="234" customFormat="1" x14ac:dyDescent="0.2">
      <c r="A16" s="221">
        <v>2</v>
      </c>
      <c r="B16" s="222">
        <v>4411</v>
      </c>
      <c r="C16" s="222">
        <v>600074340</v>
      </c>
      <c r="D16" s="222">
        <v>70982121</v>
      </c>
      <c r="E16" s="220" t="s">
        <v>151</v>
      </c>
      <c r="F16" s="222">
        <v>3141</v>
      </c>
      <c r="G16" s="172" t="s">
        <v>315</v>
      </c>
      <c r="H16" s="223" t="s">
        <v>278</v>
      </c>
      <c r="I16" s="477">
        <v>547670</v>
      </c>
      <c r="J16" s="472">
        <v>400522</v>
      </c>
      <c r="K16" s="472">
        <v>0</v>
      </c>
      <c r="L16" s="472">
        <v>135376</v>
      </c>
      <c r="M16" s="472">
        <v>8010</v>
      </c>
      <c r="N16" s="472">
        <v>3762</v>
      </c>
      <c r="O16" s="473">
        <v>1.26</v>
      </c>
      <c r="P16" s="474">
        <v>0</v>
      </c>
      <c r="Q16" s="483">
        <v>1.26</v>
      </c>
      <c r="R16" s="485">
        <f t="shared" si="6"/>
        <v>0</v>
      </c>
      <c r="S16" s="475">
        <v>0</v>
      </c>
      <c r="T16" s="475">
        <v>-3669</v>
      </c>
      <c r="U16" s="475">
        <v>0</v>
      </c>
      <c r="V16" s="475">
        <v>0</v>
      </c>
      <c r="W16" s="475">
        <v>0</v>
      </c>
      <c r="X16" s="475">
        <f t="shared" si="7"/>
        <v>-3669</v>
      </c>
      <c r="Y16" s="475">
        <v>0</v>
      </c>
      <c r="Z16" s="475">
        <v>0</v>
      </c>
      <c r="AA16" s="475">
        <v>0</v>
      </c>
      <c r="AB16" s="475">
        <f t="shared" si="8"/>
        <v>0</v>
      </c>
      <c r="AC16" s="475">
        <f>X16+AB16</f>
        <v>-3669</v>
      </c>
      <c r="AD16" s="70">
        <f>ROUND((X16+Y16+Z16)*33.8%,0)</f>
        <v>-1240</v>
      </c>
      <c r="AE16" s="70">
        <f>ROUND(X16*2%,0)</f>
        <v>-73</v>
      </c>
      <c r="AF16" s="475">
        <v>0</v>
      </c>
      <c r="AG16" s="475">
        <v>0</v>
      </c>
      <c r="AH16" s="475">
        <f t="shared" si="9"/>
        <v>0</v>
      </c>
      <c r="AI16" s="475">
        <f t="shared" si="10"/>
        <v>-4982</v>
      </c>
      <c r="AJ16" s="476">
        <v>0</v>
      </c>
      <c r="AK16" s="476">
        <v>0</v>
      </c>
      <c r="AL16" s="476">
        <v>0</v>
      </c>
      <c r="AM16" s="476">
        <v>0</v>
      </c>
      <c r="AN16" s="476">
        <v>-0.01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-0.01</v>
      </c>
      <c r="AT16" s="478">
        <f t="shared" si="11"/>
        <v>-0.01</v>
      </c>
      <c r="AU16" s="484">
        <f>I16+AI16</f>
        <v>542688</v>
      </c>
      <c r="AV16" s="475">
        <f>J16+X16</f>
        <v>396853</v>
      </c>
      <c r="AW16" s="475">
        <f>K16+AB16</f>
        <v>0</v>
      </c>
      <c r="AX16" s="475">
        <f t="shared" si="12"/>
        <v>134136</v>
      </c>
      <c r="AY16" s="475">
        <f t="shared" si="12"/>
        <v>7937</v>
      </c>
      <c r="AZ16" s="475">
        <f>N16+AH16</f>
        <v>3762</v>
      </c>
      <c r="BA16" s="476">
        <f>O16+AT16</f>
        <v>1.25</v>
      </c>
      <c r="BB16" s="476">
        <f t="shared" si="13"/>
        <v>0</v>
      </c>
      <c r="BC16" s="478">
        <f t="shared" si="13"/>
        <v>1.25</v>
      </c>
    </row>
    <row r="17" spans="1:55" s="234" customFormat="1" x14ac:dyDescent="0.2">
      <c r="A17" s="162">
        <v>2</v>
      </c>
      <c r="B17" s="18">
        <v>4411</v>
      </c>
      <c r="C17" s="18">
        <v>600074340</v>
      </c>
      <c r="D17" s="18">
        <v>70982121</v>
      </c>
      <c r="E17" s="171" t="s">
        <v>152</v>
      </c>
      <c r="F17" s="18"/>
      <c r="G17" s="161"/>
      <c r="H17" s="195"/>
      <c r="I17" s="529">
        <v>9983961</v>
      </c>
      <c r="J17" s="526">
        <v>7218834</v>
      </c>
      <c r="K17" s="526">
        <v>98000</v>
      </c>
      <c r="L17" s="526">
        <v>2473089</v>
      </c>
      <c r="M17" s="526">
        <v>144376</v>
      </c>
      <c r="N17" s="526">
        <v>49662</v>
      </c>
      <c r="O17" s="527">
        <v>16.822199999999999</v>
      </c>
      <c r="P17" s="527">
        <v>11.89</v>
      </c>
      <c r="Q17" s="531">
        <v>4.9321999999999999</v>
      </c>
      <c r="R17" s="529">
        <f t="shared" ref="R17:BC17" si="14">SUM(R14:R16)</f>
        <v>0</v>
      </c>
      <c r="S17" s="526">
        <f t="shared" si="14"/>
        <v>0</v>
      </c>
      <c r="T17" s="526">
        <f t="shared" si="14"/>
        <v>-3669</v>
      </c>
      <c r="U17" s="526">
        <f t="shared" si="14"/>
        <v>0</v>
      </c>
      <c r="V17" s="526">
        <f t="shared" si="14"/>
        <v>0</v>
      </c>
      <c r="W17" s="526">
        <f t="shared" si="14"/>
        <v>0</v>
      </c>
      <c r="X17" s="526">
        <f t="shared" si="14"/>
        <v>-3669</v>
      </c>
      <c r="Y17" s="526">
        <f t="shared" si="14"/>
        <v>0</v>
      </c>
      <c r="Z17" s="526">
        <f t="shared" si="14"/>
        <v>0</v>
      </c>
      <c r="AA17" s="526">
        <f t="shared" si="14"/>
        <v>0</v>
      </c>
      <c r="AB17" s="526">
        <f t="shared" si="14"/>
        <v>0</v>
      </c>
      <c r="AC17" s="526">
        <f t="shared" si="14"/>
        <v>-3669</v>
      </c>
      <c r="AD17" s="526">
        <f t="shared" si="14"/>
        <v>-1240</v>
      </c>
      <c r="AE17" s="526">
        <f t="shared" si="14"/>
        <v>-73</v>
      </c>
      <c r="AF17" s="526">
        <f t="shared" si="14"/>
        <v>0</v>
      </c>
      <c r="AG17" s="526">
        <f t="shared" si="14"/>
        <v>0</v>
      </c>
      <c r="AH17" s="526">
        <f t="shared" si="14"/>
        <v>0</v>
      </c>
      <c r="AI17" s="526">
        <f t="shared" si="14"/>
        <v>-4982</v>
      </c>
      <c r="AJ17" s="527">
        <f t="shared" si="14"/>
        <v>0</v>
      </c>
      <c r="AK17" s="527">
        <f t="shared" si="14"/>
        <v>0</v>
      </c>
      <c r="AL17" s="527">
        <f t="shared" si="14"/>
        <v>0</v>
      </c>
      <c r="AM17" s="527">
        <f t="shared" si="14"/>
        <v>0</v>
      </c>
      <c r="AN17" s="527">
        <f t="shared" si="14"/>
        <v>-0.01</v>
      </c>
      <c r="AO17" s="527">
        <f t="shared" si="14"/>
        <v>0</v>
      </c>
      <c r="AP17" s="527">
        <f t="shared" si="14"/>
        <v>0</v>
      </c>
      <c r="AQ17" s="527">
        <f t="shared" si="14"/>
        <v>0</v>
      </c>
      <c r="AR17" s="527">
        <f t="shared" si="14"/>
        <v>0</v>
      </c>
      <c r="AS17" s="527">
        <f t="shared" si="14"/>
        <v>-0.01</v>
      </c>
      <c r="AT17" s="40">
        <f t="shared" si="14"/>
        <v>-0.01</v>
      </c>
      <c r="AU17" s="533">
        <f t="shared" si="14"/>
        <v>9978979</v>
      </c>
      <c r="AV17" s="526">
        <f t="shared" si="14"/>
        <v>7215165</v>
      </c>
      <c r="AW17" s="526">
        <f t="shared" si="14"/>
        <v>98000</v>
      </c>
      <c r="AX17" s="526">
        <f t="shared" si="14"/>
        <v>2471849</v>
      </c>
      <c r="AY17" s="526">
        <f t="shared" si="14"/>
        <v>144303</v>
      </c>
      <c r="AZ17" s="526">
        <f t="shared" si="14"/>
        <v>49662</v>
      </c>
      <c r="BA17" s="527">
        <f t="shared" si="14"/>
        <v>16.812199999999997</v>
      </c>
      <c r="BB17" s="527">
        <f t="shared" si="14"/>
        <v>11.89</v>
      </c>
      <c r="BC17" s="40">
        <f t="shared" si="14"/>
        <v>4.9222000000000001</v>
      </c>
    </row>
    <row r="18" spans="1:55" s="234" customFormat="1" x14ac:dyDescent="0.2">
      <c r="A18" s="221">
        <v>3</v>
      </c>
      <c r="B18" s="222">
        <v>4409</v>
      </c>
      <c r="C18" s="222">
        <v>600074358</v>
      </c>
      <c r="D18" s="222">
        <v>70982104</v>
      </c>
      <c r="E18" s="215" t="s">
        <v>153</v>
      </c>
      <c r="F18" s="222">
        <v>3111</v>
      </c>
      <c r="G18" s="172" t="s">
        <v>311</v>
      </c>
      <c r="H18" s="223" t="s">
        <v>277</v>
      </c>
      <c r="I18" s="477">
        <v>16538912</v>
      </c>
      <c r="J18" s="472">
        <v>12075073</v>
      </c>
      <c r="K18" s="472">
        <v>28000</v>
      </c>
      <c r="L18" s="472">
        <v>4090838</v>
      </c>
      <c r="M18" s="472">
        <v>241501</v>
      </c>
      <c r="N18" s="472">
        <v>103500</v>
      </c>
      <c r="O18" s="473">
        <v>28.677500000000002</v>
      </c>
      <c r="P18" s="474">
        <v>20.242000000000001</v>
      </c>
      <c r="Q18" s="483">
        <v>8.4355000000000011</v>
      </c>
      <c r="R18" s="485">
        <f t="shared" ref="R18:R21" si="15">Y18*-1</f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7"/>
        <v>0</v>
      </c>
      <c r="Y18" s="475">
        <v>0</v>
      </c>
      <c r="Z18" s="475">
        <v>0</v>
      </c>
      <c r="AA18" s="475">
        <v>0</v>
      </c>
      <c r="AB18" s="475">
        <f t="shared" ref="AB18:AB21" si="16">SUM(Y18:AA18)</f>
        <v>0</v>
      </c>
      <c r="AC18" s="475">
        <f>X18+AB18</f>
        <v>0</v>
      </c>
      <c r="AD18" s="70">
        <f>ROUND((X18+Y18+Z18)*33.8%,0)</f>
        <v>0</v>
      </c>
      <c r="AE18" s="70">
        <f>ROUND(X18*2%,0)</f>
        <v>0</v>
      </c>
      <c r="AF18" s="475">
        <v>0</v>
      </c>
      <c r="AG18" s="475">
        <v>0</v>
      </c>
      <c r="AH18" s="475">
        <f t="shared" ref="AH18:AH21" si="17">SUM(AF18:AG18)</f>
        <v>0</v>
      </c>
      <c r="AI18" s="475">
        <f t="shared" ref="AI18:AI21" si="18">AC18+AD18+AE18+AH18</f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ref="AT18:AT21" si="19">SUM(AR18:AS18)</f>
        <v>0</v>
      </c>
      <c r="AU18" s="484">
        <f>I18+AI18</f>
        <v>16538912</v>
      </c>
      <c r="AV18" s="475">
        <f>J18+X18</f>
        <v>12075073</v>
      </c>
      <c r="AW18" s="475">
        <f>K18+AB18</f>
        <v>28000</v>
      </c>
      <c r="AX18" s="475">
        <f t="shared" ref="AX18:AY21" si="20">L18+AD18</f>
        <v>4090838</v>
      </c>
      <c r="AY18" s="475">
        <f t="shared" si="20"/>
        <v>241501</v>
      </c>
      <c r="AZ18" s="475">
        <f>N18+AH18</f>
        <v>103500</v>
      </c>
      <c r="BA18" s="476">
        <f>O18+AT18</f>
        <v>28.677500000000002</v>
      </c>
      <c r="BB18" s="476">
        <f t="shared" ref="BB18:BC21" si="21">P18+AR18</f>
        <v>20.242000000000001</v>
      </c>
      <c r="BC18" s="478">
        <f t="shared" si="21"/>
        <v>8.4355000000000011</v>
      </c>
    </row>
    <row r="19" spans="1:55" s="234" customFormat="1" x14ac:dyDescent="0.2">
      <c r="A19" s="221">
        <v>3</v>
      </c>
      <c r="B19" s="222">
        <v>4409</v>
      </c>
      <c r="C19" s="222">
        <v>600074358</v>
      </c>
      <c r="D19" s="222">
        <v>70982104</v>
      </c>
      <c r="E19" s="215" t="s">
        <v>153</v>
      </c>
      <c r="F19" s="222">
        <v>3111</v>
      </c>
      <c r="G19" s="172" t="s">
        <v>313</v>
      </c>
      <c r="H19" s="223" t="s">
        <v>277</v>
      </c>
      <c r="I19" s="477">
        <v>512982</v>
      </c>
      <c r="J19" s="472">
        <v>377748</v>
      </c>
      <c r="K19" s="472">
        <v>0</v>
      </c>
      <c r="L19" s="472">
        <v>127679</v>
      </c>
      <c r="M19" s="472">
        <v>7555</v>
      </c>
      <c r="N19" s="472">
        <v>0</v>
      </c>
      <c r="O19" s="473">
        <v>1</v>
      </c>
      <c r="P19" s="474">
        <v>1</v>
      </c>
      <c r="Q19" s="483">
        <v>0</v>
      </c>
      <c r="R19" s="485">
        <f t="shared" si="15"/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si="7"/>
        <v>0</v>
      </c>
      <c r="Y19" s="475">
        <v>0</v>
      </c>
      <c r="Z19" s="475">
        <v>0</v>
      </c>
      <c r="AA19" s="475">
        <v>0</v>
      </c>
      <c r="AB19" s="475">
        <f t="shared" si="16"/>
        <v>0</v>
      </c>
      <c r="AC19" s="475">
        <f>X19+AB19</f>
        <v>0</v>
      </c>
      <c r="AD19" s="70">
        <f>ROUND((X19+Y19+Z19)*33.8%,0)</f>
        <v>0</v>
      </c>
      <c r="AE19" s="70">
        <f>ROUND(X19*2%,0)</f>
        <v>0</v>
      </c>
      <c r="AF19" s="475">
        <v>0</v>
      </c>
      <c r="AG19" s="475">
        <v>0</v>
      </c>
      <c r="AH19" s="475">
        <f t="shared" si="17"/>
        <v>0</v>
      </c>
      <c r="AI19" s="475">
        <f t="shared" si="18"/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19"/>
        <v>0</v>
      </c>
      <c r="AU19" s="484">
        <f>I19+AI19</f>
        <v>512982</v>
      </c>
      <c r="AV19" s="475">
        <f>J19+X19</f>
        <v>377748</v>
      </c>
      <c r="AW19" s="475">
        <f>K19+AB19</f>
        <v>0</v>
      </c>
      <c r="AX19" s="475">
        <f t="shared" si="20"/>
        <v>127679</v>
      </c>
      <c r="AY19" s="475">
        <f t="shared" si="20"/>
        <v>7555</v>
      </c>
      <c r="AZ19" s="475">
        <f>N19+AH19</f>
        <v>0</v>
      </c>
      <c r="BA19" s="476">
        <f>O19+AT19</f>
        <v>1</v>
      </c>
      <c r="BB19" s="476">
        <f t="shared" si="21"/>
        <v>1</v>
      </c>
      <c r="BC19" s="478">
        <f t="shared" si="21"/>
        <v>0</v>
      </c>
    </row>
    <row r="20" spans="1:55" s="234" customFormat="1" x14ac:dyDescent="0.2">
      <c r="A20" s="221">
        <v>3</v>
      </c>
      <c r="B20" s="222">
        <v>4409</v>
      </c>
      <c r="C20" s="222">
        <v>600074358</v>
      </c>
      <c r="D20" s="222">
        <v>70982104</v>
      </c>
      <c r="E20" s="215" t="s">
        <v>153</v>
      </c>
      <c r="F20" s="222">
        <v>3111</v>
      </c>
      <c r="G20" s="172" t="s">
        <v>312</v>
      </c>
      <c r="H20" s="223" t="s">
        <v>278</v>
      </c>
      <c r="I20" s="477">
        <v>1483647</v>
      </c>
      <c r="J20" s="472">
        <v>1092523</v>
      </c>
      <c r="K20" s="472">
        <v>0</v>
      </c>
      <c r="L20" s="472">
        <v>369273</v>
      </c>
      <c r="M20" s="472">
        <v>21851</v>
      </c>
      <c r="N20" s="472">
        <v>0</v>
      </c>
      <c r="O20" s="473">
        <v>3.23</v>
      </c>
      <c r="P20" s="474">
        <v>3.23</v>
      </c>
      <c r="Q20" s="483">
        <v>0</v>
      </c>
      <c r="R20" s="485">
        <f t="shared" si="15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7"/>
        <v>0</v>
      </c>
      <c r="Y20" s="475">
        <v>0</v>
      </c>
      <c r="Z20" s="475">
        <v>0</v>
      </c>
      <c r="AA20" s="475">
        <v>0</v>
      </c>
      <c r="AB20" s="475">
        <f t="shared" si="16"/>
        <v>0</v>
      </c>
      <c r="AC20" s="475">
        <f>X20+AB20</f>
        <v>0</v>
      </c>
      <c r="AD20" s="70">
        <f>ROUND((X20+Y20+Z20)*33.8%,0)</f>
        <v>0</v>
      </c>
      <c r="AE20" s="70">
        <f>ROUND(X20*2%,0)</f>
        <v>0</v>
      </c>
      <c r="AF20" s="475">
        <v>0</v>
      </c>
      <c r="AG20" s="475">
        <v>0</v>
      </c>
      <c r="AH20" s="475">
        <f t="shared" si="17"/>
        <v>0</v>
      </c>
      <c r="AI20" s="475">
        <f t="shared" si="18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19"/>
        <v>0</v>
      </c>
      <c r="AU20" s="484">
        <f>I20+AI20</f>
        <v>1483647</v>
      </c>
      <c r="AV20" s="475">
        <f>J20+X20</f>
        <v>1092523</v>
      </c>
      <c r="AW20" s="475">
        <f>K20+AB20</f>
        <v>0</v>
      </c>
      <c r="AX20" s="475">
        <f t="shared" si="20"/>
        <v>369273</v>
      </c>
      <c r="AY20" s="475">
        <f t="shared" si="20"/>
        <v>21851</v>
      </c>
      <c r="AZ20" s="475">
        <f>N20+AH20</f>
        <v>0</v>
      </c>
      <c r="BA20" s="476">
        <f>O20+AT20</f>
        <v>3.23</v>
      </c>
      <c r="BB20" s="476">
        <f t="shared" si="21"/>
        <v>3.23</v>
      </c>
      <c r="BC20" s="478">
        <f t="shared" si="21"/>
        <v>0</v>
      </c>
    </row>
    <row r="21" spans="1:55" s="234" customFormat="1" x14ac:dyDescent="0.2">
      <c r="A21" s="221">
        <v>3</v>
      </c>
      <c r="B21" s="222">
        <v>4409</v>
      </c>
      <c r="C21" s="222">
        <v>600074358</v>
      </c>
      <c r="D21" s="222">
        <v>70982104</v>
      </c>
      <c r="E21" s="220" t="s">
        <v>153</v>
      </c>
      <c r="F21" s="222">
        <v>3141</v>
      </c>
      <c r="G21" s="172" t="s">
        <v>315</v>
      </c>
      <c r="H21" s="223" t="s">
        <v>278</v>
      </c>
      <c r="I21" s="477">
        <v>2541473</v>
      </c>
      <c r="J21" s="472">
        <v>1855318</v>
      </c>
      <c r="K21" s="472">
        <v>7000</v>
      </c>
      <c r="L21" s="472">
        <v>629463</v>
      </c>
      <c r="M21" s="472">
        <v>37106</v>
      </c>
      <c r="N21" s="472">
        <v>12586</v>
      </c>
      <c r="O21" s="473">
        <v>5.8400000000000007</v>
      </c>
      <c r="P21" s="474">
        <v>0</v>
      </c>
      <c r="Q21" s="483">
        <v>5.8400000000000007</v>
      </c>
      <c r="R21" s="485">
        <f t="shared" si="15"/>
        <v>0</v>
      </c>
      <c r="S21" s="475">
        <v>0</v>
      </c>
      <c r="T21" s="475">
        <v>-10090</v>
      </c>
      <c r="U21" s="475">
        <v>0</v>
      </c>
      <c r="V21" s="475">
        <v>0</v>
      </c>
      <c r="W21" s="475">
        <v>0</v>
      </c>
      <c r="X21" s="475">
        <f t="shared" si="7"/>
        <v>-10090</v>
      </c>
      <c r="Y21" s="475">
        <v>0</v>
      </c>
      <c r="Z21" s="475">
        <v>0</v>
      </c>
      <c r="AA21" s="475">
        <v>0</v>
      </c>
      <c r="AB21" s="475">
        <f t="shared" si="16"/>
        <v>0</v>
      </c>
      <c r="AC21" s="475">
        <f>X21+AB21</f>
        <v>-10090</v>
      </c>
      <c r="AD21" s="70">
        <f>ROUND((X21+Y21+Z21)*33.8%,0)</f>
        <v>-3410</v>
      </c>
      <c r="AE21" s="70">
        <f>ROUND(X21*2%,0)</f>
        <v>-202</v>
      </c>
      <c r="AF21" s="475">
        <v>0</v>
      </c>
      <c r="AG21" s="475">
        <v>0</v>
      </c>
      <c r="AH21" s="475">
        <f t="shared" si="17"/>
        <v>0</v>
      </c>
      <c r="AI21" s="475">
        <f t="shared" si="18"/>
        <v>-13702</v>
      </c>
      <c r="AJ21" s="476">
        <v>0</v>
      </c>
      <c r="AK21" s="476">
        <v>0</v>
      </c>
      <c r="AL21" s="476">
        <v>0</v>
      </c>
      <c r="AM21" s="476">
        <v>0</v>
      </c>
      <c r="AN21" s="476">
        <v>-0.04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-0.04</v>
      </c>
      <c r="AT21" s="478">
        <f t="shared" si="19"/>
        <v>-0.04</v>
      </c>
      <c r="AU21" s="484">
        <f>I21+AI21</f>
        <v>2527771</v>
      </c>
      <c r="AV21" s="475">
        <f>J21+X21</f>
        <v>1845228</v>
      </c>
      <c r="AW21" s="475">
        <f>K21+AB21</f>
        <v>7000</v>
      </c>
      <c r="AX21" s="475">
        <f t="shared" si="20"/>
        <v>626053</v>
      </c>
      <c r="AY21" s="475">
        <f t="shared" si="20"/>
        <v>36904</v>
      </c>
      <c r="AZ21" s="475">
        <f>N21+AH21</f>
        <v>12586</v>
      </c>
      <c r="BA21" s="476">
        <f>O21+AT21</f>
        <v>5.8000000000000007</v>
      </c>
      <c r="BB21" s="476">
        <f t="shared" si="21"/>
        <v>0</v>
      </c>
      <c r="BC21" s="478">
        <f t="shared" si="21"/>
        <v>5.8000000000000007</v>
      </c>
    </row>
    <row r="22" spans="1:55" s="234" customFormat="1" x14ac:dyDescent="0.2">
      <c r="A22" s="162">
        <v>3</v>
      </c>
      <c r="B22" s="18">
        <v>4409</v>
      </c>
      <c r="C22" s="18">
        <v>600074358</v>
      </c>
      <c r="D22" s="18">
        <v>70982104</v>
      </c>
      <c r="E22" s="171" t="s">
        <v>154</v>
      </c>
      <c r="F22" s="18"/>
      <c r="G22" s="161"/>
      <c r="H22" s="195"/>
      <c r="I22" s="529">
        <v>21077014</v>
      </c>
      <c r="J22" s="526">
        <v>15400662</v>
      </c>
      <c r="K22" s="526">
        <v>35000</v>
      </c>
      <c r="L22" s="526">
        <v>5217253</v>
      </c>
      <c r="M22" s="526">
        <v>308013</v>
      </c>
      <c r="N22" s="526">
        <v>116086</v>
      </c>
      <c r="O22" s="527">
        <v>38.747500000000002</v>
      </c>
      <c r="P22" s="527">
        <v>24.472000000000001</v>
      </c>
      <c r="Q22" s="531">
        <v>14.275500000000001</v>
      </c>
      <c r="R22" s="529">
        <f t="shared" ref="R22:BC22" si="22">SUM(R18:R21)</f>
        <v>0</v>
      </c>
      <c r="S22" s="526">
        <f t="shared" si="22"/>
        <v>0</v>
      </c>
      <c r="T22" s="526">
        <f t="shared" si="22"/>
        <v>-10090</v>
      </c>
      <c r="U22" s="526">
        <f t="shared" si="22"/>
        <v>0</v>
      </c>
      <c r="V22" s="526">
        <f t="shared" si="22"/>
        <v>0</v>
      </c>
      <c r="W22" s="526">
        <f t="shared" si="22"/>
        <v>0</v>
      </c>
      <c r="X22" s="526">
        <f t="shared" si="22"/>
        <v>-10090</v>
      </c>
      <c r="Y22" s="526">
        <f t="shared" si="22"/>
        <v>0</v>
      </c>
      <c r="Z22" s="526">
        <f t="shared" si="22"/>
        <v>0</v>
      </c>
      <c r="AA22" s="526">
        <f t="shared" si="22"/>
        <v>0</v>
      </c>
      <c r="AB22" s="526">
        <f t="shared" si="22"/>
        <v>0</v>
      </c>
      <c r="AC22" s="526">
        <f t="shared" si="22"/>
        <v>-10090</v>
      </c>
      <c r="AD22" s="526">
        <f t="shared" si="22"/>
        <v>-3410</v>
      </c>
      <c r="AE22" s="526">
        <f t="shared" si="22"/>
        <v>-202</v>
      </c>
      <c r="AF22" s="526">
        <f t="shared" si="22"/>
        <v>0</v>
      </c>
      <c r="AG22" s="526">
        <f t="shared" si="22"/>
        <v>0</v>
      </c>
      <c r="AH22" s="526">
        <f t="shared" si="22"/>
        <v>0</v>
      </c>
      <c r="AI22" s="526">
        <f t="shared" si="22"/>
        <v>-13702</v>
      </c>
      <c r="AJ22" s="527">
        <f t="shared" si="22"/>
        <v>0</v>
      </c>
      <c r="AK22" s="527">
        <f t="shared" si="22"/>
        <v>0</v>
      </c>
      <c r="AL22" s="527">
        <f t="shared" si="22"/>
        <v>0</v>
      </c>
      <c r="AM22" s="527">
        <f t="shared" si="22"/>
        <v>0</v>
      </c>
      <c r="AN22" s="527">
        <f t="shared" si="22"/>
        <v>-0.04</v>
      </c>
      <c r="AO22" s="527">
        <f t="shared" si="22"/>
        <v>0</v>
      </c>
      <c r="AP22" s="527">
        <f t="shared" si="22"/>
        <v>0</v>
      </c>
      <c r="AQ22" s="527">
        <f t="shared" si="22"/>
        <v>0</v>
      </c>
      <c r="AR22" s="527">
        <f t="shared" si="22"/>
        <v>0</v>
      </c>
      <c r="AS22" s="527">
        <f t="shared" si="22"/>
        <v>-0.04</v>
      </c>
      <c r="AT22" s="40">
        <f t="shared" si="22"/>
        <v>-0.04</v>
      </c>
      <c r="AU22" s="533">
        <f t="shared" si="22"/>
        <v>21063312</v>
      </c>
      <c r="AV22" s="526">
        <f t="shared" si="22"/>
        <v>15390572</v>
      </c>
      <c r="AW22" s="526">
        <f t="shared" si="22"/>
        <v>35000</v>
      </c>
      <c r="AX22" s="526">
        <f t="shared" si="22"/>
        <v>5213843</v>
      </c>
      <c r="AY22" s="526">
        <f t="shared" si="22"/>
        <v>307811</v>
      </c>
      <c r="AZ22" s="526">
        <f t="shared" si="22"/>
        <v>116086</v>
      </c>
      <c r="BA22" s="527">
        <f t="shared" si="22"/>
        <v>38.707499999999996</v>
      </c>
      <c r="BB22" s="527">
        <f t="shared" si="22"/>
        <v>24.472000000000001</v>
      </c>
      <c r="BC22" s="40">
        <f t="shared" si="22"/>
        <v>14.235500000000002</v>
      </c>
    </row>
    <row r="23" spans="1:55" s="234" customFormat="1" x14ac:dyDescent="0.2">
      <c r="A23" s="221">
        <v>4</v>
      </c>
      <c r="B23" s="222">
        <v>4407</v>
      </c>
      <c r="C23" s="222">
        <v>600074552</v>
      </c>
      <c r="D23" s="222">
        <v>70982201</v>
      </c>
      <c r="E23" s="220" t="s">
        <v>155</v>
      </c>
      <c r="F23" s="222">
        <v>3111</v>
      </c>
      <c r="G23" s="172" t="s">
        <v>311</v>
      </c>
      <c r="H23" s="223" t="s">
        <v>277</v>
      </c>
      <c r="I23" s="477">
        <v>7462039</v>
      </c>
      <c r="J23" s="472">
        <v>5459049</v>
      </c>
      <c r="K23" s="472">
        <v>0</v>
      </c>
      <c r="L23" s="472">
        <v>1845159</v>
      </c>
      <c r="M23" s="472">
        <v>109181</v>
      </c>
      <c r="N23" s="472">
        <v>48650</v>
      </c>
      <c r="O23" s="473">
        <v>12.384600000000001</v>
      </c>
      <c r="P23" s="474">
        <v>8.4193999999999996</v>
      </c>
      <c r="Q23" s="483">
        <v>3.9651999999999998</v>
      </c>
      <c r="R23" s="485">
        <f t="shared" ref="R23:R26" si="23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si="7"/>
        <v>0</v>
      </c>
      <c r="Y23" s="475">
        <v>0</v>
      </c>
      <c r="Z23" s="475">
        <v>0</v>
      </c>
      <c r="AA23" s="475">
        <v>0</v>
      </c>
      <c r="AB23" s="475">
        <f t="shared" ref="AB23:AB26" si="24">SUM(Y23:AA23)</f>
        <v>0</v>
      </c>
      <c r="AC23" s="475">
        <f>X23+AB23</f>
        <v>0</v>
      </c>
      <c r="AD23" s="70">
        <f>ROUND((X23+Y23+Z23)*33.8%,0)</f>
        <v>0</v>
      </c>
      <c r="AE23" s="70">
        <f>ROUND(X23*2%,0)</f>
        <v>0</v>
      </c>
      <c r="AF23" s="475">
        <v>0</v>
      </c>
      <c r="AG23" s="475">
        <v>0</v>
      </c>
      <c r="AH23" s="475">
        <f t="shared" ref="AH23:AH26" si="25">SUM(AF23:AG23)</f>
        <v>0</v>
      </c>
      <c r="AI23" s="475">
        <f t="shared" ref="AI23:AI26" si="26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ref="AT23:AT26" si="27">SUM(AR23:AS23)</f>
        <v>0</v>
      </c>
      <c r="AU23" s="484">
        <f>I23+AI23</f>
        <v>7462039</v>
      </c>
      <c r="AV23" s="475">
        <f>J23+X23</f>
        <v>5459049</v>
      </c>
      <c r="AW23" s="475">
        <f>K23+AB23</f>
        <v>0</v>
      </c>
      <c r="AX23" s="475">
        <f t="shared" ref="AX23:AY26" si="28">L23+AD23</f>
        <v>1845159</v>
      </c>
      <c r="AY23" s="475">
        <f t="shared" si="28"/>
        <v>109181</v>
      </c>
      <c r="AZ23" s="475">
        <f>N23+AH23</f>
        <v>48650</v>
      </c>
      <c r="BA23" s="476">
        <f>O23+AT23</f>
        <v>12.384600000000001</v>
      </c>
      <c r="BB23" s="476">
        <f t="shared" ref="BB23:BC26" si="29">P23+AR23</f>
        <v>8.4193999999999996</v>
      </c>
      <c r="BC23" s="478">
        <f t="shared" si="29"/>
        <v>3.9651999999999998</v>
      </c>
    </row>
    <row r="24" spans="1:55" s="234" customFormat="1" x14ac:dyDescent="0.2">
      <c r="A24" s="221">
        <v>4</v>
      </c>
      <c r="B24" s="222">
        <v>4407</v>
      </c>
      <c r="C24" s="222">
        <v>600074552</v>
      </c>
      <c r="D24" s="222">
        <v>70982201</v>
      </c>
      <c r="E24" s="220" t="s">
        <v>155</v>
      </c>
      <c r="F24" s="222">
        <v>3111</v>
      </c>
      <c r="G24" s="172" t="s">
        <v>313</v>
      </c>
      <c r="H24" s="223" t="s">
        <v>277</v>
      </c>
      <c r="I24" s="477">
        <v>586151</v>
      </c>
      <c r="J24" s="472">
        <v>431628</v>
      </c>
      <c r="K24" s="472">
        <v>0</v>
      </c>
      <c r="L24" s="472">
        <v>145890</v>
      </c>
      <c r="M24" s="472">
        <v>8633</v>
      </c>
      <c r="N24" s="472">
        <v>0</v>
      </c>
      <c r="O24" s="473">
        <v>1</v>
      </c>
      <c r="P24" s="474">
        <v>1</v>
      </c>
      <c r="Q24" s="483">
        <v>0</v>
      </c>
      <c r="R24" s="485">
        <f t="shared" si="23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7"/>
        <v>0</v>
      </c>
      <c r="Y24" s="475">
        <v>0</v>
      </c>
      <c r="Z24" s="475">
        <v>0</v>
      </c>
      <c r="AA24" s="475">
        <v>0</v>
      </c>
      <c r="AB24" s="475">
        <f t="shared" si="24"/>
        <v>0</v>
      </c>
      <c r="AC24" s="475">
        <f>X24+AB24</f>
        <v>0</v>
      </c>
      <c r="AD24" s="70">
        <f>ROUND((X24+Y24+Z24)*33.8%,0)</f>
        <v>0</v>
      </c>
      <c r="AE24" s="70">
        <f>ROUND(X24*2%,0)</f>
        <v>0</v>
      </c>
      <c r="AF24" s="475">
        <v>0</v>
      </c>
      <c r="AG24" s="475">
        <v>0</v>
      </c>
      <c r="AH24" s="475">
        <f t="shared" si="25"/>
        <v>0</v>
      </c>
      <c r="AI24" s="475">
        <f t="shared" si="26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27"/>
        <v>0</v>
      </c>
      <c r="AU24" s="484">
        <f>I24+AI24</f>
        <v>586151</v>
      </c>
      <c r="AV24" s="475">
        <f>J24+X24</f>
        <v>431628</v>
      </c>
      <c r="AW24" s="475">
        <f>K24+AB24</f>
        <v>0</v>
      </c>
      <c r="AX24" s="475">
        <f t="shared" si="28"/>
        <v>145890</v>
      </c>
      <c r="AY24" s="475">
        <f t="shared" si="28"/>
        <v>8633</v>
      </c>
      <c r="AZ24" s="475">
        <f>N24+AH24</f>
        <v>0</v>
      </c>
      <c r="BA24" s="476">
        <f>O24+AT24</f>
        <v>1</v>
      </c>
      <c r="BB24" s="476">
        <f t="shared" si="29"/>
        <v>1</v>
      </c>
      <c r="BC24" s="478">
        <f t="shared" si="29"/>
        <v>0</v>
      </c>
    </row>
    <row r="25" spans="1:55" s="234" customFormat="1" x14ac:dyDescent="0.2">
      <c r="A25" s="221">
        <v>4</v>
      </c>
      <c r="B25" s="222">
        <v>4407</v>
      </c>
      <c r="C25" s="222">
        <v>600074552</v>
      </c>
      <c r="D25" s="222">
        <v>70982201</v>
      </c>
      <c r="E25" s="220" t="s">
        <v>155</v>
      </c>
      <c r="F25" s="222">
        <v>3111</v>
      </c>
      <c r="G25" s="172" t="s">
        <v>312</v>
      </c>
      <c r="H25" s="223" t="s">
        <v>278</v>
      </c>
      <c r="I25" s="477">
        <v>1607586</v>
      </c>
      <c r="J25" s="472">
        <v>1183789</v>
      </c>
      <c r="K25" s="472">
        <v>0</v>
      </c>
      <c r="L25" s="472">
        <v>400121</v>
      </c>
      <c r="M25" s="472">
        <v>23676</v>
      </c>
      <c r="N25" s="472">
        <v>0</v>
      </c>
      <c r="O25" s="473">
        <v>3.57</v>
      </c>
      <c r="P25" s="474">
        <v>3.57</v>
      </c>
      <c r="Q25" s="483">
        <v>0</v>
      </c>
      <c r="R25" s="485">
        <f t="shared" si="23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7"/>
        <v>0</v>
      </c>
      <c r="Y25" s="475">
        <v>0</v>
      </c>
      <c r="Z25" s="475">
        <v>0</v>
      </c>
      <c r="AA25" s="475">
        <v>0</v>
      </c>
      <c r="AB25" s="475">
        <f t="shared" si="24"/>
        <v>0</v>
      </c>
      <c r="AC25" s="475">
        <f>X25+AB25</f>
        <v>0</v>
      </c>
      <c r="AD25" s="70">
        <f>ROUND((X25+Y25+Z25)*33.8%,0)</f>
        <v>0</v>
      </c>
      <c r="AE25" s="70">
        <f>ROUND(X25*2%,0)</f>
        <v>0</v>
      </c>
      <c r="AF25" s="475">
        <v>0</v>
      </c>
      <c r="AG25" s="475">
        <v>0</v>
      </c>
      <c r="AH25" s="475">
        <f t="shared" si="25"/>
        <v>0</v>
      </c>
      <c r="AI25" s="475">
        <f t="shared" si="26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27"/>
        <v>0</v>
      </c>
      <c r="AU25" s="484">
        <f>I25+AI25</f>
        <v>1607586</v>
      </c>
      <c r="AV25" s="475">
        <f>J25+X25</f>
        <v>1183789</v>
      </c>
      <c r="AW25" s="475">
        <f>K25+AB25</f>
        <v>0</v>
      </c>
      <c r="AX25" s="475">
        <f t="shared" si="28"/>
        <v>400121</v>
      </c>
      <c r="AY25" s="475">
        <f t="shared" si="28"/>
        <v>23676</v>
      </c>
      <c r="AZ25" s="475">
        <f>N25+AH25</f>
        <v>0</v>
      </c>
      <c r="BA25" s="476">
        <f>O25+AT25</f>
        <v>3.57</v>
      </c>
      <c r="BB25" s="476">
        <f t="shared" si="29"/>
        <v>3.57</v>
      </c>
      <c r="BC25" s="478">
        <f t="shared" si="29"/>
        <v>0</v>
      </c>
    </row>
    <row r="26" spans="1:55" s="234" customFormat="1" x14ac:dyDescent="0.2">
      <c r="A26" s="221">
        <v>4</v>
      </c>
      <c r="B26" s="222">
        <v>4407</v>
      </c>
      <c r="C26" s="222">
        <v>600074552</v>
      </c>
      <c r="D26" s="222">
        <v>70982201</v>
      </c>
      <c r="E26" s="220" t="s">
        <v>155</v>
      </c>
      <c r="F26" s="222">
        <v>3141</v>
      </c>
      <c r="G26" s="172" t="s">
        <v>315</v>
      </c>
      <c r="H26" s="223" t="s">
        <v>278</v>
      </c>
      <c r="I26" s="477">
        <v>1033853</v>
      </c>
      <c r="J26" s="472">
        <v>757419</v>
      </c>
      <c r="K26" s="472">
        <v>0</v>
      </c>
      <c r="L26" s="472">
        <v>256008</v>
      </c>
      <c r="M26" s="472">
        <v>15148</v>
      </c>
      <c r="N26" s="472">
        <v>5278</v>
      </c>
      <c r="O26" s="473">
        <v>2.39</v>
      </c>
      <c r="P26" s="474">
        <v>0</v>
      </c>
      <c r="Q26" s="483">
        <v>2.39</v>
      </c>
      <c r="R26" s="485">
        <f t="shared" si="23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7"/>
        <v>0</v>
      </c>
      <c r="Y26" s="475">
        <v>0</v>
      </c>
      <c r="Z26" s="475">
        <v>0</v>
      </c>
      <c r="AA26" s="475">
        <v>0</v>
      </c>
      <c r="AB26" s="475">
        <f t="shared" si="24"/>
        <v>0</v>
      </c>
      <c r="AC26" s="475">
        <f>X26+AB26</f>
        <v>0</v>
      </c>
      <c r="AD26" s="70">
        <f>ROUND((X26+Y26+Z26)*33.8%,0)</f>
        <v>0</v>
      </c>
      <c r="AE26" s="70">
        <f>ROUND(X26*2%,0)</f>
        <v>0</v>
      </c>
      <c r="AF26" s="475">
        <v>0</v>
      </c>
      <c r="AG26" s="475">
        <v>0</v>
      </c>
      <c r="AH26" s="475">
        <f t="shared" si="25"/>
        <v>0</v>
      </c>
      <c r="AI26" s="475">
        <f t="shared" si="26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27"/>
        <v>0</v>
      </c>
      <c r="AU26" s="484">
        <f>I26+AI26</f>
        <v>1033853</v>
      </c>
      <c r="AV26" s="475">
        <f>J26+X26</f>
        <v>757419</v>
      </c>
      <c r="AW26" s="475">
        <f>K26+AB26</f>
        <v>0</v>
      </c>
      <c r="AX26" s="475">
        <f t="shared" si="28"/>
        <v>256008</v>
      </c>
      <c r="AY26" s="475">
        <f t="shared" si="28"/>
        <v>15148</v>
      </c>
      <c r="AZ26" s="475">
        <f>N26+AH26</f>
        <v>5278</v>
      </c>
      <c r="BA26" s="476">
        <f>O26+AT26</f>
        <v>2.39</v>
      </c>
      <c r="BB26" s="476">
        <f t="shared" si="29"/>
        <v>0</v>
      </c>
      <c r="BC26" s="478">
        <f t="shared" si="29"/>
        <v>2.39</v>
      </c>
    </row>
    <row r="27" spans="1:55" s="234" customFormat="1" x14ac:dyDescent="0.2">
      <c r="A27" s="162">
        <v>4</v>
      </c>
      <c r="B27" s="18">
        <v>4407</v>
      </c>
      <c r="C27" s="18">
        <v>600074552</v>
      </c>
      <c r="D27" s="18">
        <v>70982201</v>
      </c>
      <c r="E27" s="171" t="s">
        <v>156</v>
      </c>
      <c r="F27" s="18"/>
      <c r="G27" s="161"/>
      <c r="H27" s="195"/>
      <c r="I27" s="529">
        <v>10689629</v>
      </c>
      <c r="J27" s="526">
        <v>7831885</v>
      </c>
      <c r="K27" s="526">
        <v>0</v>
      </c>
      <c r="L27" s="526">
        <v>2647178</v>
      </c>
      <c r="M27" s="526">
        <v>156638</v>
      </c>
      <c r="N27" s="526">
        <v>53928</v>
      </c>
      <c r="O27" s="527">
        <v>19.3446</v>
      </c>
      <c r="P27" s="527">
        <v>12.9894</v>
      </c>
      <c r="Q27" s="531">
        <v>6.3552</v>
      </c>
      <c r="R27" s="529">
        <f t="shared" ref="R27:BC27" si="30">SUM(R23:R26)</f>
        <v>0</v>
      </c>
      <c r="S27" s="526">
        <f t="shared" si="30"/>
        <v>0</v>
      </c>
      <c r="T27" s="526">
        <f t="shared" si="30"/>
        <v>0</v>
      </c>
      <c r="U27" s="526">
        <f t="shared" si="30"/>
        <v>0</v>
      </c>
      <c r="V27" s="526">
        <f t="shared" si="30"/>
        <v>0</v>
      </c>
      <c r="W27" s="526">
        <f t="shared" si="30"/>
        <v>0</v>
      </c>
      <c r="X27" s="526">
        <f t="shared" si="30"/>
        <v>0</v>
      </c>
      <c r="Y27" s="526">
        <f t="shared" si="30"/>
        <v>0</v>
      </c>
      <c r="Z27" s="526">
        <f t="shared" si="30"/>
        <v>0</v>
      </c>
      <c r="AA27" s="526">
        <f t="shared" si="30"/>
        <v>0</v>
      </c>
      <c r="AB27" s="526">
        <f t="shared" si="30"/>
        <v>0</v>
      </c>
      <c r="AC27" s="526">
        <f t="shared" si="30"/>
        <v>0</v>
      </c>
      <c r="AD27" s="526">
        <f t="shared" si="30"/>
        <v>0</v>
      </c>
      <c r="AE27" s="526">
        <f t="shared" si="30"/>
        <v>0</v>
      </c>
      <c r="AF27" s="526">
        <f t="shared" si="30"/>
        <v>0</v>
      </c>
      <c r="AG27" s="526">
        <f t="shared" si="30"/>
        <v>0</v>
      </c>
      <c r="AH27" s="526">
        <f t="shared" si="30"/>
        <v>0</v>
      </c>
      <c r="AI27" s="526">
        <f t="shared" si="30"/>
        <v>0</v>
      </c>
      <c r="AJ27" s="527">
        <f t="shared" si="30"/>
        <v>0</v>
      </c>
      <c r="AK27" s="527">
        <f t="shared" si="30"/>
        <v>0</v>
      </c>
      <c r="AL27" s="527">
        <f t="shared" si="30"/>
        <v>0</v>
      </c>
      <c r="AM27" s="527">
        <f t="shared" si="30"/>
        <v>0</v>
      </c>
      <c r="AN27" s="527">
        <f t="shared" si="30"/>
        <v>0</v>
      </c>
      <c r="AO27" s="527">
        <f t="shared" si="30"/>
        <v>0</v>
      </c>
      <c r="AP27" s="527">
        <f t="shared" si="30"/>
        <v>0</v>
      </c>
      <c r="AQ27" s="527">
        <f t="shared" si="30"/>
        <v>0</v>
      </c>
      <c r="AR27" s="527">
        <f t="shared" si="30"/>
        <v>0</v>
      </c>
      <c r="AS27" s="527">
        <f t="shared" si="30"/>
        <v>0</v>
      </c>
      <c r="AT27" s="40">
        <f t="shared" si="30"/>
        <v>0</v>
      </c>
      <c r="AU27" s="533">
        <f t="shared" si="30"/>
        <v>10689629</v>
      </c>
      <c r="AV27" s="526">
        <f t="shared" si="30"/>
        <v>7831885</v>
      </c>
      <c r="AW27" s="526">
        <f t="shared" si="30"/>
        <v>0</v>
      </c>
      <c r="AX27" s="526">
        <f t="shared" si="30"/>
        <v>2647178</v>
      </c>
      <c r="AY27" s="526">
        <f t="shared" si="30"/>
        <v>156638</v>
      </c>
      <c r="AZ27" s="526">
        <f t="shared" si="30"/>
        <v>53928</v>
      </c>
      <c r="BA27" s="527">
        <f t="shared" si="30"/>
        <v>19.3446</v>
      </c>
      <c r="BB27" s="527">
        <f t="shared" si="30"/>
        <v>12.9894</v>
      </c>
      <c r="BC27" s="40">
        <f t="shared" si="30"/>
        <v>6.3552</v>
      </c>
    </row>
    <row r="28" spans="1:55" s="234" customFormat="1" x14ac:dyDescent="0.2">
      <c r="A28" s="221">
        <v>5</v>
      </c>
      <c r="B28" s="222">
        <v>4492</v>
      </c>
      <c r="C28" s="222">
        <v>650065221</v>
      </c>
      <c r="D28" s="222">
        <v>71173838</v>
      </c>
      <c r="E28" s="220" t="s">
        <v>157</v>
      </c>
      <c r="F28" s="222">
        <v>3111</v>
      </c>
      <c r="G28" s="172" t="s">
        <v>311</v>
      </c>
      <c r="H28" s="223" t="s">
        <v>277</v>
      </c>
      <c r="I28" s="477">
        <v>7988452</v>
      </c>
      <c r="J28" s="472">
        <v>5843795</v>
      </c>
      <c r="K28" s="472">
        <v>6000</v>
      </c>
      <c r="L28" s="472">
        <v>1977231</v>
      </c>
      <c r="M28" s="472">
        <v>116876</v>
      </c>
      <c r="N28" s="472">
        <v>44550</v>
      </c>
      <c r="O28" s="473">
        <v>12.481300000000001</v>
      </c>
      <c r="P28" s="474">
        <v>8.99</v>
      </c>
      <c r="Q28" s="483">
        <v>3.4913000000000007</v>
      </c>
      <c r="R28" s="485">
        <f t="shared" ref="R28:R30" si="31">Y28*-1</f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7"/>
        <v>0</v>
      </c>
      <c r="Y28" s="475">
        <v>0</v>
      </c>
      <c r="Z28" s="475">
        <v>0</v>
      </c>
      <c r="AA28" s="475">
        <v>0</v>
      </c>
      <c r="AB28" s="475">
        <f t="shared" ref="AB28:AB30" si="32">SUM(Y28:AA28)</f>
        <v>0</v>
      </c>
      <c r="AC28" s="475">
        <f>X28+AB28</f>
        <v>0</v>
      </c>
      <c r="AD28" s="70">
        <f>ROUND((X28+Y28+Z28)*33.8%,0)</f>
        <v>0</v>
      </c>
      <c r="AE28" s="70">
        <f>ROUND(X28*2%,0)</f>
        <v>0</v>
      </c>
      <c r="AF28" s="475">
        <v>0</v>
      </c>
      <c r="AG28" s="475">
        <v>0</v>
      </c>
      <c r="AH28" s="475">
        <f t="shared" ref="AH28:AH30" si="33">SUM(AF28:AG28)</f>
        <v>0</v>
      </c>
      <c r="AI28" s="475">
        <f t="shared" ref="AI28:AI30" si="34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ref="AT28:AT30" si="35">SUM(AR28:AS28)</f>
        <v>0</v>
      </c>
      <c r="AU28" s="484">
        <f>I28+AI28</f>
        <v>7988452</v>
      </c>
      <c r="AV28" s="475">
        <f>J28+X28</f>
        <v>5843795</v>
      </c>
      <c r="AW28" s="475">
        <f>K28+AB28</f>
        <v>6000</v>
      </c>
      <c r="AX28" s="475">
        <f t="shared" ref="AX28:AY30" si="36">L28+AD28</f>
        <v>1977231</v>
      </c>
      <c r="AY28" s="475">
        <f t="shared" si="36"/>
        <v>116876</v>
      </c>
      <c r="AZ28" s="475">
        <f>N28+AH28</f>
        <v>44550</v>
      </c>
      <c r="BA28" s="476">
        <f>O28+AT28</f>
        <v>12.481300000000001</v>
      </c>
      <c r="BB28" s="476">
        <f t="shared" ref="BB28:BC30" si="37">P28+AR28</f>
        <v>8.99</v>
      </c>
      <c r="BC28" s="478">
        <f t="shared" si="37"/>
        <v>3.4913000000000007</v>
      </c>
    </row>
    <row r="29" spans="1:55" s="234" customFormat="1" x14ac:dyDescent="0.2">
      <c r="A29" s="221">
        <v>5</v>
      </c>
      <c r="B29" s="222">
        <v>4492</v>
      </c>
      <c r="C29" s="222">
        <v>650065221</v>
      </c>
      <c r="D29" s="222">
        <v>71173838</v>
      </c>
      <c r="E29" s="220" t="s">
        <v>157</v>
      </c>
      <c r="F29" s="222">
        <v>3111</v>
      </c>
      <c r="G29" s="172" t="s">
        <v>312</v>
      </c>
      <c r="H29" s="223" t="s">
        <v>278</v>
      </c>
      <c r="I29" s="477">
        <v>1019351</v>
      </c>
      <c r="J29" s="472">
        <v>750627</v>
      </c>
      <c r="K29" s="472">
        <v>0</v>
      </c>
      <c r="L29" s="472">
        <v>253711</v>
      </c>
      <c r="M29" s="472">
        <v>15013</v>
      </c>
      <c r="N29" s="472">
        <v>0</v>
      </c>
      <c r="O29" s="473">
        <v>2.16</v>
      </c>
      <c r="P29" s="474">
        <v>2.16</v>
      </c>
      <c r="Q29" s="483">
        <v>0</v>
      </c>
      <c r="R29" s="485">
        <f t="shared" si="31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7"/>
        <v>0</v>
      </c>
      <c r="Y29" s="475">
        <v>0</v>
      </c>
      <c r="Z29" s="475">
        <v>0</v>
      </c>
      <c r="AA29" s="475">
        <v>0</v>
      </c>
      <c r="AB29" s="475">
        <f t="shared" si="32"/>
        <v>0</v>
      </c>
      <c r="AC29" s="475">
        <f>X29+AB29</f>
        <v>0</v>
      </c>
      <c r="AD29" s="70">
        <f>ROUND((X29+Y29+Z29)*33.8%,0)</f>
        <v>0</v>
      </c>
      <c r="AE29" s="70">
        <f>ROUND(X29*2%,0)</f>
        <v>0</v>
      </c>
      <c r="AF29" s="475">
        <v>0</v>
      </c>
      <c r="AG29" s="475">
        <v>0</v>
      </c>
      <c r="AH29" s="475">
        <f t="shared" si="33"/>
        <v>0</v>
      </c>
      <c r="AI29" s="475">
        <f t="shared" si="34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35"/>
        <v>0</v>
      </c>
      <c r="AU29" s="484">
        <f>I29+AI29</f>
        <v>1019351</v>
      </c>
      <c r="AV29" s="475">
        <f>J29+X29</f>
        <v>750627</v>
      </c>
      <c r="AW29" s="475">
        <f>K29+AB29</f>
        <v>0</v>
      </c>
      <c r="AX29" s="475">
        <f t="shared" si="36"/>
        <v>253711</v>
      </c>
      <c r="AY29" s="475">
        <f t="shared" si="36"/>
        <v>15013</v>
      </c>
      <c r="AZ29" s="475">
        <f>N29+AH29</f>
        <v>0</v>
      </c>
      <c r="BA29" s="476">
        <f>O29+AT29</f>
        <v>2.16</v>
      </c>
      <c r="BB29" s="476">
        <f t="shared" si="37"/>
        <v>2.16</v>
      </c>
      <c r="BC29" s="478">
        <f t="shared" si="37"/>
        <v>0</v>
      </c>
    </row>
    <row r="30" spans="1:55" s="234" customFormat="1" x14ac:dyDescent="0.2">
      <c r="A30" s="221">
        <v>5</v>
      </c>
      <c r="B30" s="222">
        <v>4492</v>
      </c>
      <c r="C30" s="222">
        <v>650065221</v>
      </c>
      <c r="D30" s="222">
        <v>71173838</v>
      </c>
      <c r="E30" s="220" t="s">
        <v>157</v>
      </c>
      <c r="F30" s="222">
        <v>3141</v>
      </c>
      <c r="G30" s="172" t="s">
        <v>315</v>
      </c>
      <c r="H30" s="223" t="s">
        <v>278</v>
      </c>
      <c r="I30" s="477">
        <v>1025859</v>
      </c>
      <c r="J30" s="472">
        <v>751575</v>
      </c>
      <c r="K30" s="472">
        <v>0</v>
      </c>
      <c r="L30" s="472">
        <v>254032</v>
      </c>
      <c r="M30" s="472">
        <v>15032</v>
      </c>
      <c r="N30" s="472">
        <v>5220</v>
      </c>
      <c r="O30" s="473">
        <v>2.37</v>
      </c>
      <c r="P30" s="474">
        <v>0</v>
      </c>
      <c r="Q30" s="483">
        <v>2.37</v>
      </c>
      <c r="R30" s="485">
        <f t="shared" si="31"/>
        <v>0</v>
      </c>
      <c r="S30" s="475">
        <v>0</v>
      </c>
      <c r="T30" s="475">
        <v>-5850</v>
      </c>
      <c r="U30" s="475">
        <v>0</v>
      </c>
      <c r="V30" s="475">
        <v>0</v>
      </c>
      <c r="W30" s="475">
        <v>0</v>
      </c>
      <c r="X30" s="475">
        <f t="shared" si="7"/>
        <v>-5850</v>
      </c>
      <c r="Y30" s="475">
        <v>0</v>
      </c>
      <c r="Z30" s="475">
        <v>0</v>
      </c>
      <c r="AA30" s="475">
        <v>0</v>
      </c>
      <c r="AB30" s="475">
        <f t="shared" si="32"/>
        <v>0</v>
      </c>
      <c r="AC30" s="475">
        <f>X30+AB30</f>
        <v>-5850</v>
      </c>
      <c r="AD30" s="70">
        <f>ROUND((X30+Y30+Z30)*33.8%,0)</f>
        <v>-1977</v>
      </c>
      <c r="AE30" s="70">
        <f>ROUND(X30*2%,0)</f>
        <v>-117</v>
      </c>
      <c r="AF30" s="475">
        <v>0</v>
      </c>
      <c r="AG30" s="475">
        <v>0</v>
      </c>
      <c r="AH30" s="475">
        <f t="shared" si="33"/>
        <v>0</v>
      </c>
      <c r="AI30" s="475">
        <f t="shared" si="34"/>
        <v>-7944</v>
      </c>
      <c r="AJ30" s="476">
        <v>0</v>
      </c>
      <c r="AK30" s="476">
        <v>0</v>
      </c>
      <c r="AL30" s="476">
        <v>0</v>
      </c>
      <c r="AM30" s="476">
        <v>0</v>
      </c>
      <c r="AN30" s="476">
        <v>-0.02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-0.02</v>
      </c>
      <c r="AT30" s="478">
        <f t="shared" si="35"/>
        <v>-0.02</v>
      </c>
      <c r="AU30" s="484">
        <f>I30+AI30</f>
        <v>1017915</v>
      </c>
      <c r="AV30" s="475">
        <f>J30+X30</f>
        <v>745725</v>
      </c>
      <c r="AW30" s="475">
        <f>K30+AB30</f>
        <v>0</v>
      </c>
      <c r="AX30" s="475">
        <f t="shared" si="36"/>
        <v>252055</v>
      </c>
      <c r="AY30" s="475">
        <f t="shared" si="36"/>
        <v>14915</v>
      </c>
      <c r="AZ30" s="475">
        <f>N30+AH30</f>
        <v>5220</v>
      </c>
      <c r="BA30" s="476">
        <f>O30+AT30</f>
        <v>2.35</v>
      </c>
      <c r="BB30" s="476">
        <f t="shared" si="37"/>
        <v>0</v>
      </c>
      <c r="BC30" s="478">
        <f t="shared" si="37"/>
        <v>2.35</v>
      </c>
    </row>
    <row r="31" spans="1:55" s="234" customFormat="1" x14ac:dyDescent="0.2">
      <c r="A31" s="162">
        <v>5</v>
      </c>
      <c r="B31" s="18">
        <v>4492</v>
      </c>
      <c r="C31" s="18">
        <v>650065221</v>
      </c>
      <c r="D31" s="18">
        <v>71173838</v>
      </c>
      <c r="E31" s="171" t="s">
        <v>158</v>
      </c>
      <c r="F31" s="18"/>
      <c r="G31" s="161"/>
      <c r="H31" s="195"/>
      <c r="I31" s="529">
        <v>10033662</v>
      </c>
      <c r="J31" s="526">
        <v>7345997</v>
      </c>
      <c r="K31" s="526">
        <v>6000</v>
      </c>
      <c r="L31" s="526">
        <v>2484974</v>
      </c>
      <c r="M31" s="526">
        <v>146921</v>
      </c>
      <c r="N31" s="526">
        <v>49770</v>
      </c>
      <c r="O31" s="527">
        <v>17.011300000000002</v>
      </c>
      <c r="P31" s="527">
        <v>11.15</v>
      </c>
      <c r="Q31" s="531">
        <v>5.8613000000000008</v>
      </c>
      <c r="R31" s="529">
        <f t="shared" ref="R31:BC31" si="38">SUM(R28:R30)</f>
        <v>0</v>
      </c>
      <c r="S31" s="526">
        <f t="shared" si="38"/>
        <v>0</v>
      </c>
      <c r="T31" s="526">
        <f t="shared" si="38"/>
        <v>-5850</v>
      </c>
      <c r="U31" s="526">
        <f t="shared" si="38"/>
        <v>0</v>
      </c>
      <c r="V31" s="526">
        <f t="shared" si="38"/>
        <v>0</v>
      </c>
      <c r="W31" s="526">
        <f t="shared" si="38"/>
        <v>0</v>
      </c>
      <c r="X31" s="526">
        <f t="shared" si="38"/>
        <v>-5850</v>
      </c>
      <c r="Y31" s="526">
        <f t="shared" si="38"/>
        <v>0</v>
      </c>
      <c r="Z31" s="526">
        <f t="shared" si="38"/>
        <v>0</v>
      </c>
      <c r="AA31" s="526">
        <f t="shared" si="38"/>
        <v>0</v>
      </c>
      <c r="AB31" s="526">
        <f t="shared" si="38"/>
        <v>0</v>
      </c>
      <c r="AC31" s="526">
        <f t="shared" si="38"/>
        <v>-5850</v>
      </c>
      <c r="AD31" s="526">
        <f t="shared" si="38"/>
        <v>-1977</v>
      </c>
      <c r="AE31" s="526">
        <f t="shared" si="38"/>
        <v>-117</v>
      </c>
      <c r="AF31" s="526">
        <f t="shared" si="38"/>
        <v>0</v>
      </c>
      <c r="AG31" s="526">
        <f t="shared" si="38"/>
        <v>0</v>
      </c>
      <c r="AH31" s="526">
        <f t="shared" si="38"/>
        <v>0</v>
      </c>
      <c r="AI31" s="526">
        <f t="shared" si="38"/>
        <v>-7944</v>
      </c>
      <c r="AJ31" s="527">
        <f t="shared" si="38"/>
        <v>0</v>
      </c>
      <c r="AK31" s="527">
        <f t="shared" si="38"/>
        <v>0</v>
      </c>
      <c r="AL31" s="527">
        <f t="shared" si="38"/>
        <v>0</v>
      </c>
      <c r="AM31" s="527">
        <f t="shared" si="38"/>
        <v>0</v>
      </c>
      <c r="AN31" s="527">
        <f t="shared" si="38"/>
        <v>-0.02</v>
      </c>
      <c r="AO31" s="527">
        <f t="shared" si="38"/>
        <v>0</v>
      </c>
      <c r="AP31" s="527">
        <f t="shared" si="38"/>
        <v>0</v>
      </c>
      <c r="AQ31" s="527">
        <f t="shared" si="38"/>
        <v>0</v>
      </c>
      <c r="AR31" s="527">
        <f t="shared" si="38"/>
        <v>0</v>
      </c>
      <c r="AS31" s="527">
        <f t="shared" si="38"/>
        <v>-0.02</v>
      </c>
      <c r="AT31" s="40">
        <f t="shared" si="38"/>
        <v>-0.02</v>
      </c>
      <c r="AU31" s="533">
        <f t="shared" si="38"/>
        <v>10025718</v>
      </c>
      <c r="AV31" s="526">
        <f t="shared" si="38"/>
        <v>7340147</v>
      </c>
      <c r="AW31" s="526">
        <f t="shared" si="38"/>
        <v>6000</v>
      </c>
      <c r="AX31" s="526">
        <f t="shared" si="38"/>
        <v>2482997</v>
      </c>
      <c r="AY31" s="526">
        <f t="shared" si="38"/>
        <v>146804</v>
      </c>
      <c r="AZ31" s="526">
        <f t="shared" si="38"/>
        <v>49770</v>
      </c>
      <c r="BA31" s="527">
        <f t="shared" si="38"/>
        <v>16.991300000000003</v>
      </c>
      <c r="BB31" s="527">
        <f t="shared" si="38"/>
        <v>11.15</v>
      </c>
      <c r="BC31" s="40">
        <f t="shared" si="38"/>
        <v>5.8413000000000004</v>
      </c>
    </row>
    <row r="32" spans="1:55" s="234" customFormat="1" x14ac:dyDescent="0.2">
      <c r="A32" s="221">
        <v>6</v>
      </c>
      <c r="B32" s="222">
        <v>4408</v>
      </c>
      <c r="C32" s="222">
        <v>600074528</v>
      </c>
      <c r="D32" s="222">
        <v>70982163</v>
      </c>
      <c r="E32" s="220" t="s">
        <v>159</v>
      </c>
      <c r="F32" s="222">
        <v>3111</v>
      </c>
      <c r="G32" s="172" t="s">
        <v>311</v>
      </c>
      <c r="H32" s="223" t="s">
        <v>277</v>
      </c>
      <c r="I32" s="477">
        <v>10831418</v>
      </c>
      <c r="J32" s="472">
        <v>7895149</v>
      </c>
      <c r="K32" s="472">
        <v>37000</v>
      </c>
      <c r="L32" s="472">
        <v>2681066</v>
      </c>
      <c r="M32" s="472">
        <v>157903</v>
      </c>
      <c r="N32" s="472">
        <v>60300</v>
      </c>
      <c r="O32" s="473">
        <v>16.8645</v>
      </c>
      <c r="P32" s="474">
        <v>12.66</v>
      </c>
      <c r="Q32" s="483">
        <v>4.2045000000000012</v>
      </c>
      <c r="R32" s="485">
        <f t="shared" ref="R32:R34" si="39">Y32*-1</f>
        <v>0</v>
      </c>
      <c r="S32" s="475">
        <v>0</v>
      </c>
      <c r="T32" s="475">
        <v>0</v>
      </c>
      <c r="U32" s="475">
        <v>0</v>
      </c>
      <c r="V32" s="475">
        <v>-51546</v>
      </c>
      <c r="W32" s="475">
        <v>0</v>
      </c>
      <c r="X32" s="475">
        <f t="shared" si="7"/>
        <v>-51546</v>
      </c>
      <c r="Y32" s="475">
        <v>0</v>
      </c>
      <c r="Z32" s="475">
        <v>0</v>
      </c>
      <c r="AA32" s="475">
        <v>0</v>
      </c>
      <c r="AB32" s="475">
        <f t="shared" ref="AB32:AB34" si="40">SUM(Y32:AA32)</f>
        <v>0</v>
      </c>
      <c r="AC32" s="475">
        <f>X32+AB32</f>
        <v>-51546</v>
      </c>
      <c r="AD32" s="70">
        <f>ROUND((X32+Y32+Z32)*33.8%,0)</f>
        <v>-17423</v>
      </c>
      <c r="AE32" s="70">
        <f>ROUND(X32*2%,0)</f>
        <v>-1031</v>
      </c>
      <c r="AF32" s="475">
        <v>0</v>
      </c>
      <c r="AG32" s="475">
        <v>70000</v>
      </c>
      <c r="AH32" s="475">
        <f t="shared" ref="AH32:AH34" si="41">SUM(AF32:AG32)</f>
        <v>70000</v>
      </c>
      <c r="AI32" s="475">
        <f t="shared" ref="AI32:AI34" si="42">AC32+AD32+AE32+AH32</f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0</v>
      </c>
      <c r="AT32" s="478">
        <f t="shared" ref="AT32:AT34" si="43">SUM(AR32:AS32)</f>
        <v>0</v>
      </c>
      <c r="AU32" s="484">
        <f>I32+AI32</f>
        <v>10831418</v>
      </c>
      <c r="AV32" s="475">
        <f>J32+X32</f>
        <v>7843603</v>
      </c>
      <c r="AW32" s="475">
        <f>K32+AB32</f>
        <v>37000</v>
      </c>
      <c r="AX32" s="475">
        <f t="shared" ref="AX32:AY34" si="44">L32+AD32</f>
        <v>2663643</v>
      </c>
      <c r="AY32" s="475">
        <f t="shared" si="44"/>
        <v>156872</v>
      </c>
      <c r="AZ32" s="475">
        <f>N32+AH32</f>
        <v>130300</v>
      </c>
      <c r="BA32" s="476">
        <f>O32+AT32</f>
        <v>16.8645</v>
      </c>
      <c r="BB32" s="476">
        <f t="shared" ref="BB32:BC34" si="45">P32+AR32</f>
        <v>12.66</v>
      </c>
      <c r="BC32" s="478">
        <f t="shared" si="45"/>
        <v>4.2045000000000012</v>
      </c>
    </row>
    <row r="33" spans="1:55" s="234" customFormat="1" x14ac:dyDescent="0.2">
      <c r="A33" s="221">
        <v>6</v>
      </c>
      <c r="B33" s="222">
        <v>4408</v>
      </c>
      <c r="C33" s="222">
        <v>600074528</v>
      </c>
      <c r="D33" s="222">
        <v>70982163</v>
      </c>
      <c r="E33" s="220" t="s">
        <v>159</v>
      </c>
      <c r="F33" s="222">
        <v>3111</v>
      </c>
      <c r="G33" s="172" t="s">
        <v>312</v>
      </c>
      <c r="H33" s="223" t="s">
        <v>278</v>
      </c>
      <c r="I33" s="477">
        <v>0</v>
      </c>
      <c r="J33" s="472">
        <v>0</v>
      </c>
      <c r="K33" s="472">
        <v>0</v>
      </c>
      <c r="L33" s="472">
        <v>0</v>
      </c>
      <c r="M33" s="472">
        <v>0</v>
      </c>
      <c r="N33" s="472">
        <v>0</v>
      </c>
      <c r="O33" s="473">
        <v>0</v>
      </c>
      <c r="P33" s="474">
        <v>0</v>
      </c>
      <c r="Q33" s="483">
        <v>0</v>
      </c>
      <c r="R33" s="485">
        <f t="shared" si="39"/>
        <v>0</v>
      </c>
      <c r="S33" s="475">
        <v>43306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7"/>
        <v>43306</v>
      </c>
      <c r="Y33" s="475">
        <v>0</v>
      </c>
      <c r="Z33" s="475">
        <v>0</v>
      </c>
      <c r="AA33" s="475">
        <v>0</v>
      </c>
      <c r="AB33" s="475">
        <f t="shared" si="40"/>
        <v>0</v>
      </c>
      <c r="AC33" s="475">
        <f>X33+AB33</f>
        <v>43306</v>
      </c>
      <c r="AD33" s="70">
        <f>ROUND((X33+Y33+Z33)*33.8%,0)</f>
        <v>14637</v>
      </c>
      <c r="AE33" s="70">
        <f>ROUND(X33*2%,0)</f>
        <v>866</v>
      </c>
      <c r="AF33" s="475">
        <v>0</v>
      </c>
      <c r="AG33" s="475">
        <v>0</v>
      </c>
      <c r="AH33" s="475">
        <f t="shared" si="41"/>
        <v>0</v>
      </c>
      <c r="AI33" s="475">
        <f t="shared" si="42"/>
        <v>58809</v>
      </c>
      <c r="AJ33" s="476">
        <v>0</v>
      </c>
      <c r="AK33" s="476">
        <v>0</v>
      </c>
      <c r="AL33" s="476">
        <v>0.13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>AJ33+AL33+AM33+AO33+AP33</f>
        <v>0.13</v>
      </c>
      <c r="AS33" s="476">
        <f>AK33+AN33+AQ33</f>
        <v>0</v>
      </c>
      <c r="AT33" s="478">
        <f t="shared" ref="AT33" si="46">SUM(AR33:AS33)</f>
        <v>0.13</v>
      </c>
      <c r="AU33" s="484">
        <f>I33+AI33</f>
        <v>58809</v>
      </c>
      <c r="AV33" s="475">
        <f>J33+X33</f>
        <v>43306</v>
      </c>
      <c r="AW33" s="475">
        <f>K33+AB33</f>
        <v>0</v>
      </c>
      <c r="AX33" s="475">
        <f t="shared" si="44"/>
        <v>14637</v>
      </c>
      <c r="AY33" s="475">
        <f t="shared" si="44"/>
        <v>866</v>
      </c>
      <c r="AZ33" s="475">
        <f>N33+AH33</f>
        <v>0</v>
      </c>
      <c r="BA33" s="476">
        <f>O33+AT33</f>
        <v>0.13</v>
      </c>
      <c r="BB33" s="476">
        <f t="shared" si="45"/>
        <v>0.13</v>
      </c>
      <c r="BC33" s="478">
        <f t="shared" si="45"/>
        <v>0</v>
      </c>
    </row>
    <row r="34" spans="1:55" s="234" customFormat="1" x14ac:dyDescent="0.2">
      <c r="A34" s="221">
        <v>6</v>
      </c>
      <c r="B34" s="222">
        <v>4408</v>
      </c>
      <c r="C34" s="222">
        <v>600074528</v>
      </c>
      <c r="D34" s="222">
        <v>70982163</v>
      </c>
      <c r="E34" s="220" t="s">
        <v>159</v>
      </c>
      <c r="F34" s="222">
        <v>3141</v>
      </c>
      <c r="G34" s="172" t="s">
        <v>315</v>
      </c>
      <c r="H34" s="223" t="s">
        <v>278</v>
      </c>
      <c r="I34" s="477">
        <v>1398044</v>
      </c>
      <c r="J34" s="472">
        <v>1018795</v>
      </c>
      <c r="K34" s="472">
        <v>5000</v>
      </c>
      <c r="L34" s="472">
        <v>346043</v>
      </c>
      <c r="M34" s="472">
        <v>20376</v>
      </c>
      <c r="N34" s="472">
        <v>7830</v>
      </c>
      <c r="O34" s="473">
        <v>3.22</v>
      </c>
      <c r="P34" s="474">
        <v>0</v>
      </c>
      <c r="Q34" s="483">
        <v>3.22</v>
      </c>
      <c r="R34" s="485">
        <f t="shared" si="39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7"/>
        <v>0</v>
      </c>
      <c r="Y34" s="475">
        <v>0</v>
      </c>
      <c r="Z34" s="475">
        <v>0</v>
      </c>
      <c r="AA34" s="475">
        <v>0</v>
      </c>
      <c r="AB34" s="475">
        <f t="shared" si="40"/>
        <v>0</v>
      </c>
      <c r="AC34" s="475">
        <f>X34+AB34</f>
        <v>0</v>
      </c>
      <c r="AD34" s="70">
        <f>ROUND((X34+Y34+Z34)*33.8%,0)</f>
        <v>0</v>
      </c>
      <c r="AE34" s="70">
        <f>ROUND(X34*2%,0)</f>
        <v>0</v>
      </c>
      <c r="AF34" s="475">
        <v>0</v>
      </c>
      <c r="AG34" s="475">
        <v>0</v>
      </c>
      <c r="AH34" s="475">
        <f t="shared" si="41"/>
        <v>0</v>
      </c>
      <c r="AI34" s="475">
        <f t="shared" si="42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43"/>
        <v>0</v>
      </c>
      <c r="AU34" s="484">
        <f>I34+AI34</f>
        <v>1398044</v>
      </c>
      <c r="AV34" s="475">
        <f>J34+X34</f>
        <v>1018795</v>
      </c>
      <c r="AW34" s="475">
        <f>K34+AB34</f>
        <v>5000</v>
      </c>
      <c r="AX34" s="475">
        <f t="shared" si="44"/>
        <v>346043</v>
      </c>
      <c r="AY34" s="475">
        <f t="shared" si="44"/>
        <v>20376</v>
      </c>
      <c r="AZ34" s="475">
        <f>N34+AH34</f>
        <v>7830</v>
      </c>
      <c r="BA34" s="476">
        <f>O34+AT34</f>
        <v>3.22</v>
      </c>
      <c r="BB34" s="476">
        <f t="shared" si="45"/>
        <v>0</v>
      </c>
      <c r="BC34" s="478">
        <f t="shared" si="45"/>
        <v>3.22</v>
      </c>
    </row>
    <row r="35" spans="1:55" s="234" customFormat="1" x14ac:dyDescent="0.2">
      <c r="A35" s="162">
        <v>6</v>
      </c>
      <c r="B35" s="18">
        <v>4408</v>
      </c>
      <c r="C35" s="18">
        <v>600074528</v>
      </c>
      <c r="D35" s="18">
        <v>70982163</v>
      </c>
      <c r="E35" s="171" t="s">
        <v>160</v>
      </c>
      <c r="F35" s="18"/>
      <c r="G35" s="161"/>
      <c r="H35" s="195"/>
      <c r="I35" s="529">
        <v>12229462</v>
      </c>
      <c r="J35" s="526">
        <v>8913944</v>
      </c>
      <c r="K35" s="526">
        <v>42000</v>
      </c>
      <c r="L35" s="526">
        <v>3027109</v>
      </c>
      <c r="M35" s="526">
        <v>178279</v>
      </c>
      <c r="N35" s="526">
        <v>68130</v>
      </c>
      <c r="O35" s="527">
        <v>20.084499999999998</v>
      </c>
      <c r="P35" s="527">
        <v>12.66</v>
      </c>
      <c r="Q35" s="531">
        <v>7.4245000000000019</v>
      </c>
      <c r="R35" s="529">
        <f t="shared" ref="R35:BC35" si="47">SUM(R32:R34)</f>
        <v>0</v>
      </c>
      <c r="S35" s="526">
        <f t="shared" si="47"/>
        <v>43306</v>
      </c>
      <c r="T35" s="526">
        <f t="shared" si="47"/>
        <v>0</v>
      </c>
      <c r="U35" s="526">
        <f t="shared" si="47"/>
        <v>0</v>
      </c>
      <c r="V35" s="526">
        <f t="shared" si="47"/>
        <v>-51546</v>
      </c>
      <c r="W35" s="526">
        <f t="shared" si="47"/>
        <v>0</v>
      </c>
      <c r="X35" s="526">
        <f t="shared" si="47"/>
        <v>-8240</v>
      </c>
      <c r="Y35" s="526">
        <f t="shared" si="47"/>
        <v>0</v>
      </c>
      <c r="Z35" s="526">
        <f t="shared" si="47"/>
        <v>0</v>
      </c>
      <c r="AA35" s="526">
        <f t="shared" si="47"/>
        <v>0</v>
      </c>
      <c r="AB35" s="526">
        <f t="shared" si="47"/>
        <v>0</v>
      </c>
      <c r="AC35" s="526">
        <f t="shared" si="47"/>
        <v>-8240</v>
      </c>
      <c r="AD35" s="526">
        <f t="shared" si="47"/>
        <v>-2786</v>
      </c>
      <c r="AE35" s="526">
        <f t="shared" si="47"/>
        <v>-165</v>
      </c>
      <c r="AF35" s="526">
        <f t="shared" si="47"/>
        <v>0</v>
      </c>
      <c r="AG35" s="526">
        <f t="shared" si="47"/>
        <v>70000</v>
      </c>
      <c r="AH35" s="526">
        <f t="shared" si="47"/>
        <v>70000</v>
      </c>
      <c r="AI35" s="526">
        <f t="shared" si="47"/>
        <v>58809</v>
      </c>
      <c r="AJ35" s="527">
        <f t="shared" si="47"/>
        <v>0</v>
      </c>
      <c r="AK35" s="527">
        <f t="shared" si="47"/>
        <v>0</v>
      </c>
      <c r="AL35" s="527">
        <f t="shared" si="47"/>
        <v>0.13</v>
      </c>
      <c r="AM35" s="527">
        <f t="shared" si="47"/>
        <v>0</v>
      </c>
      <c r="AN35" s="527">
        <f t="shared" si="47"/>
        <v>0</v>
      </c>
      <c r="AO35" s="527">
        <f t="shared" si="47"/>
        <v>0</v>
      </c>
      <c r="AP35" s="527">
        <f t="shared" si="47"/>
        <v>0</v>
      </c>
      <c r="AQ35" s="527">
        <f t="shared" si="47"/>
        <v>0</v>
      </c>
      <c r="AR35" s="527">
        <f t="shared" si="47"/>
        <v>0.13</v>
      </c>
      <c r="AS35" s="527">
        <f t="shared" si="47"/>
        <v>0</v>
      </c>
      <c r="AT35" s="40">
        <f t="shared" si="47"/>
        <v>0.13</v>
      </c>
      <c r="AU35" s="533">
        <f t="shared" si="47"/>
        <v>12288271</v>
      </c>
      <c r="AV35" s="526">
        <f t="shared" si="47"/>
        <v>8905704</v>
      </c>
      <c r="AW35" s="526">
        <f t="shared" si="47"/>
        <v>42000</v>
      </c>
      <c r="AX35" s="526">
        <f t="shared" si="47"/>
        <v>3024323</v>
      </c>
      <c r="AY35" s="526">
        <f t="shared" si="47"/>
        <v>178114</v>
      </c>
      <c r="AZ35" s="526">
        <f t="shared" si="47"/>
        <v>138130</v>
      </c>
      <c r="BA35" s="527">
        <f t="shared" si="47"/>
        <v>20.214499999999997</v>
      </c>
      <c r="BB35" s="527">
        <f t="shared" si="47"/>
        <v>12.790000000000001</v>
      </c>
      <c r="BC35" s="40">
        <f t="shared" si="47"/>
        <v>7.4245000000000019</v>
      </c>
    </row>
    <row r="36" spans="1:55" s="234" customFormat="1" x14ac:dyDescent="0.2">
      <c r="A36" s="221">
        <v>7</v>
      </c>
      <c r="B36" s="222">
        <v>4423</v>
      </c>
      <c r="C36" s="222">
        <v>600074439</v>
      </c>
      <c r="D36" s="222">
        <v>70982155</v>
      </c>
      <c r="E36" s="220" t="s">
        <v>161</v>
      </c>
      <c r="F36" s="222">
        <v>3111</v>
      </c>
      <c r="G36" s="172" t="s">
        <v>311</v>
      </c>
      <c r="H36" s="223" t="s">
        <v>277</v>
      </c>
      <c r="I36" s="477">
        <v>7138511</v>
      </c>
      <c r="J36" s="472">
        <v>5151251</v>
      </c>
      <c r="K36" s="472">
        <v>74000</v>
      </c>
      <c r="L36" s="472">
        <v>1766135</v>
      </c>
      <c r="M36" s="472">
        <v>103025</v>
      </c>
      <c r="N36" s="472">
        <v>44100</v>
      </c>
      <c r="O36" s="473">
        <v>10.898199999999999</v>
      </c>
      <c r="P36" s="474">
        <v>8</v>
      </c>
      <c r="Q36" s="483">
        <v>2.8982000000000001</v>
      </c>
      <c r="R36" s="485">
        <f t="shared" ref="R36:R38" si="48">Y36*-1</f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7"/>
        <v>0</v>
      </c>
      <c r="Y36" s="475">
        <v>0</v>
      </c>
      <c r="Z36" s="475">
        <v>0</v>
      </c>
      <c r="AA36" s="475">
        <v>0</v>
      </c>
      <c r="AB36" s="475">
        <f t="shared" ref="AB36:AB38" si="49">SUM(Y36:AA36)</f>
        <v>0</v>
      </c>
      <c r="AC36" s="475">
        <f>X36+AB36</f>
        <v>0</v>
      </c>
      <c r="AD36" s="70">
        <f>ROUND((X36+Y36+Z36)*33.8%,0)</f>
        <v>0</v>
      </c>
      <c r="AE36" s="70">
        <f>ROUND(X36*2%,0)</f>
        <v>0</v>
      </c>
      <c r="AF36" s="475">
        <v>0</v>
      </c>
      <c r="AG36" s="475">
        <v>0</v>
      </c>
      <c r="AH36" s="475">
        <f t="shared" ref="AH36:AH38" si="50">SUM(AF36:AG36)</f>
        <v>0</v>
      </c>
      <c r="AI36" s="475">
        <f t="shared" ref="AI36:AI38" si="51">AC36+AD36+AE36+AH36</f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ref="AT36:AT38" si="52">SUM(AR36:AS36)</f>
        <v>0</v>
      </c>
      <c r="AU36" s="484">
        <f>I36+AI36</f>
        <v>7138511</v>
      </c>
      <c r="AV36" s="475">
        <f>J36+X36</f>
        <v>5151251</v>
      </c>
      <c r="AW36" s="475">
        <f>K36+AB36</f>
        <v>74000</v>
      </c>
      <c r="AX36" s="475">
        <f t="shared" ref="AX36:AY38" si="53">L36+AD36</f>
        <v>1766135</v>
      </c>
      <c r="AY36" s="475">
        <f t="shared" si="53"/>
        <v>103025</v>
      </c>
      <c r="AZ36" s="475">
        <f>N36+AH36</f>
        <v>44100</v>
      </c>
      <c r="BA36" s="476">
        <f>O36+AT36</f>
        <v>10.898199999999999</v>
      </c>
      <c r="BB36" s="476">
        <f t="shared" ref="BB36:BC38" si="54">P36+AR36</f>
        <v>8</v>
      </c>
      <c r="BC36" s="478">
        <f t="shared" si="54"/>
        <v>2.8982000000000001</v>
      </c>
    </row>
    <row r="37" spans="1:55" s="234" customFormat="1" x14ac:dyDescent="0.2">
      <c r="A37" s="221">
        <v>7</v>
      </c>
      <c r="B37" s="222">
        <v>4423</v>
      </c>
      <c r="C37" s="222">
        <v>600074439</v>
      </c>
      <c r="D37" s="222">
        <v>70982155</v>
      </c>
      <c r="E37" s="220" t="s">
        <v>161</v>
      </c>
      <c r="F37" s="222">
        <v>3111</v>
      </c>
      <c r="G37" s="172" t="s">
        <v>312</v>
      </c>
      <c r="H37" s="223" t="s">
        <v>278</v>
      </c>
      <c r="I37" s="477">
        <v>275534</v>
      </c>
      <c r="J37" s="472">
        <v>202897</v>
      </c>
      <c r="K37" s="472">
        <v>0</v>
      </c>
      <c r="L37" s="472">
        <v>68579</v>
      </c>
      <c r="M37" s="472">
        <v>4058</v>
      </c>
      <c r="N37" s="472">
        <v>0</v>
      </c>
      <c r="O37" s="473">
        <v>0.59</v>
      </c>
      <c r="P37" s="474">
        <v>0.59</v>
      </c>
      <c r="Q37" s="483">
        <v>0</v>
      </c>
      <c r="R37" s="485">
        <f t="shared" si="48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7"/>
        <v>0</v>
      </c>
      <c r="Y37" s="475">
        <v>0</v>
      </c>
      <c r="Z37" s="475">
        <v>0</v>
      </c>
      <c r="AA37" s="475">
        <v>0</v>
      </c>
      <c r="AB37" s="475">
        <f t="shared" si="49"/>
        <v>0</v>
      </c>
      <c r="AC37" s="475">
        <f>X37+AB37</f>
        <v>0</v>
      </c>
      <c r="AD37" s="70">
        <f>ROUND((X37+Y37+Z37)*33.8%,0)</f>
        <v>0</v>
      </c>
      <c r="AE37" s="70">
        <f>ROUND(X37*2%,0)</f>
        <v>0</v>
      </c>
      <c r="AF37" s="475">
        <v>0</v>
      </c>
      <c r="AG37" s="475">
        <v>0</v>
      </c>
      <c r="AH37" s="475">
        <f t="shared" si="50"/>
        <v>0</v>
      </c>
      <c r="AI37" s="475">
        <f t="shared" si="51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52"/>
        <v>0</v>
      </c>
      <c r="AU37" s="484">
        <f>I37+AI37</f>
        <v>275534</v>
      </c>
      <c r="AV37" s="475">
        <f>J37+X37</f>
        <v>202897</v>
      </c>
      <c r="AW37" s="475">
        <f>K37+AB37</f>
        <v>0</v>
      </c>
      <c r="AX37" s="475">
        <f t="shared" si="53"/>
        <v>68579</v>
      </c>
      <c r="AY37" s="475">
        <f t="shared" si="53"/>
        <v>4058</v>
      </c>
      <c r="AZ37" s="475">
        <f>N37+AH37</f>
        <v>0</v>
      </c>
      <c r="BA37" s="476">
        <f>O37+AT37</f>
        <v>0.59</v>
      </c>
      <c r="BB37" s="476">
        <f t="shared" si="54"/>
        <v>0.59</v>
      </c>
      <c r="BC37" s="478">
        <f t="shared" si="54"/>
        <v>0</v>
      </c>
    </row>
    <row r="38" spans="1:55" s="234" customFormat="1" x14ac:dyDescent="0.2">
      <c r="A38" s="221">
        <v>7</v>
      </c>
      <c r="B38" s="222">
        <v>4423</v>
      </c>
      <c r="C38" s="222">
        <v>600074439</v>
      </c>
      <c r="D38" s="222">
        <v>70982155</v>
      </c>
      <c r="E38" s="220" t="s">
        <v>161</v>
      </c>
      <c r="F38" s="222">
        <v>3141</v>
      </c>
      <c r="G38" s="172" t="s">
        <v>315</v>
      </c>
      <c r="H38" s="223" t="s">
        <v>278</v>
      </c>
      <c r="I38" s="477">
        <v>1295768</v>
      </c>
      <c r="J38" s="472">
        <v>914519</v>
      </c>
      <c r="K38" s="472">
        <v>36000</v>
      </c>
      <c r="L38" s="472">
        <v>321275</v>
      </c>
      <c r="M38" s="472">
        <v>18290</v>
      </c>
      <c r="N38" s="472">
        <v>5684</v>
      </c>
      <c r="O38" s="473">
        <v>2.8600000000000003</v>
      </c>
      <c r="P38" s="474">
        <v>0</v>
      </c>
      <c r="Q38" s="483">
        <v>2.8600000000000003</v>
      </c>
      <c r="R38" s="485">
        <f t="shared" si="48"/>
        <v>0</v>
      </c>
      <c r="S38" s="475">
        <v>0</v>
      </c>
      <c r="T38" s="475">
        <v>-15956</v>
      </c>
      <c r="U38" s="475">
        <v>0</v>
      </c>
      <c r="V38" s="475">
        <v>0</v>
      </c>
      <c r="W38" s="475">
        <v>0</v>
      </c>
      <c r="X38" s="475">
        <f t="shared" si="7"/>
        <v>-15956</v>
      </c>
      <c r="Y38" s="475">
        <v>0</v>
      </c>
      <c r="Z38" s="475">
        <v>0</v>
      </c>
      <c r="AA38" s="475">
        <v>0</v>
      </c>
      <c r="AB38" s="475">
        <f t="shared" si="49"/>
        <v>0</v>
      </c>
      <c r="AC38" s="475">
        <f>X38+AB38</f>
        <v>-15956</v>
      </c>
      <c r="AD38" s="70">
        <f>ROUND((X38+Y38+Z38)*33.8%,0)</f>
        <v>-5393</v>
      </c>
      <c r="AE38" s="70">
        <f>ROUND(X38*2%,0)</f>
        <v>-319</v>
      </c>
      <c r="AF38" s="475">
        <v>0</v>
      </c>
      <c r="AG38" s="475">
        <v>0</v>
      </c>
      <c r="AH38" s="475">
        <f t="shared" si="50"/>
        <v>0</v>
      </c>
      <c r="AI38" s="475">
        <f t="shared" si="51"/>
        <v>-21668</v>
      </c>
      <c r="AJ38" s="476">
        <v>0</v>
      </c>
      <c r="AK38" s="476">
        <v>0</v>
      </c>
      <c r="AL38" s="476">
        <v>0</v>
      </c>
      <c r="AM38" s="476">
        <v>0</v>
      </c>
      <c r="AN38" s="476">
        <v>-0.05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-0.05</v>
      </c>
      <c r="AT38" s="478">
        <f t="shared" si="52"/>
        <v>-0.05</v>
      </c>
      <c r="AU38" s="484">
        <f>I38+AI38</f>
        <v>1274100</v>
      </c>
      <c r="AV38" s="475">
        <f>J38+X38</f>
        <v>898563</v>
      </c>
      <c r="AW38" s="475">
        <f>K38+AB38</f>
        <v>36000</v>
      </c>
      <c r="AX38" s="475">
        <f t="shared" si="53"/>
        <v>315882</v>
      </c>
      <c r="AY38" s="475">
        <f t="shared" si="53"/>
        <v>17971</v>
      </c>
      <c r="AZ38" s="475">
        <f>N38+AH38</f>
        <v>5684</v>
      </c>
      <c r="BA38" s="476">
        <f>O38+AT38</f>
        <v>2.8100000000000005</v>
      </c>
      <c r="BB38" s="476">
        <f t="shared" si="54"/>
        <v>0</v>
      </c>
      <c r="BC38" s="478">
        <f t="shared" si="54"/>
        <v>2.8100000000000005</v>
      </c>
    </row>
    <row r="39" spans="1:55" s="234" customFormat="1" x14ac:dyDescent="0.2">
      <c r="A39" s="162">
        <v>7</v>
      </c>
      <c r="B39" s="18">
        <v>4423</v>
      </c>
      <c r="C39" s="18">
        <v>600074439</v>
      </c>
      <c r="D39" s="18">
        <v>70982155</v>
      </c>
      <c r="E39" s="171" t="s">
        <v>162</v>
      </c>
      <c r="F39" s="18"/>
      <c r="G39" s="161"/>
      <c r="H39" s="195"/>
      <c r="I39" s="529">
        <v>8709813</v>
      </c>
      <c r="J39" s="526">
        <v>6268667</v>
      </c>
      <c r="K39" s="526">
        <v>110000</v>
      </c>
      <c r="L39" s="526">
        <v>2155989</v>
      </c>
      <c r="M39" s="526">
        <v>125373</v>
      </c>
      <c r="N39" s="526">
        <v>49784</v>
      </c>
      <c r="O39" s="527">
        <v>14.348199999999999</v>
      </c>
      <c r="P39" s="527">
        <v>8.59</v>
      </c>
      <c r="Q39" s="531">
        <v>5.7582000000000004</v>
      </c>
      <c r="R39" s="529">
        <f t="shared" ref="R39:BC39" si="55">SUM(R36:R38)</f>
        <v>0</v>
      </c>
      <c r="S39" s="526">
        <f t="shared" si="55"/>
        <v>0</v>
      </c>
      <c r="T39" s="526">
        <f t="shared" si="55"/>
        <v>-15956</v>
      </c>
      <c r="U39" s="526">
        <f t="shared" si="55"/>
        <v>0</v>
      </c>
      <c r="V39" s="526">
        <f t="shared" si="55"/>
        <v>0</v>
      </c>
      <c r="W39" s="526">
        <f t="shared" si="55"/>
        <v>0</v>
      </c>
      <c r="X39" s="526">
        <f t="shared" si="55"/>
        <v>-15956</v>
      </c>
      <c r="Y39" s="526">
        <f t="shared" si="55"/>
        <v>0</v>
      </c>
      <c r="Z39" s="526">
        <f t="shared" si="55"/>
        <v>0</v>
      </c>
      <c r="AA39" s="526">
        <f t="shared" si="55"/>
        <v>0</v>
      </c>
      <c r="AB39" s="526">
        <f t="shared" si="55"/>
        <v>0</v>
      </c>
      <c r="AC39" s="526">
        <f t="shared" si="55"/>
        <v>-15956</v>
      </c>
      <c r="AD39" s="526">
        <f t="shared" si="55"/>
        <v>-5393</v>
      </c>
      <c r="AE39" s="526">
        <f t="shared" si="55"/>
        <v>-319</v>
      </c>
      <c r="AF39" s="526">
        <f t="shared" si="55"/>
        <v>0</v>
      </c>
      <c r="AG39" s="526">
        <f t="shared" si="55"/>
        <v>0</v>
      </c>
      <c r="AH39" s="526">
        <f t="shared" si="55"/>
        <v>0</v>
      </c>
      <c r="AI39" s="526">
        <f t="shared" si="55"/>
        <v>-21668</v>
      </c>
      <c r="AJ39" s="527">
        <f t="shared" si="55"/>
        <v>0</v>
      </c>
      <c r="AK39" s="527">
        <f t="shared" si="55"/>
        <v>0</v>
      </c>
      <c r="AL39" s="527">
        <f t="shared" si="55"/>
        <v>0</v>
      </c>
      <c r="AM39" s="527">
        <f t="shared" si="55"/>
        <v>0</v>
      </c>
      <c r="AN39" s="527">
        <f t="shared" si="55"/>
        <v>-0.05</v>
      </c>
      <c r="AO39" s="527">
        <f t="shared" si="55"/>
        <v>0</v>
      </c>
      <c r="AP39" s="527">
        <f t="shared" si="55"/>
        <v>0</v>
      </c>
      <c r="AQ39" s="527">
        <f t="shared" si="55"/>
        <v>0</v>
      </c>
      <c r="AR39" s="527">
        <f t="shared" si="55"/>
        <v>0</v>
      </c>
      <c r="AS39" s="527">
        <f t="shared" si="55"/>
        <v>-0.05</v>
      </c>
      <c r="AT39" s="40">
        <f t="shared" si="55"/>
        <v>-0.05</v>
      </c>
      <c r="AU39" s="533">
        <f t="shared" si="55"/>
        <v>8688145</v>
      </c>
      <c r="AV39" s="526">
        <f t="shared" si="55"/>
        <v>6252711</v>
      </c>
      <c r="AW39" s="526">
        <f t="shared" si="55"/>
        <v>110000</v>
      </c>
      <c r="AX39" s="526">
        <f t="shared" si="55"/>
        <v>2150596</v>
      </c>
      <c r="AY39" s="526">
        <f t="shared" si="55"/>
        <v>125054</v>
      </c>
      <c r="AZ39" s="526">
        <f t="shared" si="55"/>
        <v>49784</v>
      </c>
      <c r="BA39" s="527">
        <f t="shared" si="55"/>
        <v>14.2982</v>
      </c>
      <c r="BB39" s="527">
        <f t="shared" si="55"/>
        <v>8.59</v>
      </c>
      <c r="BC39" s="40">
        <f t="shared" si="55"/>
        <v>5.7082000000000006</v>
      </c>
    </row>
    <row r="40" spans="1:55" s="234" customFormat="1" x14ac:dyDescent="0.2">
      <c r="A40" s="221">
        <v>8</v>
      </c>
      <c r="B40" s="222">
        <v>4404</v>
      </c>
      <c r="C40" s="222">
        <v>600074331</v>
      </c>
      <c r="D40" s="222">
        <v>831298</v>
      </c>
      <c r="E40" s="220" t="s">
        <v>163</v>
      </c>
      <c r="F40" s="222">
        <v>3111</v>
      </c>
      <c r="G40" s="172" t="s">
        <v>311</v>
      </c>
      <c r="H40" s="223" t="s">
        <v>277</v>
      </c>
      <c r="I40" s="477">
        <v>21865254</v>
      </c>
      <c r="J40" s="472">
        <v>15859355</v>
      </c>
      <c r="K40" s="472">
        <v>0</v>
      </c>
      <c r="L40" s="472">
        <v>5360462</v>
      </c>
      <c r="M40" s="472">
        <v>317187</v>
      </c>
      <c r="N40" s="472">
        <v>328250</v>
      </c>
      <c r="O40" s="473">
        <v>35.580800000000004</v>
      </c>
      <c r="P40" s="474">
        <v>26</v>
      </c>
      <c r="Q40" s="483">
        <v>9.5808000000000035</v>
      </c>
      <c r="R40" s="485">
        <f t="shared" ref="R40:R42" si="56">Y40*-1</f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7"/>
        <v>0</v>
      </c>
      <c r="Y40" s="475">
        <v>0</v>
      </c>
      <c r="Z40" s="475">
        <v>0</v>
      </c>
      <c r="AA40" s="475">
        <v>0</v>
      </c>
      <c r="AB40" s="475">
        <f t="shared" ref="AB40:AB42" si="57">SUM(Y40:AA40)</f>
        <v>0</v>
      </c>
      <c r="AC40" s="475">
        <f>X40+AB40</f>
        <v>0</v>
      </c>
      <c r="AD40" s="70">
        <f>ROUND((X40+Y40+Z40)*33.8%,0)</f>
        <v>0</v>
      </c>
      <c r="AE40" s="70">
        <f>ROUND(X40*2%,0)</f>
        <v>0</v>
      </c>
      <c r="AF40" s="475">
        <v>0</v>
      </c>
      <c r="AG40" s="475">
        <v>0</v>
      </c>
      <c r="AH40" s="475">
        <f t="shared" ref="AH40:AH42" si="58">SUM(AF40:AG40)</f>
        <v>0</v>
      </c>
      <c r="AI40" s="475">
        <f t="shared" ref="AI40:AI42" si="59">AC40+AD40+AE40+AH40</f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ref="AT40:AT42" si="60">SUM(AR40:AS40)</f>
        <v>0</v>
      </c>
      <c r="AU40" s="484">
        <f>I40+AI40</f>
        <v>21865254</v>
      </c>
      <c r="AV40" s="475">
        <f>J40+X40</f>
        <v>15859355</v>
      </c>
      <c r="AW40" s="475">
        <f>K40+AB40</f>
        <v>0</v>
      </c>
      <c r="AX40" s="475">
        <f t="shared" ref="AX40:AY42" si="61">L40+AD40</f>
        <v>5360462</v>
      </c>
      <c r="AY40" s="475">
        <f t="shared" si="61"/>
        <v>317187</v>
      </c>
      <c r="AZ40" s="475">
        <f>N40+AH40</f>
        <v>328250</v>
      </c>
      <c r="BA40" s="476">
        <f>O40+AT40</f>
        <v>35.580800000000004</v>
      </c>
      <c r="BB40" s="476">
        <f t="shared" ref="BB40:BC42" si="62">P40+AR40</f>
        <v>26</v>
      </c>
      <c r="BC40" s="478">
        <f t="shared" si="62"/>
        <v>9.5808000000000035</v>
      </c>
    </row>
    <row r="41" spans="1:55" s="234" customFormat="1" x14ac:dyDescent="0.2">
      <c r="A41" s="221">
        <v>8</v>
      </c>
      <c r="B41" s="222">
        <v>4404</v>
      </c>
      <c r="C41" s="222">
        <v>600074331</v>
      </c>
      <c r="D41" s="222">
        <v>831298</v>
      </c>
      <c r="E41" s="220" t="s">
        <v>163</v>
      </c>
      <c r="F41" s="222">
        <v>3111</v>
      </c>
      <c r="G41" s="172" t="s">
        <v>312</v>
      </c>
      <c r="H41" s="223" t="s">
        <v>278</v>
      </c>
      <c r="I41" s="477">
        <v>313648</v>
      </c>
      <c r="J41" s="472">
        <v>230963</v>
      </c>
      <c r="K41" s="472">
        <v>0</v>
      </c>
      <c r="L41" s="472">
        <v>78066</v>
      </c>
      <c r="M41" s="472">
        <v>4619</v>
      </c>
      <c r="N41" s="472">
        <v>0</v>
      </c>
      <c r="O41" s="473">
        <v>0.66999999999999993</v>
      </c>
      <c r="P41" s="474">
        <v>0.66999999999999993</v>
      </c>
      <c r="Q41" s="483">
        <v>0</v>
      </c>
      <c r="R41" s="485">
        <f t="shared" si="56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7"/>
        <v>0</v>
      </c>
      <c r="Y41" s="475">
        <v>0</v>
      </c>
      <c r="Z41" s="475">
        <v>0</v>
      </c>
      <c r="AA41" s="475">
        <v>0</v>
      </c>
      <c r="AB41" s="475">
        <f t="shared" si="57"/>
        <v>0</v>
      </c>
      <c r="AC41" s="475">
        <f>X41+AB41</f>
        <v>0</v>
      </c>
      <c r="AD41" s="70">
        <f>ROUND((X41+Y41+Z41)*33.8%,0)</f>
        <v>0</v>
      </c>
      <c r="AE41" s="70">
        <f>ROUND(X41*2%,0)</f>
        <v>0</v>
      </c>
      <c r="AF41" s="475">
        <v>0</v>
      </c>
      <c r="AG41" s="475">
        <v>0</v>
      </c>
      <c r="AH41" s="475">
        <f t="shared" si="58"/>
        <v>0</v>
      </c>
      <c r="AI41" s="475">
        <f t="shared" si="59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60"/>
        <v>0</v>
      </c>
      <c r="AU41" s="484">
        <f>I41+AI41</f>
        <v>313648</v>
      </c>
      <c r="AV41" s="475">
        <f>J41+X41</f>
        <v>230963</v>
      </c>
      <c r="AW41" s="475">
        <f>K41+AB41</f>
        <v>0</v>
      </c>
      <c r="AX41" s="475">
        <f t="shared" si="61"/>
        <v>78066</v>
      </c>
      <c r="AY41" s="475">
        <f t="shared" si="61"/>
        <v>4619</v>
      </c>
      <c r="AZ41" s="475">
        <f>N41+AH41</f>
        <v>0</v>
      </c>
      <c r="BA41" s="476">
        <f>O41+AT41</f>
        <v>0.66999999999999993</v>
      </c>
      <c r="BB41" s="476">
        <f t="shared" si="62"/>
        <v>0.66999999999999993</v>
      </c>
      <c r="BC41" s="478">
        <f t="shared" si="62"/>
        <v>0</v>
      </c>
    </row>
    <row r="42" spans="1:55" s="234" customFormat="1" x14ac:dyDescent="0.2">
      <c r="A42" s="221">
        <v>8</v>
      </c>
      <c r="B42" s="222">
        <v>4404</v>
      </c>
      <c r="C42" s="222">
        <v>600074331</v>
      </c>
      <c r="D42" s="222">
        <v>831298</v>
      </c>
      <c r="E42" s="220" t="s">
        <v>163</v>
      </c>
      <c r="F42" s="222">
        <v>3141</v>
      </c>
      <c r="G42" s="172" t="s">
        <v>315</v>
      </c>
      <c r="H42" s="223" t="s">
        <v>278</v>
      </c>
      <c r="I42" s="477">
        <v>3475786</v>
      </c>
      <c r="J42" s="472">
        <v>2547274</v>
      </c>
      <c r="K42" s="472">
        <v>0</v>
      </c>
      <c r="L42" s="472">
        <v>860979</v>
      </c>
      <c r="M42" s="472">
        <v>50945</v>
      </c>
      <c r="N42" s="472">
        <v>16588</v>
      </c>
      <c r="O42" s="473">
        <v>8.0299999999999994</v>
      </c>
      <c r="P42" s="474">
        <v>0</v>
      </c>
      <c r="Q42" s="483">
        <v>8.0299999999999994</v>
      </c>
      <c r="R42" s="485">
        <f t="shared" si="56"/>
        <v>0</v>
      </c>
      <c r="S42" s="475">
        <v>0</v>
      </c>
      <c r="T42" s="475">
        <v>-9068</v>
      </c>
      <c r="U42" s="475">
        <v>0</v>
      </c>
      <c r="V42" s="475">
        <v>0</v>
      </c>
      <c r="W42" s="475">
        <v>0</v>
      </c>
      <c r="X42" s="475">
        <f t="shared" si="7"/>
        <v>-9068</v>
      </c>
      <c r="Y42" s="475">
        <v>0</v>
      </c>
      <c r="Z42" s="475">
        <v>0</v>
      </c>
      <c r="AA42" s="475">
        <v>0</v>
      </c>
      <c r="AB42" s="475">
        <f t="shared" si="57"/>
        <v>0</v>
      </c>
      <c r="AC42" s="475">
        <f>X42+AB42</f>
        <v>-9068</v>
      </c>
      <c r="AD42" s="70">
        <f>ROUND((X42+Y42+Z42)*33.8%,0)</f>
        <v>-3065</v>
      </c>
      <c r="AE42" s="70">
        <f>ROUND(X42*2%,0)</f>
        <v>-181</v>
      </c>
      <c r="AF42" s="475">
        <v>0</v>
      </c>
      <c r="AG42" s="475">
        <v>0</v>
      </c>
      <c r="AH42" s="475">
        <f t="shared" si="58"/>
        <v>0</v>
      </c>
      <c r="AI42" s="475">
        <f t="shared" si="59"/>
        <v>-12314</v>
      </c>
      <c r="AJ42" s="476">
        <v>0</v>
      </c>
      <c r="AK42" s="476">
        <v>0</v>
      </c>
      <c r="AL42" s="476">
        <v>0</v>
      </c>
      <c r="AM42" s="476">
        <v>0</v>
      </c>
      <c r="AN42" s="476">
        <v>-0.03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-0.03</v>
      </c>
      <c r="AT42" s="478">
        <f t="shared" si="60"/>
        <v>-0.03</v>
      </c>
      <c r="AU42" s="484">
        <f>I42+AI42</f>
        <v>3463472</v>
      </c>
      <c r="AV42" s="475">
        <f>J42+X42</f>
        <v>2538206</v>
      </c>
      <c r="AW42" s="475">
        <f>K42+AB42</f>
        <v>0</v>
      </c>
      <c r="AX42" s="475">
        <f t="shared" si="61"/>
        <v>857914</v>
      </c>
      <c r="AY42" s="475">
        <f t="shared" si="61"/>
        <v>50764</v>
      </c>
      <c r="AZ42" s="475">
        <f>N42+AH42</f>
        <v>16588</v>
      </c>
      <c r="BA42" s="476">
        <f>O42+AT42</f>
        <v>7.9999999999999991</v>
      </c>
      <c r="BB42" s="476">
        <f t="shared" si="62"/>
        <v>0</v>
      </c>
      <c r="BC42" s="478">
        <f t="shared" si="62"/>
        <v>7.9999999999999991</v>
      </c>
    </row>
    <row r="43" spans="1:55" s="234" customFormat="1" x14ac:dyDescent="0.2">
      <c r="A43" s="162">
        <v>8</v>
      </c>
      <c r="B43" s="18">
        <v>4404</v>
      </c>
      <c r="C43" s="18">
        <v>600074331</v>
      </c>
      <c r="D43" s="18">
        <v>831298</v>
      </c>
      <c r="E43" s="171" t="s">
        <v>164</v>
      </c>
      <c r="F43" s="18"/>
      <c r="G43" s="161"/>
      <c r="H43" s="195"/>
      <c r="I43" s="529">
        <v>25654688</v>
      </c>
      <c r="J43" s="526">
        <v>18637592</v>
      </c>
      <c r="K43" s="526">
        <v>0</v>
      </c>
      <c r="L43" s="526">
        <v>6299507</v>
      </c>
      <c r="M43" s="526">
        <v>372751</v>
      </c>
      <c r="N43" s="526">
        <v>344838</v>
      </c>
      <c r="O43" s="527">
        <v>44.280800000000006</v>
      </c>
      <c r="P43" s="527">
        <v>26.67</v>
      </c>
      <c r="Q43" s="531">
        <v>17.610800000000005</v>
      </c>
      <c r="R43" s="529">
        <f t="shared" ref="R43:BC43" si="63">SUM(R40:R42)</f>
        <v>0</v>
      </c>
      <c r="S43" s="526">
        <f t="shared" si="63"/>
        <v>0</v>
      </c>
      <c r="T43" s="526">
        <f t="shared" si="63"/>
        <v>-9068</v>
      </c>
      <c r="U43" s="526">
        <f t="shared" si="63"/>
        <v>0</v>
      </c>
      <c r="V43" s="526">
        <f t="shared" si="63"/>
        <v>0</v>
      </c>
      <c r="W43" s="526">
        <f t="shared" si="63"/>
        <v>0</v>
      </c>
      <c r="X43" s="526">
        <f t="shared" si="63"/>
        <v>-9068</v>
      </c>
      <c r="Y43" s="526">
        <f t="shared" si="63"/>
        <v>0</v>
      </c>
      <c r="Z43" s="526">
        <f t="shared" si="63"/>
        <v>0</v>
      </c>
      <c r="AA43" s="526">
        <f t="shared" si="63"/>
        <v>0</v>
      </c>
      <c r="AB43" s="526">
        <f t="shared" si="63"/>
        <v>0</v>
      </c>
      <c r="AC43" s="526">
        <f t="shared" si="63"/>
        <v>-9068</v>
      </c>
      <c r="AD43" s="526">
        <f t="shared" si="63"/>
        <v>-3065</v>
      </c>
      <c r="AE43" s="526">
        <f t="shared" si="63"/>
        <v>-181</v>
      </c>
      <c r="AF43" s="526">
        <f t="shared" si="63"/>
        <v>0</v>
      </c>
      <c r="AG43" s="526">
        <f t="shared" si="63"/>
        <v>0</v>
      </c>
      <c r="AH43" s="526">
        <f t="shared" si="63"/>
        <v>0</v>
      </c>
      <c r="AI43" s="526">
        <f t="shared" si="63"/>
        <v>-12314</v>
      </c>
      <c r="AJ43" s="527">
        <f t="shared" si="63"/>
        <v>0</v>
      </c>
      <c r="AK43" s="527">
        <f t="shared" si="63"/>
        <v>0</v>
      </c>
      <c r="AL43" s="527">
        <f t="shared" si="63"/>
        <v>0</v>
      </c>
      <c r="AM43" s="527">
        <f t="shared" si="63"/>
        <v>0</v>
      </c>
      <c r="AN43" s="527">
        <f t="shared" si="63"/>
        <v>-0.03</v>
      </c>
      <c r="AO43" s="527">
        <f t="shared" si="63"/>
        <v>0</v>
      </c>
      <c r="AP43" s="527">
        <f t="shared" si="63"/>
        <v>0</v>
      </c>
      <c r="AQ43" s="527">
        <f t="shared" si="63"/>
        <v>0</v>
      </c>
      <c r="AR43" s="527">
        <f t="shared" si="63"/>
        <v>0</v>
      </c>
      <c r="AS43" s="527">
        <f t="shared" si="63"/>
        <v>-0.03</v>
      </c>
      <c r="AT43" s="40">
        <f t="shared" si="63"/>
        <v>-0.03</v>
      </c>
      <c r="AU43" s="533">
        <f t="shared" si="63"/>
        <v>25642374</v>
      </c>
      <c r="AV43" s="526">
        <f t="shared" si="63"/>
        <v>18628524</v>
      </c>
      <c r="AW43" s="526">
        <f t="shared" si="63"/>
        <v>0</v>
      </c>
      <c r="AX43" s="526">
        <f t="shared" si="63"/>
        <v>6296442</v>
      </c>
      <c r="AY43" s="526">
        <f t="shared" si="63"/>
        <v>372570</v>
      </c>
      <c r="AZ43" s="526">
        <f t="shared" si="63"/>
        <v>344838</v>
      </c>
      <c r="BA43" s="527">
        <f t="shared" si="63"/>
        <v>44.250800000000005</v>
      </c>
      <c r="BB43" s="527">
        <f t="shared" si="63"/>
        <v>26.67</v>
      </c>
      <c r="BC43" s="40">
        <f t="shared" si="63"/>
        <v>17.580800000000004</v>
      </c>
    </row>
    <row r="44" spans="1:55" s="234" customFormat="1" x14ac:dyDescent="0.2">
      <c r="A44" s="221">
        <v>9</v>
      </c>
      <c r="B44" s="222">
        <v>4480</v>
      </c>
      <c r="C44" s="222">
        <v>600075249</v>
      </c>
      <c r="D44" s="222">
        <v>49864548</v>
      </c>
      <c r="E44" s="220" t="s">
        <v>165</v>
      </c>
      <c r="F44" s="222">
        <v>3141</v>
      </c>
      <c r="G44" s="172" t="s">
        <v>315</v>
      </c>
      <c r="H44" s="223" t="s">
        <v>278</v>
      </c>
      <c r="I44" s="477">
        <v>4636784</v>
      </c>
      <c r="J44" s="472">
        <v>3385599</v>
      </c>
      <c r="K44" s="472">
        <v>0</v>
      </c>
      <c r="L44" s="472">
        <v>1144333</v>
      </c>
      <c r="M44" s="472">
        <v>67712</v>
      </c>
      <c r="N44" s="472">
        <v>39140</v>
      </c>
      <c r="O44" s="473">
        <v>10.66</v>
      </c>
      <c r="P44" s="474">
        <v>0</v>
      </c>
      <c r="Q44" s="483">
        <v>10.66</v>
      </c>
      <c r="R44" s="485">
        <f t="shared" ref="R44" si="64">Y44*-1</f>
        <v>0</v>
      </c>
      <c r="S44" s="475">
        <v>0</v>
      </c>
      <c r="T44" s="475">
        <v>-32639</v>
      </c>
      <c r="U44" s="475">
        <v>0</v>
      </c>
      <c r="V44" s="475">
        <v>0</v>
      </c>
      <c r="W44" s="475">
        <v>0</v>
      </c>
      <c r="X44" s="475">
        <f t="shared" si="7"/>
        <v>-32639</v>
      </c>
      <c r="Y44" s="475">
        <v>0</v>
      </c>
      <c r="Z44" s="475">
        <v>0</v>
      </c>
      <c r="AA44" s="475">
        <v>0</v>
      </c>
      <c r="AB44" s="475">
        <f t="shared" ref="AB44" si="65">SUM(Y44:AA44)</f>
        <v>0</v>
      </c>
      <c r="AC44" s="475">
        <f>X44+AB44</f>
        <v>-32639</v>
      </c>
      <c r="AD44" s="70">
        <f>ROUND((X44+Y44+Z44)*33.8%,0)</f>
        <v>-11032</v>
      </c>
      <c r="AE44" s="70">
        <f>ROUND(X44*2%,0)</f>
        <v>-653</v>
      </c>
      <c r="AF44" s="475">
        <v>0</v>
      </c>
      <c r="AG44" s="475">
        <v>0</v>
      </c>
      <c r="AH44" s="475">
        <f t="shared" ref="AH44" si="66">SUM(AF44:AG44)</f>
        <v>0</v>
      </c>
      <c r="AI44" s="475">
        <f t="shared" ref="AI44" si="67">AC44+AD44+AE44+AH44</f>
        <v>-44324</v>
      </c>
      <c r="AJ44" s="476">
        <v>0</v>
      </c>
      <c r="AK44" s="476">
        <v>0</v>
      </c>
      <c r="AL44" s="476">
        <v>0</v>
      </c>
      <c r="AM44" s="476">
        <v>0</v>
      </c>
      <c r="AN44" s="476">
        <v>-0.1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-0.1</v>
      </c>
      <c r="AT44" s="478">
        <f t="shared" ref="AT44" si="68">SUM(AR44:AS44)</f>
        <v>-0.1</v>
      </c>
      <c r="AU44" s="484">
        <f>I44+AI44</f>
        <v>4592460</v>
      </c>
      <c r="AV44" s="475">
        <f>J44+X44</f>
        <v>3352960</v>
      </c>
      <c r="AW44" s="475">
        <f>K44+AB44</f>
        <v>0</v>
      </c>
      <c r="AX44" s="475">
        <f>L44+AD44</f>
        <v>1133301</v>
      </c>
      <c r="AY44" s="475">
        <f>M44+AE44</f>
        <v>67059</v>
      </c>
      <c r="AZ44" s="475">
        <f>N44+AH44</f>
        <v>39140</v>
      </c>
      <c r="BA44" s="476">
        <f>O44+AT44</f>
        <v>10.56</v>
      </c>
      <c r="BB44" s="476">
        <f>P44+AR44</f>
        <v>0</v>
      </c>
      <c r="BC44" s="478">
        <f>Q44+AS44</f>
        <v>10.56</v>
      </c>
    </row>
    <row r="45" spans="1:55" s="234" customFormat="1" x14ac:dyDescent="0.2">
      <c r="A45" s="162">
        <v>9</v>
      </c>
      <c r="B45" s="18">
        <v>4480</v>
      </c>
      <c r="C45" s="18">
        <v>600075249</v>
      </c>
      <c r="D45" s="18">
        <v>49864548</v>
      </c>
      <c r="E45" s="171" t="s">
        <v>166</v>
      </c>
      <c r="F45" s="18"/>
      <c r="G45" s="161"/>
      <c r="H45" s="195"/>
      <c r="I45" s="529">
        <v>4636784</v>
      </c>
      <c r="J45" s="526">
        <v>3385599</v>
      </c>
      <c r="K45" s="526">
        <v>0</v>
      </c>
      <c r="L45" s="526">
        <v>1144333</v>
      </c>
      <c r="M45" s="526">
        <v>67712</v>
      </c>
      <c r="N45" s="526">
        <v>39140</v>
      </c>
      <c r="O45" s="527">
        <v>10.66</v>
      </c>
      <c r="P45" s="527">
        <v>0</v>
      </c>
      <c r="Q45" s="531">
        <v>10.66</v>
      </c>
      <c r="R45" s="529">
        <f t="shared" ref="R45:BC45" si="69">SUM(R44)</f>
        <v>0</v>
      </c>
      <c r="S45" s="526">
        <f t="shared" si="69"/>
        <v>0</v>
      </c>
      <c r="T45" s="526">
        <f t="shared" si="69"/>
        <v>-32639</v>
      </c>
      <c r="U45" s="526">
        <f t="shared" si="69"/>
        <v>0</v>
      </c>
      <c r="V45" s="526">
        <f t="shared" si="69"/>
        <v>0</v>
      </c>
      <c r="W45" s="526">
        <f t="shared" si="69"/>
        <v>0</v>
      </c>
      <c r="X45" s="526">
        <f t="shared" si="69"/>
        <v>-32639</v>
      </c>
      <c r="Y45" s="526">
        <f t="shared" si="69"/>
        <v>0</v>
      </c>
      <c r="Z45" s="526">
        <f t="shared" si="69"/>
        <v>0</v>
      </c>
      <c r="AA45" s="526">
        <f t="shared" si="69"/>
        <v>0</v>
      </c>
      <c r="AB45" s="526">
        <f t="shared" si="69"/>
        <v>0</v>
      </c>
      <c r="AC45" s="526">
        <f t="shared" si="69"/>
        <v>-32639</v>
      </c>
      <c r="AD45" s="526">
        <f t="shared" si="69"/>
        <v>-11032</v>
      </c>
      <c r="AE45" s="526">
        <f t="shared" si="69"/>
        <v>-653</v>
      </c>
      <c r="AF45" s="526">
        <f t="shared" si="69"/>
        <v>0</v>
      </c>
      <c r="AG45" s="526">
        <f t="shared" si="69"/>
        <v>0</v>
      </c>
      <c r="AH45" s="526">
        <f t="shared" si="69"/>
        <v>0</v>
      </c>
      <c r="AI45" s="526">
        <f t="shared" si="69"/>
        <v>-44324</v>
      </c>
      <c r="AJ45" s="527">
        <f t="shared" si="69"/>
        <v>0</v>
      </c>
      <c r="AK45" s="527">
        <f t="shared" si="69"/>
        <v>0</v>
      </c>
      <c r="AL45" s="527">
        <f t="shared" si="69"/>
        <v>0</v>
      </c>
      <c r="AM45" s="527">
        <f t="shared" si="69"/>
        <v>0</v>
      </c>
      <c r="AN45" s="527">
        <f t="shared" si="69"/>
        <v>-0.1</v>
      </c>
      <c r="AO45" s="527">
        <f t="shared" si="69"/>
        <v>0</v>
      </c>
      <c r="AP45" s="527">
        <f t="shared" si="69"/>
        <v>0</v>
      </c>
      <c r="AQ45" s="527">
        <f t="shared" si="69"/>
        <v>0</v>
      </c>
      <c r="AR45" s="527">
        <f t="shared" si="69"/>
        <v>0</v>
      </c>
      <c r="AS45" s="527">
        <f t="shared" si="69"/>
        <v>-0.1</v>
      </c>
      <c r="AT45" s="40">
        <f t="shared" si="69"/>
        <v>-0.1</v>
      </c>
      <c r="AU45" s="533">
        <f t="shared" si="69"/>
        <v>4592460</v>
      </c>
      <c r="AV45" s="526">
        <f t="shared" si="69"/>
        <v>3352960</v>
      </c>
      <c r="AW45" s="526">
        <f t="shared" si="69"/>
        <v>0</v>
      </c>
      <c r="AX45" s="526">
        <f t="shared" si="69"/>
        <v>1133301</v>
      </c>
      <c r="AY45" s="526">
        <f t="shared" si="69"/>
        <v>67059</v>
      </c>
      <c r="AZ45" s="526">
        <f t="shared" si="69"/>
        <v>39140</v>
      </c>
      <c r="BA45" s="527">
        <f t="shared" si="69"/>
        <v>10.56</v>
      </c>
      <c r="BB45" s="527">
        <f t="shared" si="69"/>
        <v>0</v>
      </c>
      <c r="BC45" s="40">
        <f t="shared" si="69"/>
        <v>10.56</v>
      </c>
    </row>
    <row r="46" spans="1:55" s="234" customFormat="1" x14ac:dyDescent="0.2">
      <c r="A46" s="221">
        <v>10</v>
      </c>
      <c r="B46" s="222">
        <v>4439</v>
      </c>
      <c r="C46" s="222">
        <v>600074951</v>
      </c>
      <c r="D46" s="222">
        <v>48283088</v>
      </c>
      <c r="E46" s="220" t="s">
        <v>167</v>
      </c>
      <c r="F46" s="222">
        <v>3111</v>
      </c>
      <c r="G46" s="172" t="s">
        <v>311</v>
      </c>
      <c r="H46" s="223" t="s">
        <v>277</v>
      </c>
      <c r="I46" s="477">
        <v>4611818</v>
      </c>
      <c r="J46" s="472">
        <v>3373504</v>
      </c>
      <c r="K46" s="472">
        <v>0</v>
      </c>
      <c r="L46" s="472">
        <v>1140244</v>
      </c>
      <c r="M46" s="472">
        <v>67470</v>
      </c>
      <c r="N46" s="472">
        <v>30600</v>
      </c>
      <c r="O46" s="473">
        <v>7.5327999999999999</v>
      </c>
      <c r="P46" s="474">
        <v>6</v>
      </c>
      <c r="Q46" s="483">
        <v>1.5327999999999999</v>
      </c>
      <c r="R46" s="485">
        <f t="shared" ref="R46:R51" si="70">Y46*-1</f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7"/>
        <v>0</v>
      </c>
      <c r="Y46" s="475">
        <v>0</v>
      </c>
      <c r="Z46" s="475">
        <v>0</v>
      </c>
      <c r="AA46" s="475">
        <v>0</v>
      </c>
      <c r="AB46" s="475">
        <f t="shared" ref="AB46:AB51" si="71">SUM(Y46:AA46)</f>
        <v>0</v>
      </c>
      <c r="AC46" s="475">
        <f t="shared" ref="AC46:AC51" si="72">X46+AB46</f>
        <v>0</v>
      </c>
      <c r="AD46" s="70">
        <f t="shared" ref="AD46:AD51" si="73">ROUND((X46+Y46+Z46)*33.8%,0)</f>
        <v>0</v>
      </c>
      <c r="AE46" s="70">
        <f t="shared" ref="AE46:AE51" si="74">ROUND(X46*2%,0)</f>
        <v>0</v>
      </c>
      <c r="AF46" s="475">
        <v>0</v>
      </c>
      <c r="AG46" s="475">
        <v>0</v>
      </c>
      <c r="AH46" s="475">
        <f t="shared" ref="AH46:AH51" si="75">SUM(AF46:AG46)</f>
        <v>0</v>
      </c>
      <c r="AI46" s="475">
        <f t="shared" ref="AI46:AI51" si="76">AC46+AD46+AE46+AH46</f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 t="shared" ref="AR46:AR51" si="77">AJ46+AL46+AM46+AO46+AP46</f>
        <v>0</v>
      </c>
      <c r="AS46" s="476">
        <f t="shared" ref="AS46:AS51" si="78">AK46+AN46+AQ46</f>
        <v>0</v>
      </c>
      <c r="AT46" s="478">
        <f t="shared" ref="AT46:AT51" si="79">SUM(AR46:AS46)</f>
        <v>0</v>
      </c>
      <c r="AU46" s="484">
        <f t="shared" ref="AU46:AU51" si="80">I46+AI46</f>
        <v>4611818</v>
      </c>
      <c r="AV46" s="475">
        <f t="shared" ref="AV46:AV51" si="81">J46+X46</f>
        <v>3373504</v>
      </c>
      <c r="AW46" s="475">
        <f t="shared" ref="AW46:AW51" si="82">K46+AB46</f>
        <v>0</v>
      </c>
      <c r="AX46" s="475">
        <f t="shared" ref="AX46:AY51" si="83">L46+AD46</f>
        <v>1140244</v>
      </c>
      <c r="AY46" s="475">
        <f t="shared" si="83"/>
        <v>67470</v>
      </c>
      <c r="AZ46" s="475">
        <f t="shared" ref="AZ46:AZ51" si="84">N46+AH46</f>
        <v>30600</v>
      </c>
      <c r="BA46" s="476">
        <f t="shared" ref="BA46:BA51" si="85">O46+AT46</f>
        <v>7.5327999999999999</v>
      </c>
      <c r="BB46" s="476">
        <f t="shared" ref="BB46:BC51" si="86">P46+AR46</f>
        <v>6</v>
      </c>
      <c r="BC46" s="478">
        <f t="shared" si="86"/>
        <v>1.5327999999999999</v>
      </c>
    </row>
    <row r="47" spans="1:55" s="234" customFormat="1" x14ac:dyDescent="0.2">
      <c r="A47" s="221">
        <v>10</v>
      </c>
      <c r="B47" s="222">
        <v>4439</v>
      </c>
      <c r="C47" s="222">
        <v>600074951</v>
      </c>
      <c r="D47" s="222">
        <v>48283088</v>
      </c>
      <c r="E47" s="220" t="s">
        <v>167</v>
      </c>
      <c r="F47" s="222">
        <v>3113</v>
      </c>
      <c r="G47" s="172" t="s">
        <v>314</v>
      </c>
      <c r="H47" s="223" t="s">
        <v>277</v>
      </c>
      <c r="I47" s="477">
        <v>22882031</v>
      </c>
      <c r="J47" s="472">
        <v>16444117</v>
      </c>
      <c r="K47" s="472">
        <v>15000</v>
      </c>
      <c r="L47" s="472">
        <v>5563182</v>
      </c>
      <c r="M47" s="472">
        <v>328882</v>
      </c>
      <c r="N47" s="472">
        <v>530850</v>
      </c>
      <c r="O47" s="473">
        <v>31.444800000000001</v>
      </c>
      <c r="P47" s="474">
        <v>23.742599999999999</v>
      </c>
      <c r="Q47" s="483">
        <v>7.7021999999999995</v>
      </c>
      <c r="R47" s="485">
        <f t="shared" si="70"/>
        <v>0</v>
      </c>
      <c r="S47" s="475">
        <v>0</v>
      </c>
      <c r="T47" s="475">
        <v>222870</v>
      </c>
      <c r="U47" s="475">
        <v>0</v>
      </c>
      <c r="V47" s="475">
        <v>0</v>
      </c>
      <c r="W47" s="475">
        <v>0</v>
      </c>
      <c r="X47" s="475">
        <f t="shared" si="7"/>
        <v>222870</v>
      </c>
      <c r="Y47" s="475">
        <v>0</v>
      </c>
      <c r="Z47" s="475">
        <v>0</v>
      </c>
      <c r="AA47" s="475">
        <v>0</v>
      </c>
      <c r="AB47" s="475">
        <f t="shared" si="71"/>
        <v>0</v>
      </c>
      <c r="AC47" s="475">
        <f t="shared" si="72"/>
        <v>222870</v>
      </c>
      <c r="AD47" s="70">
        <f t="shared" si="73"/>
        <v>75330</v>
      </c>
      <c r="AE47" s="70">
        <f t="shared" si="74"/>
        <v>4457</v>
      </c>
      <c r="AF47" s="475">
        <v>0</v>
      </c>
      <c r="AG47" s="475">
        <v>0</v>
      </c>
      <c r="AH47" s="475">
        <f t="shared" si="75"/>
        <v>0</v>
      </c>
      <c r="AI47" s="475">
        <f t="shared" si="76"/>
        <v>302657</v>
      </c>
      <c r="AJ47" s="476">
        <v>0</v>
      </c>
      <c r="AK47" s="476">
        <v>0</v>
      </c>
      <c r="AL47" s="476">
        <v>0</v>
      </c>
      <c r="AM47" s="476">
        <v>0.38</v>
      </c>
      <c r="AN47" s="476">
        <v>0</v>
      </c>
      <c r="AO47" s="476">
        <v>0</v>
      </c>
      <c r="AP47" s="476">
        <v>0</v>
      </c>
      <c r="AQ47" s="476">
        <v>0</v>
      </c>
      <c r="AR47" s="476">
        <f t="shared" si="77"/>
        <v>0.38</v>
      </c>
      <c r="AS47" s="476">
        <f t="shared" si="78"/>
        <v>0</v>
      </c>
      <c r="AT47" s="478">
        <f t="shared" si="79"/>
        <v>0.38</v>
      </c>
      <c r="AU47" s="484">
        <f t="shared" si="80"/>
        <v>23184688</v>
      </c>
      <c r="AV47" s="475">
        <f t="shared" si="81"/>
        <v>16666987</v>
      </c>
      <c r="AW47" s="475">
        <f t="shared" si="82"/>
        <v>15000</v>
      </c>
      <c r="AX47" s="475">
        <f t="shared" si="83"/>
        <v>5638512</v>
      </c>
      <c r="AY47" s="475">
        <f t="shared" si="83"/>
        <v>333339</v>
      </c>
      <c r="AZ47" s="475">
        <f t="shared" si="84"/>
        <v>530850</v>
      </c>
      <c r="BA47" s="476">
        <f t="shared" si="85"/>
        <v>31.8248</v>
      </c>
      <c r="BB47" s="476">
        <f t="shared" si="86"/>
        <v>24.122599999999998</v>
      </c>
      <c r="BC47" s="478">
        <f t="shared" si="86"/>
        <v>7.7021999999999995</v>
      </c>
    </row>
    <row r="48" spans="1:55" s="234" customFormat="1" x14ac:dyDescent="0.2">
      <c r="A48" s="221">
        <v>10</v>
      </c>
      <c r="B48" s="222">
        <v>4439</v>
      </c>
      <c r="C48" s="222">
        <v>600074951</v>
      </c>
      <c r="D48" s="222">
        <v>48283088</v>
      </c>
      <c r="E48" s="220" t="s">
        <v>167</v>
      </c>
      <c r="F48" s="222">
        <v>3113</v>
      </c>
      <c r="G48" s="172" t="s">
        <v>312</v>
      </c>
      <c r="H48" s="223" t="s">
        <v>278</v>
      </c>
      <c r="I48" s="477">
        <v>3137599</v>
      </c>
      <c r="J48" s="472">
        <v>2301620</v>
      </c>
      <c r="K48" s="472">
        <v>0</v>
      </c>
      <c r="L48" s="472">
        <v>777947</v>
      </c>
      <c r="M48" s="472">
        <v>46032</v>
      </c>
      <c r="N48" s="472">
        <v>12000</v>
      </c>
      <c r="O48" s="473">
        <v>6.6599999999999993</v>
      </c>
      <c r="P48" s="474">
        <v>6.6599999999999993</v>
      </c>
      <c r="Q48" s="483">
        <v>0</v>
      </c>
      <c r="R48" s="485">
        <f t="shared" si="70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7"/>
        <v>0</v>
      </c>
      <c r="Y48" s="475">
        <v>0</v>
      </c>
      <c r="Z48" s="475">
        <v>0</v>
      </c>
      <c r="AA48" s="475">
        <v>0</v>
      </c>
      <c r="AB48" s="475">
        <f t="shared" si="71"/>
        <v>0</v>
      </c>
      <c r="AC48" s="475">
        <f t="shared" si="72"/>
        <v>0</v>
      </c>
      <c r="AD48" s="70">
        <f t="shared" si="73"/>
        <v>0</v>
      </c>
      <c r="AE48" s="70">
        <f t="shared" si="74"/>
        <v>0</v>
      </c>
      <c r="AF48" s="475">
        <v>0</v>
      </c>
      <c r="AG48" s="475">
        <v>0</v>
      </c>
      <c r="AH48" s="475">
        <f t="shared" si="75"/>
        <v>0</v>
      </c>
      <c r="AI48" s="475">
        <f t="shared" si="76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si="77"/>
        <v>0</v>
      </c>
      <c r="AS48" s="476">
        <f t="shared" si="78"/>
        <v>0</v>
      </c>
      <c r="AT48" s="478">
        <f t="shared" si="79"/>
        <v>0</v>
      </c>
      <c r="AU48" s="484">
        <f t="shared" si="80"/>
        <v>3137599</v>
      </c>
      <c r="AV48" s="475">
        <f t="shared" si="81"/>
        <v>2301620</v>
      </c>
      <c r="AW48" s="475">
        <f t="shared" si="82"/>
        <v>0</v>
      </c>
      <c r="AX48" s="475">
        <f t="shared" si="83"/>
        <v>777947</v>
      </c>
      <c r="AY48" s="475">
        <f t="shared" si="83"/>
        <v>46032</v>
      </c>
      <c r="AZ48" s="475">
        <f t="shared" si="84"/>
        <v>12000</v>
      </c>
      <c r="BA48" s="476">
        <f t="shared" si="85"/>
        <v>6.6599999999999993</v>
      </c>
      <c r="BB48" s="476">
        <f t="shared" si="86"/>
        <v>6.6599999999999993</v>
      </c>
      <c r="BC48" s="478">
        <f t="shared" si="86"/>
        <v>0</v>
      </c>
    </row>
    <row r="49" spans="1:55" s="234" customFormat="1" x14ac:dyDescent="0.2">
      <c r="A49" s="221">
        <v>10</v>
      </c>
      <c r="B49" s="222">
        <v>4439</v>
      </c>
      <c r="C49" s="222">
        <v>600074951</v>
      </c>
      <c r="D49" s="222">
        <v>48283088</v>
      </c>
      <c r="E49" s="220" t="s">
        <v>167</v>
      </c>
      <c r="F49" s="222">
        <v>3141</v>
      </c>
      <c r="G49" s="172" t="s">
        <v>315</v>
      </c>
      <c r="H49" s="223" t="s">
        <v>278</v>
      </c>
      <c r="I49" s="477">
        <v>2928421</v>
      </c>
      <c r="J49" s="472">
        <v>2141811</v>
      </c>
      <c r="K49" s="472">
        <v>0</v>
      </c>
      <c r="L49" s="472">
        <v>723932</v>
      </c>
      <c r="M49" s="472">
        <v>42836</v>
      </c>
      <c r="N49" s="472">
        <v>19842</v>
      </c>
      <c r="O49" s="473">
        <v>6.75</v>
      </c>
      <c r="P49" s="474">
        <v>0</v>
      </c>
      <c r="Q49" s="483">
        <v>6.75</v>
      </c>
      <c r="R49" s="485">
        <f t="shared" si="70"/>
        <v>0</v>
      </c>
      <c r="S49" s="475">
        <v>0</v>
      </c>
      <c r="T49" s="475">
        <v>-66197</v>
      </c>
      <c r="U49" s="475">
        <v>0</v>
      </c>
      <c r="V49" s="475">
        <v>0</v>
      </c>
      <c r="W49" s="475">
        <v>0</v>
      </c>
      <c r="X49" s="475">
        <f t="shared" si="7"/>
        <v>-66197</v>
      </c>
      <c r="Y49" s="475">
        <v>0</v>
      </c>
      <c r="Z49" s="475">
        <v>0</v>
      </c>
      <c r="AA49" s="475">
        <v>0</v>
      </c>
      <c r="AB49" s="475">
        <f t="shared" si="71"/>
        <v>0</v>
      </c>
      <c r="AC49" s="475">
        <f t="shared" si="72"/>
        <v>-66197</v>
      </c>
      <c r="AD49" s="70">
        <f t="shared" si="73"/>
        <v>-22375</v>
      </c>
      <c r="AE49" s="70">
        <f t="shared" si="74"/>
        <v>-1324</v>
      </c>
      <c r="AF49" s="475">
        <v>0</v>
      </c>
      <c r="AG49" s="475">
        <v>0</v>
      </c>
      <c r="AH49" s="475">
        <f t="shared" si="75"/>
        <v>0</v>
      </c>
      <c r="AI49" s="475">
        <f t="shared" si="76"/>
        <v>-89896</v>
      </c>
      <c r="AJ49" s="476">
        <v>0</v>
      </c>
      <c r="AK49" s="476">
        <v>0</v>
      </c>
      <c r="AL49" s="476">
        <v>0</v>
      </c>
      <c r="AM49" s="476">
        <v>0</v>
      </c>
      <c r="AN49" s="476">
        <v>-0.21</v>
      </c>
      <c r="AO49" s="476">
        <v>0</v>
      </c>
      <c r="AP49" s="476">
        <v>0</v>
      </c>
      <c r="AQ49" s="476">
        <v>0</v>
      </c>
      <c r="AR49" s="476">
        <f t="shared" si="77"/>
        <v>0</v>
      </c>
      <c r="AS49" s="476">
        <f t="shared" si="78"/>
        <v>-0.21</v>
      </c>
      <c r="AT49" s="478">
        <f t="shared" si="79"/>
        <v>-0.21</v>
      </c>
      <c r="AU49" s="484">
        <f t="shared" si="80"/>
        <v>2838525</v>
      </c>
      <c r="AV49" s="475">
        <f t="shared" si="81"/>
        <v>2075614</v>
      </c>
      <c r="AW49" s="475">
        <f t="shared" si="82"/>
        <v>0</v>
      </c>
      <c r="AX49" s="475">
        <f t="shared" si="83"/>
        <v>701557</v>
      </c>
      <c r="AY49" s="475">
        <f t="shared" si="83"/>
        <v>41512</v>
      </c>
      <c r="AZ49" s="475">
        <f t="shared" si="84"/>
        <v>19842</v>
      </c>
      <c r="BA49" s="476">
        <f t="shared" si="85"/>
        <v>6.54</v>
      </c>
      <c r="BB49" s="476">
        <f t="shared" si="86"/>
        <v>0</v>
      </c>
      <c r="BC49" s="478">
        <f t="shared" si="86"/>
        <v>6.54</v>
      </c>
    </row>
    <row r="50" spans="1:55" s="234" customFormat="1" x14ac:dyDescent="0.2">
      <c r="A50" s="221">
        <v>10</v>
      </c>
      <c r="B50" s="222">
        <v>4439</v>
      </c>
      <c r="C50" s="222">
        <v>600074951</v>
      </c>
      <c r="D50" s="222">
        <v>48283088</v>
      </c>
      <c r="E50" s="220" t="s">
        <v>167</v>
      </c>
      <c r="F50" s="222">
        <v>3143</v>
      </c>
      <c r="G50" s="172" t="s">
        <v>626</v>
      </c>
      <c r="H50" s="239" t="s">
        <v>277</v>
      </c>
      <c r="I50" s="477">
        <v>2030756</v>
      </c>
      <c r="J50" s="472">
        <v>1495402</v>
      </c>
      <c r="K50" s="472">
        <v>0</v>
      </c>
      <c r="L50" s="472">
        <v>505446</v>
      </c>
      <c r="M50" s="472">
        <v>29908</v>
      </c>
      <c r="N50" s="472">
        <v>0</v>
      </c>
      <c r="O50" s="473">
        <v>3.2498999999999998</v>
      </c>
      <c r="P50" s="474">
        <v>3.2498999999999998</v>
      </c>
      <c r="Q50" s="483">
        <v>0</v>
      </c>
      <c r="R50" s="485">
        <f t="shared" si="70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7"/>
        <v>0</v>
      </c>
      <c r="Y50" s="475">
        <v>0</v>
      </c>
      <c r="Z50" s="475">
        <v>0</v>
      </c>
      <c r="AA50" s="475">
        <v>0</v>
      </c>
      <c r="AB50" s="475">
        <f t="shared" si="71"/>
        <v>0</v>
      </c>
      <c r="AC50" s="475">
        <f t="shared" si="72"/>
        <v>0</v>
      </c>
      <c r="AD50" s="70">
        <f t="shared" si="73"/>
        <v>0</v>
      </c>
      <c r="AE50" s="70">
        <f t="shared" si="74"/>
        <v>0</v>
      </c>
      <c r="AF50" s="475">
        <v>0</v>
      </c>
      <c r="AG50" s="475">
        <v>0</v>
      </c>
      <c r="AH50" s="475">
        <f t="shared" si="75"/>
        <v>0</v>
      </c>
      <c r="AI50" s="475">
        <f t="shared" si="76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si="77"/>
        <v>0</v>
      </c>
      <c r="AS50" s="476">
        <f t="shared" si="78"/>
        <v>0</v>
      </c>
      <c r="AT50" s="478">
        <f t="shared" si="79"/>
        <v>0</v>
      </c>
      <c r="AU50" s="484">
        <f t="shared" si="80"/>
        <v>2030756</v>
      </c>
      <c r="AV50" s="475">
        <f t="shared" si="81"/>
        <v>1495402</v>
      </c>
      <c r="AW50" s="475">
        <f t="shared" si="82"/>
        <v>0</v>
      </c>
      <c r="AX50" s="475">
        <f t="shared" si="83"/>
        <v>505446</v>
      </c>
      <c r="AY50" s="475">
        <f t="shared" si="83"/>
        <v>29908</v>
      </c>
      <c r="AZ50" s="475">
        <f t="shared" si="84"/>
        <v>0</v>
      </c>
      <c r="BA50" s="476">
        <f t="shared" si="85"/>
        <v>3.2498999999999998</v>
      </c>
      <c r="BB50" s="476">
        <f t="shared" si="86"/>
        <v>3.2498999999999998</v>
      </c>
      <c r="BC50" s="478">
        <f t="shared" si="86"/>
        <v>0</v>
      </c>
    </row>
    <row r="51" spans="1:55" s="234" customFormat="1" x14ac:dyDescent="0.2">
      <c r="A51" s="221">
        <v>10</v>
      </c>
      <c r="B51" s="222">
        <v>4439</v>
      </c>
      <c r="C51" s="222">
        <v>600074951</v>
      </c>
      <c r="D51" s="222">
        <v>48283088</v>
      </c>
      <c r="E51" s="220" t="s">
        <v>167</v>
      </c>
      <c r="F51" s="222">
        <v>3143</v>
      </c>
      <c r="G51" s="172" t="s">
        <v>627</v>
      </c>
      <c r="H51" s="239" t="s">
        <v>278</v>
      </c>
      <c r="I51" s="477">
        <v>70308</v>
      </c>
      <c r="J51" s="472">
        <v>49719</v>
      </c>
      <c r="K51" s="472">
        <v>0</v>
      </c>
      <c r="L51" s="472">
        <v>16805</v>
      </c>
      <c r="M51" s="472">
        <v>994</v>
      </c>
      <c r="N51" s="472">
        <v>2790</v>
      </c>
      <c r="O51" s="473">
        <v>0.19</v>
      </c>
      <c r="P51" s="474">
        <v>0</v>
      </c>
      <c r="Q51" s="483">
        <v>0.19</v>
      </c>
      <c r="R51" s="485">
        <f t="shared" si="70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7"/>
        <v>0</v>
      </c>
      <c r="Y51" s="475">
        <v>0</v>
      </c>
      <c r="Z51" s="475">
        <v>0</v>
      </c>
      <c r="AA51" s="475">
        <v>0</v>
      </c>
      <c r="AB51" s="475">
        <f t="shared" si="71"/>
        <v>0</v>
      </c>
      <c r="AC51" s="475">
        <f t="shared" si="72"/>
        <v>0</v>
      </c>
      <c r="AD51" s="70">
        <f t="shared" si="73"/>
        <v>0</v>
      </c>
      <c r="AE51" s="70">
        <f t="shared" si="74"/>
        <v>0</v>
      </c>
      <c r="AF51" s="475">
        <v>0</v>
      </c>
      <c r="AG51" s="475">
        <v>0</v>
      </c>
      <c r="AH51" s="475">
        <f t="shared" si="75"/>
        <v>0</v>
      </c>
      <c r="AI51" s="475">
        <f t="shared" si="76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 t="shared" si="77"/>
        <v>0</v>
      </c>
      <c r="AS51" s="476">
        <f t="shared" si="78"/>
        <v>0</v>
      </c>
      <c r="AT51" s="478">
        <f t="shared" si="79"/>
        <v>0</v>
      </c>
      <c r="AU51" s="484">
        <f t="shared" si="80"/>
        <v>70308</v>
      </c>
      <c r="AV51" s="475">
        <f t="shared" si="81"/>
        <v>49719</v>
      </c>
      <c r="AW51" s="475">
        <f t="shared" si="82"/>
        <v>0</v>
      </c>
      <c r="AX51" s="475">
        <f t="shared" si="83"/>
        <v>16805</v>
      </c>
      <c r="AY51" s="475">
        <f t="shared" si="83"/>
        <v>994</v>
      </c>
      <c r="AZ51" s="475">
        <f t="shared" si="84"/>
        <v>2790</v>
      </c>
      <c r="BA51" s="476">
        <f t="shared" si="85"/>
        <v>0.19</v>
      </c>
      <c r="BB51" s="476">
        <f t="shared" si="86"/>
        <v>0</v>
      </c>
      <c r="BC51" s="478">
        <f t="shared" si="86"/>
        <v>0.19</v>
      </c>
    </row>
    <row r="52" spans="1:55" s="234" customFormat="1" x14ac:dyDescent="0.2">
      <c r="A52" s="162">
        <v>10</v>
      </c>
      <c r="B52" s="18">
        <v>4439</v>
      </c>
      <c r="C52" s="18">
        <v>600074951</v>
      </c>
      <c r="D52" s="18">
        <v>48283088</v>
      </c>
      <c r="E52" s="171" t="s">
        <v>168</v>
      </c>
      <c r="F52" s="18"/>
      <c r="G52" s="161"/>
      <c r="H52" s="195"/>
      <c r="I52" s="529">
        <v>35660933</v>
      </c>
      <c r="J52" s="526">
        <v>25806173</v>
      </c>
      <c r="K52" s="526">
        <v>15000</v>
      </c>
      <c r="L52" s="526">
        <v>8727556</v>
      </c>
      <c r="M52" s="526">
        <v>516122</v>
      </c>
      <c r="N52" s="526">
        <v>596082</v>
      </c>
      <c r="O52" s="527">
        <v>55.827499999999993</v>
      </c>
      <c r="P52" s="527">
        <v>39.652499999999996</v>
      </c>
      <c r="Q52" s="531">
        <v>16.175000000000001</v>
      </c>
      <c r="R52" s="529">
        <f t="shared" ref="R52:BC52" si="87">SUM(R46:R51)</f>
        <v>0</v>
      </c>
      <c r="S52" s="526">
        <f t="shared" si="87"/>
        <v>0</v>
      </c>
      <c r="T52" s="526">
        <f t="shared" si="87"/>
        <v>156673</v>
      </c>
      <c r="U52" s="526">
        <f t="shared" si="87"/>
        <v>0</v>
      </c>
      <c r="V52" s="526">
        <f t="shared" si="87"/>
        <v>0</v>
      </c>
      <c r="W52" s="526">
        <f t="shared" si="87"/>
        <v>0</v>
      </c>
      <c r="X52" s="526">
        <f t="shared" si="87"/>
        <v>156673</v>
      </c>
      <c r="Y52" s="526">
        <f t="shared" si="87"/>
        <v>0</v>
      </c>
      <c r="Z52" s="526">
        <f t="shared" si="87"/>
        <v>0</v>
      </c>
      <c r="AA52" s="526">
        <f t="shared" si="87"/>
        <v>0</v>
      </c>
      <c r="AB52" s="526">
        <f t="shared" si="87"/>
        <v>0</v>
      </c>
      <c r="AC52" s="526">
        <f t="shared" si="87"/>
        <v>156673</v>
      </c>
      <c r="AD52" s="526">
        <f t="shared" si="87"/>
        <v>52955</v>
      </c>
      <c r="AE52" s="526">
        <f t="shared" si="87"/>
        <v>3133</v>
      </c>
      <c r="AF52" s="526">
        <f t="shared" si="87"/>
        <v>0</v>
      </c>
      <c r="AG52" s="526">
        <f t="shared" si="87"/>
        <v>0</v>
      </c>
      <c r="AH52" s="526">
        <f t="shared" si="87"/>
        <v>0</v>
      </c>
      <c r="AI52" s="526">
        <f t="shared" si="87"/>
        <v>212761</v>
      </c>
      <c r="AJ52" s="527">
        <f t="shared" si="87"/>
        <v>0</v>
      </c>
      <c r="AK52" s="527">
        <f t="shared" si="87"/>
        <v>0</v>
      </c>
      <c r="AL52" s="527">
        <f t="shared" si="87"/>
        <v>0</v>
      </c>
      <c r="AM52" s="527">
        <f t="shared" si="87"/>
        <v>0.38</v>
      </c>
      <c r="AN52" s="527">
        <f t="shared" si="87"/>
        <v>-0.21</v>
      </c>
      <c r="AO52" s="527">
        <f t="shared" si="87"/>
        <v>0</v>
      </c>
      <c r="AP52" s="527">
        <f t="shared" si="87"/>
        <v>0</v>
      </c>
      <c r="AQ52" s="527">
        <f t="shared" si="87"/>
        <v>0</v>
      </c>
      <c r="AR52" s="527">
        <f t="shared" si="87"/>
        <v>0.38</v>
      </c>
      <c r="AS52" s="527">
        <f t="shared" si="87"/>
        <v>-0.21</v>
      </c>
      <c r="AT52" s="40">
        <f t="shared" si="87"/>
        <v>0.17</v>
      </c>
      <c r="AU52" s="533">
        <f t="shared" si="87"/>
        <v>35873694</v>
      </c>
      <c r="AV52" s="526">
        <f t="shared" si="87"/>
        <v>25962846</v>
      </c>
      <c r="AW52" s="526">
        <f t="shared" si="87"/>
        <v>15000</v>
      </c>
      <c r="AX52" s="526">
        <f t="shared" si="87"/>
        <v>8780511</v>
      </c>
      <c r="AY52" s="526">
        <f t="shared" si="87"/>
        <v>519255</v>
      </c>
      <c r="AZ52" s="526">
        <f t="shared" si="87"/>
        <v>596082</v>
      </c>
      <c r="BA52" s="527">
        <f t="shared" si="87"/>
        <v>55.997499999999988</v>
      </c>
      <c r="BB52" s="527">
        <f t="shared" si="87"/>
        <v>40.032499999999992</v>
      </c>
      <c r="BC52" s="40">
        <f t="shared" si="87"/>
        <v>15.964999999999998</v>
      </c>
    </row>
    <row r="53" spans="1:55" s="234" customFormat="1" x14ac:dyDescent="0.2">
      <c r="A53" s="221">
        <v>11</v>
      </c>
      <c r="B53" s="222">
        <v>4443</v>
      </c>
      <c r="C53" s="222">
        <v>600074994</v>
      </c>
      <c r="D53" s="222">
        <v>46750045</v>
      </c>
      <c r="E53" s="220" t="s">
        <v>169</v>
      </c>
      <c r="F53" s="222">
        <v>3113</v>
      </c>
      <c r="G53" s="172" t="s">
        <v>314</v>
      </c>
      <c r="H53" s="223" t="s">
        <v>277</v>
      </c>
      <c r="I53" s="477">
        <v>54903199</v>
      </c>
      <c r="J53" s="472">
        <v>39322404</v>
      </c>
      <c r="K53" s="472">
        <v>183000</v>
      </c>
      <c r="L53" s="472">
        <v>13352827</v>
      </c>
      <c r="M53" s="472">
        <v>786448</v>
      </c>
      <c r="N53" s="472">
        <v>1258520</v>
      </c>
      <c r="O53" s="473">
        <v>65.615200000000016</v>
      </c>
      <c r="P53" s="474">
        <v>52.108400000000003</v>
      </c>
      <c r="Q53" s="483">
        <v>13.5068</v>
      </c>
      <c r="R53" s="485">
        <f t="shared" ref="R53:R57" si="88">Y53*-1</f>
        <v>0</v>
      </c>
      <c r="S53" s="475">
        <v>0</v>
      </c>
      <c r="T53" s="475">
        <v>326064</v>
      </c>
      <c r="U53" s="475">
        <v>-33264</v>
      </c>
      <c r="V53" s="475">
        <v>0</v>
      </c>
      <c r="W53" s="475">
        <v>0</v>
      </c>
      <c r="X53" s="475">
        <f t="shared" si="7"/>
        <v>292800</v>
      </c>
      <c r="Y53" s="475">
        <v>0</v>
      </c>
      <c r="Z53" s="475">
        <v>0</v>
      </c>
      <c r="AA53" s="475">
        <v>0</v>
      </c>
      <c r="AB53" s="475">
        <f t="shared" ref="AB53:AB57" si="89">SUM(Y53:AA53)</f>
        <v>0</v>
      </c>
      <c r="AC53" s="475">
        <f>X53+AB53</f>
        <v>292800</v>
      </c>
      <c r="AD53" s="70">
        <f>ROUND((X53+Y53+Z53)*33.8%,0)</f>
        <v>98966</v>
      </c>
      <c r="AE53" s="70">
        <f>ROUND(X53*2%,0)</f>
        <v>5856</v>
      </c>
      <c r="AF53" s="475">
        <v>0</v>
      </c>
      <c r="AG53" s="475">
        <v>0</v>
      </c>
      <c r="AH53" s="475">
        <f t="shared" ref="AH53:AH57" si="90">SUM(AF53:AG53)</f>
        <v>0</v>
      </c>
      <c r="AI53" s="475">
        <f t="shared" ref="AI53:AI57" si="91">AC53+AD53+AE53+AH53</f>
        <v>397622</v>
      </c>
      <c r="AJ53" s="476">
        <v>0</v>
      </c>
      <c r="AK53" s="476">
        <v>0</v>
      </c>
      <c r="AL53" s="476">
        <v>0</v>
      </c>
      <c r="AM53" s="476">
        <v>0.48</v>
      </c>
      <c r="AN53" s="476">
        <v>0</v>
      </c>
      <c r="AO53" s="476">
        <v>-0.05</v>
      </c>
      <c r="AP53" s="476">
        <v>0</v>
      </c>
      <c r="AQ53" s="476">
        <v>0</v>
      </c>
      <c r="AR53" s="476">
        <f>AJ53+AL53+AM53+AO53+AP53</f>
        <v>0.43</v>
      </c>
      <c r="AS53" s="476">
        <f>AK53+AN53+AQ53</f>
        <v>0</v>
      </c>
      <c r="AT53" s="478">
        <f t="shared" ref="AT53:AT57" si="92">SUM(AR53:AS53)</f>
        <v>0.43</v>
      </c>
      <c r="AU53" s="484">
        <f>I53+AI53</f>
        <v>55300821</v>
      </c>
      <c r="AV53" s="475">
        <f>J53+X53</f>
        <v>39615204</v>
      </c>
      <c r="AW53" s="475">
        <f>K53+AB53</f>
        <v>183000</v>
      </c>
      <c r="AX53" s="475">
        <f t="shared" ref="AX53:AY57" si="93">L53+AD53</f>
        <v>13451793</v>
      </c>
      <c r="AY53" s="475">
        <f t="shared" si="93"/>
        <v>792304</v>
      </c>
      <c r="AZ53" s="475">
        <f>N53+AH53</f>
        <v>1258520</v>
      </c>
      <c r="BA53" s="476">
        <f>O53+AT53</f>
        <v>66.045200000000023</v>
      </c>
      <c r="BB53" s="476">
        <f t="shared" ref="BB53:BC57" si="94">P53+AR53</f>
        <v>52.538400000000003</v>
      </c>
      <c r="BC53" s="478">
        <f t="shared" si="94"/>
        <v>13.5068</v>
      </c>
    </row>
    <row r="54" spans="1:55" s="234" customFormat="1" x14ac:dyDescent="0.2">
      <c r="A54" s="221">
        <v>11</v>
      </c>
      <c r="B54" s="222">
        <v>4443</v>
      </c>
      <c r="C54" s="222">
        <v>600074994</v>
      </c>
      <c r="D54" s="222">
        <v>46750045</v>
      </c>
      <c r="E54" s="220" t="s">
        <v>169</v>
      </c>
      <c r="F54" s="222">
        <v>3113</v>
      </c>
      <c r="G54" s="172" t="s">
        <v>312</v>
      </c>
      <c r="H54" s="223" t="s">
        <v>278</v>
      </c>
      <c r="I54" s="477">
        <v>7565241</v>
      </c>
      <c r="J54" s="472">
        <v>5558536</v>
      </c>
      <c r="K54" s="472">
        <v>0</v>
      </c>
      <c r="L54" s="472">
        <v>1878785</v>
      </c>
      <c r="M54" s="472">
        <v>111170</v>
      </c>
      <c r="N54" s="472">
        <v>16750</v>
      </c>
      <c r="O54" s="473">
        <v>16.03</v>
      </c>
      <c r="P54" s="474">
        <v>16.03</v>
      </c>
      <c r="Q54" s="483">
        <v>0</v>
      </c>
      <c r="R54" s="485">
        <f t="shared" si="88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7"/>
        <v>0</v>
      </c>
      <c r="Y54" s="475">
        <v>0</v>
      </c>
      <c r="Z54" s="475">
        <v>0</v>
      </c>
      <c r="AA54" s="475">
        <v>0</v>
      </c>
      <c r="AB54" s="475">
        <f t="shared" si="89"/>
        <v>0</v>
      </c>
      <c r="AC54" s="475">
        <f>X54+AB54</f>
        <v>0</v>
      </c>
      <c r="AD54" s="70">
        <f>ROUND((X54+Y54+Z54)*33.8%,0)</f>
        <v>0</v>
      </c>
      <c r="AE54" s="70">
        <f>ROUND(X54*2%,0)</f>
        <v>0</v>
      </c>
      <c r="AF54" s="475">
        <v>19750</v>
      </c>
      <c r="AG54" s="475">
        <v>0</v>
      </c>
      <c r="AH54" s="475">
        <f t="shared" si="90"/>
        <v>19750</v>
      </c>
      <c r="AI54" s="475">
        <f t="shared" si="91"/>
        <v>19750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92"/>
        <v>0</v>
      </c>
      <c r="AU54" s="484">
        <f>I54+AI54</f>
        <v>7584991</v>
      </c>
      <c r="AV54" s="475">
        <f>J54+X54</f>
        <v>5558536</v>
      </c>
      <c r="AW54" s="475">
        <f>K54+AB54</f>
        <v>0</v>
      </c>
      <c r="AX54" s="475">
        <f t="shared" si="93"/>
        <v>1878785</v>
      </c>
      <c r="AY54" s="475">
        <f t="shared" si="93"/>
        <v>111170</v>
      </c>
      <c r="AZ54" s="475">
        <f>N54+AH54</f>
        <v>36500</v>
      </c>
      <c r="BA54" s="476">
        <f>O54+AT54</f>
        <v>16.03</v>
      </c>
      <c r="BB54" s="476">
        <f t="shared" si="94"/>
        <v>16.03</v>
      </c>
      <c r="BC54" s="478">
        <f t="shared" si="94"/>
        <v>0</v>
      </c>
    </row>
    <row r="55" spans="1:55" s="234" customFormat="1" x14ac:dyDescent="0.2">
      <c r="A55" s="221">
        <v>11</v>
      </c>
      <c r="B55" s="222">
        <v>4443</v>
      </c>
      <c r="C55" s="222">
        <v>600074994</v>
      </c>
      <c r="D55" s="222">
        <v>46750045</v>
      </c>
      <c r="E55" s="220" t="s">
        <v>169</v>
      </c>
      <c r="F55" s="222">
        <v>3143</v>
      </c>
      <c r="G55" s="172" t="s">
        <v>626</v>
      </c>
      <c r="H55" s="239" t="s">
        <v>277</v>
      </c>
      <c r="I55" s="477">
        <v>4882000</v>
      </c>
      <c r="J55" s="472">
        <v>3538832</v>
      </c>
      <c r="K55" s="472">
        <v>57000</v>
      </c>
      <c r="L55" s="472">
        <v>1215391</v>
      </c>
      <c r="M55" s="472">
        <v>70777</v>
      </c>
      <c r="N55" s="472">
        <v>0</v>
      </c>
      <c r="O55" s="473">
        <v>7.1784999999999997</v>
      </c>
      <c r="P55" s="474">
        <v>7.1784999999999997</v>
      </c>
      <c r="Q55" s="483">
        <v>0</v>
      </c>
      <c r="R55" s="485">
        <f t="shared" si="88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7"/>
        <v>0</v>
      </c>
      <c r="Y55" s="475">
        <v>0</v>
      </c>
      <c r="Z55" s="475">
        <v>0</v>
      </c>
      <c r="AA55" s="475">
        <v>0</v>
      </c>
      <c r="AB55" s="475">
        <f t="shared" si="89"/>
        <v>0</v>
      </c>
      <c r="AC55" s="475">
        <f>X55+AB55</f>
        <v>0</v>
      </c>
      <c r="AD55" s="70">
        <f>ROUND((X55+Y55+Z55)*33.8%,0)</f>
        <v>0</v>
      </c>
      <c r="AE55" s="70">
        <f>ROUND(X55*2%,0)</f>
        <v>0</v>
      </c>
      <c r="AF55" s="475">
        <v>0</v>
      </c>
      <c r="AG55" s="475">
        <v>0</v>
      </c>
      <c r="AH55" s="475">
        <f t="shared" si="90"/>
        <v>0</v>
      </c>
      <c r="AI55" s="475">
        <f t="shared" si="91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92"/>
        <v>0</v>
      </c>
      <c r="AU55" s="484">
        <f>I55+AI55</f>
        <v>4882000</v>
      </c>
      <c r="AV55" s="475">
        <f>J55+X55</f>
        <v>3538832</v>
      </c>
      <c r="AW55" s="475">
        <f>K55+AB55</f>
        <v>57000</v>
      </c>
      <c r="AX55" s="475">
        <f t="shared" si="93"/>
        <v>1215391</v>
      </c>
      <c r="AY55" s="475">
        <f t="shared" si="93"/>
        <v>70777</v>
      </c>
      <c r="AZ55" s="475">
        <f>N55+AH55</f>
        <v>0</v>
      </c>
      <c r="BA55" s="476">
        <f>O55+AT55</f>
        <v>7.1784999999999997</v>
      </c>
      <c r="BB55" s="476">
        <f t="shared" si="94"/>
        <v>7.1784999999999997</v>
      </c>
      <c r="BC55" s="478">
        <f t="shared" si="94"/>
        <v>0</v>
      </c>
    </row>
    <row r="56" spans="1:55" s="234" customFormat="1" x14ac:dyDescent="0.2">
      <c r="A56" s="221">
        <v>11</v>
      </c>
      <c r="B56" s="222">
        <v>4443</v>
      </c>
      <c r="C56" s="222">
        <v>600074994</v>
      </c>
      <c r="D56" s="222">
        <v>46750045</v>
      </c>
      <c r="E56" s="220" t="s">
        <v>169</v>
      </c>
      <c r="F56" s="222">
        <v>3143</v>
      </c>
      <c r="G56" s="172" t="s">
        <v>627</v>
      </c>
      <c r="H56" s="239" t="s">
        <v>278</v>
      </c>
      <c r="I56" s="477">
        <v>162540</v>
      </c>
      <c r="J56" s="472">
        <v>114941</v>
      </c>
      <c r="K56" s="472">
        <v>0</v>
      </c>
      <c r="L56" s="472">
        <v>38850</v>
      </c>
      <c r="M56" s="472">
        <v>2299</v>
      </c>
      <c r="N56" s="472">
        <v>6450</v>
      </c>
      <c r="O56" s="473">
        <v>0.45</v>
      </c>
      <c r="P56" s="474">
        <v>0</v>
      </c>
      <c r="Q56" s="483">
        <v>0.45</v>
      </c>
      <c r="R56" s="485">
        <f t="shared" si="88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7"/>
        <v>0</v>
      </c>
      <c r="Y56" s="475">
        <v>0</v>
      </c>
      <c r="Z56" s="475">
        <v>0</v>
      </c>
      <c r="AA56" s="475">
        <v>0</v>
      </c>
      <c r="AB56" s="475">
        <f t="shared" si="89"/>
        <v>0</v>
      </c>
      <c r="AC56" s="475">
        <f>X56+AB56</f>
        <v>0</v>
      </c>
      <c r="AD56" s="70">
        <f>ROUND((X56+Y56+Z56)*33.8%,0)</f>
        <v>0</v>
      </c>
      <c r="AE56" s="70">
        <f>ROUND(X56*2%,0)</f>
        <v>0</v>
      </c>
      <c r="AF56" s="475">
        <v>0</v>
      </c>
      <c r="AG56" s="475">
        <v>0</v>
      </c>
      <c r="AH56" s="475">
        <f t="shared" si="90"/>
        <v>0</v>
      </c>
      <c r="AI56" s="475">
        <f t="shared" si="91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92"/>
        <v>0</v>
      </c>
      <c r="AU56" s="484">
        <f>I56+AI56</f>
        <v>162540</v>
      </c>
      <c r="AV56" s="475">
        <f>J56+X56</f>
        <v>114941</v>
      </c>
      <c r="AW56" s="475">
        <f>K56+AB56</f>
        <v>0</v>
      </c>
      <c r="AX56" s="475">
        <f t="shared" si="93"/>
        <v>38850</v>
      </c>
      <c r="AY56" s="475">
        <f t="shared" si="93"/>
        <v>2299</v>
      </c>
      <c r="AZ56" s="475">
        <f>N56+AH56</f>
        <v>6450</v>
      </c>
      <c r="BA56" s="476">
        <f>O56+AT56</f>
        <v>0.45</v>
      </c>
      <c r="BB56" s="476">
        <f t="shared" si="94"/>
        <v>0</v>
      </c>
      <c r="BC56" s="478">
        <f t="shared" si="94"/>
        <v>0.45</v>
      </c>
    </row>
    <row r="57" spans="1:55" s="234" customFormat="1" x14ac:dyDescent="0.2">
      <c r="A57" s="221">
        <v>11</v>
      </c>
      <c r="B57" s="222">
        <v>4443</v>
      </c>
      <c r="C57" s="222">
        <v>600074994</v>
      </c>
      <c r="D57" s="222">
        <v>46750045</v>
      </c>
      <c r="E57" s="220" t="s">
        <v>169</v>
      </c>
      <c r="F57" s="222">
        <v>3143</v>
      </c>
      <c r="G57" s="172" t="s">
        <v>317</v>
      </c>
      <c r="H57" s="239" t="s">
        <v>278</v>
      </c>
      <c r="I57" s="477">
        <v>402660</v>
      </c>
      <c r="J57" s="472">
        <v>296068</v>
      </c>
      <c r="K57" s="472">
        <v>0</v>
      </c>
      <c r="L57" s="472">
        <v>100071</v>
      </c>
      <c r="M57" s="472">
        <v>5921</v>
      </c>
      <c r="N57" s="472">
        <v>600</v>
      </c>
      <c r="O57" s="473">
        <v>0.62999999999999989</v>
      </c>
      <c r="P57" s="474">
        <v>0.56999999999999995</v>
      </c>
      <c r="Q57" s="483">
        <v>0.06</v>
      </c>
      <c r="R57" s="485">
        <f t="shared" si="88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7"/>
        <v>0</v>
      </c>
      <c r="Y57" s="475">
        <v>0</v>
      </c>
      <c r="Z57" s="475">
        <v>0</v>
      </c>
      <c r="AA57" s="475">
        <v>0</v>
      </c>
      <c r="AB57" s="475">
        <f t="shared" si="89"/>
        <v>0</v>
      </c>
      <c r="AC57" s="475">
        <f>X57+AB57</f>
        <v>0</v>
      </c>
      <c r="AD57" s="70">
        <f>ROUND((X57+Y57+Z57)*33.8%,0)</f>
        <v>0</v>
      </c>
      <c r="AE57" s="70">
        <f>ROUND(X57*2%,0)</f>
        <v>0</v>
      </c>
      <c r="AF57" s="475">
        <v>0</v>
      </c>
      <c r="AG57" s="475">
        <v>0</v>
      </c>
      <c r="AH57" s="475">
        <f t="shared" si="90"/>
        <v>0</v>
      </c>
      <c r="AI57" s="475">
        <f t="shared" si="91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92"/>
        <v>0</v>
      </c>
      <c r="AU57" s="484">
        <f>I57+AI57</f>
        <v>402660</v>
      </c>
      <c r="AV57" s="475">
        <f>J57+X57</f>
        <v>296068</v>
      </c>
      <c r="AW57" s="475">
        <f>K57+AB57</f>
        <v>0</v>
      </c>
      <c r="AX57" s="475">
        <f t="shared" si="93"/>
        <v>100071</v>
      </c>
      <c r="AY57" s="475">
        <f t="shared" si="93"/>
        <v>5921</v>
      </c>
      <c r="AZ57" s="475">
        <f>N57+AH57</f>
        <v>600</v>
      </c>
      <c r="BA57" s="476">
        <f>O57+AT57</f>
        <v>0.62999999999999989</v>
      </c>
      <c r="BB57" s="476">
        <f t="shared" si="94"/>
        <v>0.56999999999999995</v>
      </c>
      <c r="BC57" s="478">
        <f t="shared" si="94"/>
        <v>0.06</v>
      </c>
    </row>
    <row r="58" spans="1:55" s="234" customFormat="1" x14ac:dyDescent="0.2">
      <c r="A58" s="162">
        <v>11</v>
      </c>
      <c r="B58" s="18">
        <v>4443</v>
      </c>
      <c r="C58" s="18">
        <v>600074994</v>
      </c>
      <c r="D58" s="18">
        <v>46750045</v>
      </c>
      <c r="E58" s="171" t="s">
        <v>170</v>
      </c>
      <c r="F58" s="18"/>
      <c r="G58" s="161"/>
      <c r="H58" s="195"/>
      <c r="I58" s="529">
        <v>67915640</v>
      </c>
      <c r="J58" s="526">
        <v>48830781</v>
      </c>
      <c r="K58" s="526">
        <v>240000</v>
      </c>
      <c r="L58" s="526">
        <v>16585924</v>
      </c>
      <c r="M58" s="526">
        <v>976615</v>
      </c>
      <c r="N58" s="526">
        <v>1282320</v>
      </c>
      <c r="O58" s="527">
        <v>89.903700000000015</v>
      </c>
      <c r="P58" s="527">
        <v>75.886899999999997</v>
      </c>
      <c r="Q58" s="531">
        <v>14.0168</v>
      </c>
      <c r="R58" s="529">
        <f t="shared" ref="R58:BC58" si="95">SUM(R53:R57)</f>
        <v>0</v>
      </c>
      <c r="S58" s="526">
        <f t="shared" si="95"/>
        <v>0</v>
      </c>
      <c r="T58" s="526">
        <f t="shared" si="95"/>
        <v>326064</v>
      </c>
      <c r="U58" s="526">
        <f t="shared" si="95"/>
        <v>-33264</v>
      </c>
      <c r="V58" s="526">
        <f t="shared" si="95"/>
        <v>0</v>
      </c>
      <c r="W58" s="526">
        <f t="shared" si="95"/>
        <v>0</v>
      </c>
      <c r="X58" s="526">
        <f t="shared" si="95"/>
        <v>292800</v>
      </c>
      <c r="Y58" s="526">
        <f t="shared" si="95"/>
        <v>0</v>
      </c>
      <c r="Z58" s="526">
        <f t="shared" si="95"/>
        <v>0</v>
      </c>
      <c r="AA58" s="526">
        <f t="shared" si="95"/>
        <v>0</v>
      </c>
      <c r="AB58" s="526">
        <f t="shared" si="95"/>
        <v>0</v>
      </c>
      <c r="AC58" s="526">
        <f t="shared" si="95"/>
        <v>292800</v>
      </c>
      <c r="AD58" s="526">
        <f t="shared" si="95"/>
        <v>98966</v>
      </c>
      <c r="AE58" s="526">
        <f t="shared" si="95"/>
        <v>5856</v>
      </c>
      <c r="AF58" s="526">
        <f t="shared" si="95"/>
        <v>19750</v>
      </c>
      <c r="AG58" s="526">
        <f t="shared" si="95"/>
        <v>0</v>
      </c>
      <c r="AH58" s="526">
        <f t="shared" si="95"/>
        <v>19750</v>
      </c>
      <c r="AI58" s="526">
        <f t="shared" si="95"/>
        <v>417372</v>
      </c>
      <c r="AJ58" s="527">
        <f t="shared" si="95"/>
        <v>0</v>
      </c>
      <c r="AK58" s="527">
        <f t="shared" si="95"/>
        <v>0</v>
      </c>
      <c r="AL58" s="527">
        <f t="shared" si="95"/>
        <v>0</v>
      </c>
      <c r="AM58" s="527">
        <f t="shared" si="95"/>
        <v>0.48</v>
      </c>
      <c r="AN58" s="527">
        <f t="shared" si="95"/>
        <v>0</v>
      </c>
      <c r="AO58" s="527">
        <f t="shared" si="95"/>
        <v>-0.05</v>
      </c>
      <c r="AP58" s="527">
        <f t="shared" si="95"/>
        <v>0</v>
      </c>
      <c r="AQ58" s="527">
        <f t="shared" si="95"/>
        <v>0</v>
      </c>
      <c r="AR58" s="527">
        <f t="shared" si="95"/>
        <v>0.43</v>
      </c>
      <c r="AS58" s="527">
        <f t="shared" si="95"/>
        <v>0</v>
      </c>
      <c r="AT58" s="40">
        <f t="shared" si="95"/>
        <v>0.43</v>
      </c>
      <c r="AU58" s="533">
        <f t="shared" si="95"/>
        <v>68333012</v>
      </c>
      <c r="AV58" s="526">
        <f t="shared" si="95"/>
        <v>49123581</v>
      </c>
      <c r="AW58" s="526">
        <f t="shared" si="95"/>
        <v>240000</v>
      </c>
      <c r="AX58" s="526">
        <f t="shared" si="95"/>
        <v>16684890</v>
      </c>
      <c r="AY58" s="526">
        <f t="shared" si="95"/>
        <v>982471</v>
      </c>
      <c r="AZ58" s="526">
        <f t="shared" si="95"/>
        <v>1302070</v>
      </c>
      <c r="BA58" s="527">
        <f t="shared" si="95"/>
        <v>90.333700000000022</v>
      </c>
      <c r="BB58" s="527">
        <f t="shared" si="95"/>
        <v>76.31689999999999</v>
      </c>
      <c r="BC58" s="40">
        <f t="shared" si="95"/>
        <v>14.0168</v>
      </c>
    </row>
    <row r="59" spans="1:55" s="234" customFormat="1" x14ac:dyDescent="0.2">
      <c r="A59" s="221">
        <v>12</v>
      </c>
      <c r="B59" s="222">
        <v>4438</v>
      </c>
      <c r="C59" s="222">
        <v>600074871</v>
      </c>
      <c r="D59" s="222">
        <v>49864599</v>
      </c>
      <c r="E59" s="220" t="s">
        <v>171</v>
      </c>
      <c r="F59" s="222">
        <v>3113</v>
      </c>
      <c r="G59" s="172" t="s">
        <v>314</v>
      </c>
      <c r="H59" s="223" t="s">
        <v>277</v>
      </c>
      <c r="I59" s="477">
        <v>36511912</v>
      </c>
      <c r="J59" s="472">
        <v>26240193</v>
      </c>
      <c r="K59" s="472">
        <v>80000</v>
      </c>
      <c r="L59" s="472">
        <v>8896226</v>
      </c>
      <c r="M59" s="472">
        <v>524803</v>
      </c>
      <c r="N59" s="472">
        <v>770690</v>
      </c>
      <c r="O59" s="473">
        <v>46.545499999999997</v>
      </c>
      <c r="P59" s="474">
        <v>37.239699999999992</v>
      </c>
      <c r="Q59" s="483">
        <v>9.3057999999999996</v>
      </c>
      <c r="R59" s="485">
        <f t="shared" ref="R59:R64" si="96">Y59*-1</f>
        <v>0</v>
      </c>
      <c r="S59" s="475">
        <v>0</v>
      </c>
      <c r="T59" s="475">
        <v>218488</v>
      </c>
      <c r="U59" s="475">
        <v>0</v>
      </c>
      <c r="V59" s="475">
        <v>0</v>
      </c>
      <c r="W59" s="475">
        <v>0</v>
      </c>
      <c r="X59" s="475">
        <f t="shared" si="7"/>
        <v>218488</v>
      </c>
      <c r="Y59" s="475">
        <v>0</v>
      </c>
      <c r="Z59" s="475">
        <v>0</v>
      </c>
      <c r="AA59" s="475">
        <v>0</v>
      </c>
      <c r="AB59" s="475">
        <f t="shared" ref="AB59:AB64" si="97">SUM(Y59:AA59)</f>
        <v>0</v>
      </c>
      <c r="AC59" s="475">
        <f t="shared" ref="AC59:AC64" si="98">X59+AB59</f>
        <v>218488</v>
      </c>
      <c r="AD59" s="70">
        <f t="shared" ref="AD59:AD64" si="99">ROUND((X59+Y59+Z59)*33.8%,0)</f>
        <v>73849</v>
      </c>
      <c r="AE59" s="70">
        <f t="shared" ref="AE59:AE64" si="100">ROUND(X59*2%,0)</f>
        <v>4370</v>
      </c>
      <c r="AF59" s="475">
        <v>0</v>
      </c>
      <c r="AG59" s="475">
        <v>0</v>
      </c>
      <c r="AH59" s="475">
        <f t="shared" ref="AH59:AH64" si="101">SUM(AF59:AG59)</f>
        <v>0</v>
      </c>
      <c r="AI59" s="475">
        <f t="shared" ref="AI59:AI64" si="102">AC59+AD59+AE59+AH59</f>
        <v>296707</v>
      </c>
      <c r="AJ59" s="476">
        <v>0</v>
      </c>
      <c r="AK59" s="476">
        <v>0</v>
      </c>
      <c r="AL59" s="476">
        <v>0</v>
      </c>
      <c r="AM59" s="476">
        <v>0.35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ref="AR59:AR64" si="103">AJ59+AL59+AM59+AO59+AP59</f>
        <v>0.35</v>
      </c>
      <c r="AS59" s="476">
        <f t="shared" ref="AS59:AS64" si="104">AK59+AN59+AQ59</f>
        <v>0</v>
      </c>
      <c r="AT59" s="478">
        <f t="shared" ref="AT59:AT64" si="105">SUM(AR59:AS59)</f>
        <v>0.35</v>
      </c>
      <c r="AU59" s="484">
        <f t="shared" ref="AU59:AU64" si="106">I59+AI59</f>
        <v>36808619</v>
      </c>
      <c r="AV59" s="475">
        <f t="shared" ref="AV59:AV64" si="107">J59+X59</f>
        <v>26458681</v>
      </c>
      <c r="AW59" s="475">
        <f t="shared" ref="AW59:AW64" si="108">K59+AB59</f>
        <v>80000</v>
      </c>
      <c r="AX59" s="475">
        <f t="shared" ref="AX59:AY64" si="109">L59+AD59</f>
        <v>8970075</v>
      </c>
      <c r="AY59" s="475">
        <f t="shared" si="109"/>
        <v>529173</v>
      </c>
      <c r="AZ59" s="475">
        <f t="shared" ref="AZ59:AZ64" si="110">N59+AH59</f>
        <v>770690</v>
      </c>
      <c r="BA59" s="476">
        <f t="shared" ref="BA59:BA64" si="111">O59+AT59</f>
        <v>46.895499999999998</v>
      </c>
      <c r="BB59" s="476">
        <f t="shared" ref="BB59:BC64" si="112">P59+AR59</f>
        <v>37.589699999999993</v>
      </c>
      <c r="BC59" s="478">
        <f t="shared" si="112"/>
        <v>9.3057999999999996</v>
      </c>
    </row>
    <row r="60" spans="1:55" s="234" customFormat="1" x14ac:dyDescent="0.2">
      <c r="A60" s="221">
        <v>12</v>
      </c>
      <c r="B60" s="222">
        <v>4438</v>
      </c>
      <c r="C60" s="222">
        <v>600074871</v>
      </c>
      <c r="D60" s="222">
        <v>49864599</v>
      </c>
      <c r="E60" s="220" t="s">
        <v>171</v>
      </c>
      <c r="F60" s="222">
        <v>3113</v>
      </c>
      <c r="G60" s="172" t="s">
        <v>312</v>
      </c>
      <c r="H60" s="223" t="s">
        <v>278</v>
      </c>
      <c r="I60" s="477">
        <v>5524243</v>
      </c>
      <c r="J60" s="472">
        <v>4063139</v>
      </c>
      <c r="K60" s="472">
        <v>0</v>
      </c>
      <c r="L60" s="472">
        <v>1373341</v>
      </c>
      <c r="M60" s="472">
        <v>81263</v>
      </c>
      <c r="N60" s="472">
        <v>6500</v>
      </c>
      <c r="O60" s="473">
        <v>11.68</v>
      </c>
      <c r="P60" s="474">
        <v>11.68</v>
      </c>
      <c r="Q60" s="483">
        <v>0</v>
      </c>
      <c r="R60" s="485">
        <f t="shared" si="96"/>
        <v>0</v>
      </c>
      <c r="S60" s="475">
        <v>86611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7"/>
        <v>86611</v>
      </c>
      <c r="Y60" s="475">
        <v>0</v>
      </c>
      <c r="Z60" s="475">
        <v>0</v>
      </c>
      <c r="AA60" s="475">
        <v>0</v>
      </c>
      <c r="AB60" s="475">
        <f t="shared" si="97"/>
        <v>0</v>
      </c>
      <c r="AC60" s="475">
        <f t="shared" si="98"/>
        <v>86611</v>
      </c>
      <c r="AD60" s="70">
        <f t="shared" si="99"/>
        <v>29275</v>
      </c>
      <c r="AE60" s="70">
        <f t="shared" si="100"/>
        <v>1732</v>
      </c>
      <c r="AF60" s="475">
        <v>0</v>
      </c>
      <c r="AG60" s="475">
        <v>0</v>
      </c>
      <c r="AH60" s="475">
        <f t="shared" si="101"/>
        <v>0</v>
      </c>
      <c r="AI60" s="475">
        <f t="shared" si="102"/>
        <v>117618</v>
      </c>
      <c r="AJ60" s="476">
        <v>0</v>
      </c>
      <c r="AK60" s="476">
        <v>0</v>
      </c>
      <c r="AL60" s="476">
        <v>0.25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03"/>
        <v>0.25</v>
      </c>
      <c r="AS60" s="476">
        <f t="shared" si="104"/>
        <v>0</v>
      </c>
      <c r="AT60" s="478">
        <f t="shared" si="105"/>
        <v>0.25</v>
      </c>
      <c r="AU60" s="484">
        <f t="shared" si="106"/>
        <v>5641861</v>
      </c>
      <c r="AV60" s="475">
        <f t="shared" si="107"/>
        <v>4149750</v>
      </c>
      <c r="AW60" s="475">
        <f t="shared" si="108"/>
        <v>0</v>
      </c>
      <c r="AX60" s="475">
        <f t="shared" si="109"/>
        <v>1402616</v>
      </c>
      <c r="AY60" s="475">
        <f t="shared" si="109"/>
        <v>82995</v>
      </c>
      <c r="AZ60" s="475">
        <f t="shared" si="110"/>
        <v>6500</v>
      </c>
      <c r="BA60" s="476">
        <f t="shared" si="111"/>
        <v>11.93</v>
      </c>
      <c r="BB60" s="476">
        <f t="shared" si="112"/>
        <v>11.93</v>
      </c>
      <c r="BC60" s="478">
        <f t="shared" si="112"/>
        <v>0</v>
      </c>
    </row>
    <row r="61" spans="1:55" s="234" customFormat="1" x14ac:dyDescent="0.2">
      <c r="A61" s="221">
        <v>12</v>
      </c>
      <c r="B61" s="222">
        <v>4438</v>
      </c>
      <c r="C61" s="222">
        <v>600074871</v>
      </c>
      <c r="D61" s="222">
        <v>49864599</v>
      </c>
      <c r="E61" s="220" t="s">
        <v>171</v>
      </c>
      <c r="F61" s="222">
        <v>3141</v>
      </c>
      <c r="G61" s="172" t="s">
        <v>315</v>
      </c>
      <c r="H61" s="223" t="s">
        <v>278</v>
      </c>
      <c r="I61" s="477">
        <v>2977109</v>
      </c>
      <c r="J61" s="472">
        <v>2174376</v>
      </c>
      <c r="K61" s="472">
        <v>0</v>
      </c>
      <c r="L61" s="472">
        <v>734939</v>
      </c>
      <c r="M61" s="472">
        <v>43488</v>
      </c>
      <c r="N61" s="472">
        <v>24306</v>
      </c>
      <c r="O61" s="473">
        <v>6.86</v>
      </c>
      <c r="P61" s="474">
        <v>0</v>
      </c>
      <c r="Q61" s="483">
        <v>6.86</v>
      </c>
      <c r="R61" s="485">
        <f t="shared" si="96"/>
        <v>0</v>
      </c>
      <c r="S61" s="475">
        <v>0</v>
      </c>
      <c r="T61" s="475">
        <v>15085</v>
      </c>
      <c r="U61" s="475">
        <v>0</v>
      </c>
      <c r="V61" s="475">
        <v>0</v>
      </c>
      <c r="W61" s="475">
        <v>0</v>
      </c>
      <c r="X61" s="475">
        <f t="shared" si="7"/>
        <v>15085</v>
      </c>
      <c r="Y61" s="475">
        <v>0</v>
      </c>
      <c r="Z61" s="475">
        <v>0</v>
      </c>
      <c r="AA61" s="475">
        <v>0</v>
      </c>
      <c r="AB61" s="475">
        <f t="shared" si="97"/>
        <v>0</v>
      </c>
      <c r="AC61" s="475">
        <f t="shared" si="98"/>
        <v>15085</v>
      </c>
      <c r="AD61" s="70">
        <f t="shared" si="99"/>
        <v>5099</v>
      </c>
      <c r="AE61" s="70">
        <f t="shared" si="100"/>
        <v>302</v>
      </c>
      <c r="AF61" s="475">
        <v>0</v>
      </c>
      <c r="AG61" s="475">
        <v>0</v>
      </c>
      <c r="AH61" s="475">
        <f t="shared" si="101"/>
        <v>0</v>
      </c>
      <c r="AI61" s="475">
        <f t="shared" si="102"/>
        <v>20486</v>
      </c>
      <c r="AJ61" s="476">
        <v>0</v>
      </c>
      <c r="AK61" s="476">
        <v>0</v>
      </c>
      <c r="AL61" s="476">
        <v>0</v>
      </c>
      <c r="AM61" s="476">
        <v>0</v>
      </c>
      <c r="AN61" s="476">
        <v>0.05</v>
      </c>
      <c r="AO61" s="476">
        <v>0</v>
      </c>
      <c r="AP61" s="476">
        <v>0</v>
      </c>
      <c r="AQ61" s="476">
        <v>0</v>
      </c>
      <c r="AR61" s="476">
        <f t="shared" si="103"/>
        <v>0</v>
      </c>
      <c r="AS61" s="476">
        <f t="shared" si="104"/>
        <v>0.05</v>
      </c>
      <c r="AT61" s="478">
        <f t="shared" si="105"/>
        <v>0.05</v>
      </c>
      <c r="AU61" s="484">
        <f t="shared" si="106"/>
        <v>2997595</v>
      </c>
      <c r="AV61" s="475">
        <f t="shared" si="107"/>
        <v>2189461</v>
      </c>
      <c r="AW61" s="475">
        <f t="shared" si="108"/>
        <v>0</v>
      </c>
      <c r="AX61" s="475">
        <f t="shared" si="109"/>
        <v>740038</v>
      </c>
      <c r="AY61" s="475">
        <f t="shared" si="109"/>
        <v>43790</v>
      </c>
      <c r="AZ61" s="475">
        <f t="shared" si="110"/>
        <v>24306</v>
      </c>
      <c r="BA61" s="476">
        <f t="shared" si="111"/>
        <v>6.91</v>
      </c>
      <c r="BB61" s="476">
        <f t="shared" si="112"/>
        <v>0</v>
      </c>
      <c r="BC61" s="478">
        <f t="shared" si="112"/>
        <v>6.91</v>
      </c>
    </row>
    <row r="62" spans="1:55" s="234" customFormat="1" x14ac:dyDescent="0.2">
      <c r="A62" s="221">
        <v>12</v>
      </c>
      <c r="B62" s="222">
        <v>4438</v>
      </c>
      <c r="C62" s="222">
        <v>600074871</v>
      </c>
      <c r="D62" s="222">
        <v>49864599</v>
      </c>
      <c r="E62" s="220" t="s">
        <v>171</v>
      </c>
      <c r="F62" s="222">
        <v>3143</v>
      </c>
      <c r="G62" s="172" t="s">
        <v>626</v>
      </c>
      <c r="H62" s="239" t="s">
        <v>277</v>
      </c>
      <c r="I62" s="477">
        <v>2670066</v>
      </c>
      <c r="J62" s="472">
        <v>1966175</v>
      </c>
      <c r="K62" s="472">
        <v>0</v>
      </c>
      <c r="L62" s="472">
        <v>664567</v>
      </c>
      <c r="M62" s="472">
        <v>39324</v>
      </c>
      <c r="N62" s="472">
        <v>0</v>
      </c>
      <c r="O62" s="473">
        <v>4.0446</v>
      </c>
      <c r="P62" s="474">
        <v>4.0446</v>
      </c>
      <c r="Q62" s="483">
        <v>0</v>
      </c>
      <c r="R62" s="485">
        <f t="shared" si="96"/>
        <v>0</v>
      </c>
      <c r="S62" s="475">
        <v>0</v>
      </c>
      <c r="T62" s="475">
        <v>137734</v>
      </c>
      <c r="U62" s="475">
        <v>0</v>
      </c>
      <c r="V62" s="475">
        <v>0</v>
      </c>
      <c r="W62" s="475">
        <v>0</v>
      </c>
      <c r="X62" s="475">
        <f t="shared" si="7"/>
        <v>137734</v>
      </c>
      <c r="Y62" s="475">
        <v>0</v>
      </c>
      <c r="Z62" s="475">
        <v>0</v>
      </c>
      <c r="AA62" s="475">
        <v>0</v>
      </c>
      <c r="AB62" s="475">
        <f t="shared" si="97"/>
        <v>0</v>
      </c>
      <c r="AC62" s="475">
        <f t="shared" si="98"/>
        <v>137734</v>
      </c>
      <c r="AD62" s="70">
        <f t="shared" si="99"/>
        <v>46554</v>
      </c>
      <c r="AE62" s="70">
        <f t="shared" si="100"/>
        <v>2755</v>
      </c>
      <c r="AF62" s="475">
        <v>0</v>
      </c>
      <c r="AG62" s="475">
        <v>0</v>
      </c>
      <c r="AH62" s="475">
        <f t="shared" si="101"/>
        <v>0</v>
      </c>
      <c r="AI62" s="475">
        <f t="shared" si="102"/>
        <v>187043</v>
      </c>
      <c r="AJ62" s="476">
        <v>0</v>
      </c>
      <c r="AK62" s="476">
        <v>0</v>
      </c>
      <c r="AL62" s="476">
        <v>0</v>
      </c>
      <c r="AM62" s="476">
        <v>0.28000000000000003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03"/>
        <v>0.28000000000000003</v>
      </c>
      <c r="AS62" s="476">
        <f t="shared" si="104"/>
        <v>0</v>
      </c>
      <c r="AT62" s="478">
        <f t="shared" si="105"/>
        <v>0.28000000000000003</v>
      </c>
      <c r="AU62" s="484">
        <f t="shared" si="106"/>
        <v>2857109</v>
      </c>
      <c r="AV62" s="475">
        <f t="shared" si="107"/>
        <v>2103909</v>
      </c>
      <c r="AW62" s="475">
        <f t="shared" si="108"/>
        <v>0</v>
      </c>
      <c r="AX62" s="475">
        <f t="shared" si="109"/>
        <v>711121</v>
      </c>
      <c r="AY62" s="475">
        <f t="shared" si="109"/>
        <v>42079</v>
      </c>
      <c r="AZ62" s="475">
        <f t="shared" si="110"/>
        <v>0</v>
      </c>
      <c r="BA62" s="476">
        <f t="shared" si="111"/>
        <v>4.3246000000000002</v>
      </c>
      <c r="BB62" s="476">
        <f t="shared" si="112"/>
        <v>4.3246000000000002</v>
      </c>
      <c r="BC62" s="478">
        <f t="shared" si="112"/>
        <v>0</v>
      </c>
    </row>
    <row r="63" spans="1:55" s="234" customFormat="1" x14ac:dyDescent="0.2">
      <c r="A63" s="221">
        <v>12</v>
      </c>
      <c r="B63" s="222">
        <v>4438</v>
      </c>
      <c r="C63" s="222">
        <v>600074871</v>
      </c>
      <c r="D63" s="222">
        <v>49864599</v>
      </c>
      <c r="E63" s="220" t="s">
        <v>171</v>
      </c>
      <c r="F63" s="222">
        <v>3143</v>
      </c>
      <c r="G63" s="172" t="s">
        <v>627</v>
      </c>
      <c r="H63" s="239" t="s">
        <v>278</v>
      </c>
      <c r="I63" s="477">
        <v>103573</v>
      </c>
      <c r="J63" s="472">
        <v>73242</v>
      </c>
      <c r="K63" s="472">
        <v>0</v>
      </c>
      <c r="L63" s="472">
        <v>24756</v>
      </c>
      <c r="M63" s="472">
        <v>1465</v>
      </c>
      <c r="N63" s="472">
        <v>4110</v>
      </c>
      <c r="O63" s="473">
        <v>0.28999999999999998</v>
      </c>
      <c r="P63" s="474">
        <v>0</v>
      </c>
      <c r="Q63" s="483">
        <v>0.28999999999999998</v>
      </c>
      <c r="R63" s="485">
        <f t="shared" si="96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7"/>
        <v>0</v>
      </c>
      <c r="Y63" s="475">
        <v>0</v>
      </c>
      <c r="Z63" s="475">
        <v>0</v>
      </c>
      <c r="AA63" s="475">
        <v>0</v>
      </c>
      <c r="AB63" s="475">
        <f t="shared" si="97"/>
        <v>0</v>
      </c>
      <c r="AC63" s="475">
        <f t="shared" si="98"/>
        <v>0</v>
      </c>
      <c r="AD63" s="70">
        <f t="shared" si="99"/>
        <v>0</v>
      </c>
      <c r="AE63" s="70">
        <f t="shared" si="100"/>
        <v>0</v>
      </c>
      <c r="AF63" s="475">
        <v>0</v>
      </c>
      <c r="AG63" s="475">
        <v>0</v>
      </c>
      <c r="AH63" s="475">
        <f t="shared" si="101"/>
        <v>0</v>
      </c>
      <c r="AI63" s="475">
        <f t="shared" si="102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 t="shared" si="103"/>
        <v>0</v>
      </c>
      <c r="AS63" s="476">
        <f t="shared" si="104"/>
        <v>0</v>
      </c>
      <c r="AT63" s="478">
        <f t="shared" si="105"/>
        <v>0</v>
      </c>
      <c r="AU63" s="484">
        <f t="shared" si="106"/>
        <v>103573</v>
      </c>
      <c r="AV63" s="475">
        <f t="shared" si="107"/>
        <v>73242</v>
      </c>
      <c r="AW63" s="475">
        <f t="shared" si="108"/>
        <v>0</v>
      </c>
      <c r="AX63" s="475">
        <f t="shared" si="109"/>
        <v>24756</v>
      </c>
      <c r="AY63" s="475">
        <f t="shared" si="109"/>
        <v>1465</v>
      </c>
      <c r="AZ63" s="475">
        <f t="shared" si="110"/>
        <v>4110</v>
      </c>
      <c r="BA63" s="476">
        <f t="shared" si="111"/>
        <v>0.28999999999999998</v>
      </c>
      <c r="BB63" s="476">
        <f t="shared" si="112"/>
        <v>0</v>
      </c>
      <c r="BC63" s="478">
        <f t="shared" si="112"/>
        <v>0.28999999999999998</v>
      </c>
    </row>
    <row r="64" spans="1:55" s="234" customFormat="1" x14ac:dyDescent="0.2">
      <c r="A64" s="221">
        <v>12</v>
      </c>
      <c r="B64" s="222">
        <v>4438</v>
      </c>
      <c r="C64" s="222">
        <v>600074871</v>
      </c>
      <c r="D64" s="222">
        <v>49864599</v>
      </c>
      <c r="E64" s="220" t="s">
        <v>171</v>
      </c>
      <c r="F64" s="222">
        <v>3143</v>
      </c>
      <c r="G64" s="172" t="s">
        <v>317</v>
      </c>
      <c r="H64" s="239" t="s">
        <v>278</v>
      </c>
      <c r="I64" s="477">
        <v>548521</v>
      </c>
      <c r="J64" s="472">
        <v>402887</v>
      </c>
      <c r="K64" s="472">
        <v>0</v>
      </c>
      <c r="L64" s="472">
        <v>136176</v>
      </c>
      <c r="M64" s="472">
        <v>8058</v>
      </c>
      <c r="N64" s="472">
        <v>1400</v>
      </c>
      <c r="O64" s="473">
        <v>0.9</v>
      </c>
      <c r="P64" s="474">
        <v>0.75</v>
      </c>
      <c r="Q64" s="483">
        <v>0.15</v>
      </c>
      <c r="R64" s="485">
        <f t="shared" si="96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7"/>
        <v>0</v>
      </c>
      <c r="Y64" s="475">
        <v>0</v>
      </c>
      <c r="Z64" s="475">
        <v>0</v>
      </c>
      <c r="AA64" s="475">
        <v>0</v>
      </c>
      <c r="AB64" s="475">
        <f t="shared" si="97"/>
        <v>0</v>
      </c>
      <c r="AC64" s="475">
        <f t="shared" si="98"/>
        <v>0</v>
      </c>
      <c r="AD64" s="70">
        <f t="shared" si="99"/>
        <v>0</v>
      </c>
      <c r="AE64" s="70">
        <f t="shared" si="100"/>
        <v>0</v>
      </c>
      <c r="AF64" s="475">
        <v>0</v>
      </c>
      <c r="AG64" s="475">
        <v>0</v>
      </c>
      <c r="AH64" s="475">
        <f t="shared" si="101"/>
        <v>0</v>
      </c>
      <c r="AI64" s="475">
        <f t="shared" si="102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si="103"/>
        <v>0</v>
      </c>
      <c r="AS64" s="476">
        <f t="shared" si="104"/>
        <v>0</v>
      </c>
      <c r="AT64" s="478">
        <f t="shared" si="105"/>
        <v>0</v>
      </c>
      <c r="AU64" s="484">
        <f t="shared" si="106"/>
        <v>548521</v>
      </c>
      <c r="AV64" s="475">
        <f t="shared" si="107"/>
        <v>402887</v>
      </c>
      <c r="AW64" s="475">
        <f t="shared" si="108"/>
        <v>0</v>
      </c>
      <c r="AX64" s="475">
        <f t="shared" si="109"/>
        <v>136176</v>
      </c>
      <c r="AY64" s="475">
        <f t="shared" si="109"/>
        <v>8058</v>
      </c>
      <c r="AZ64" s="475">
        <f t="shared" si="110"/>
        <v>1400</v>
      </c>
      <c r="BA64" s="476">
        <f t="shared" si="111"/>
        <v>0.9</v>
      </c>
      <c r="BB64" s="476">
        <f t="shared" si="112"/>
        <v>0.75</v>
      </c>
      <c r="BC64" s="478">
        <f t="shared" si="112"/>
        <v>0.15</v>
      </c>
    </row>
    <row r="65" spans="1:55" s="234" customFormat="1" x14ac:dyDescent="0.2">
      <c r="A65" s="162">
        <v>12</v>
      </c>
      <c r="B65" s="18">
        <v>4438</v>
      </c>
      <c r="C65" s="18">
        <v>600074871</v>
      </c>
      <c r="D65" s="18">
        <v>49864599</v>
      </c>
      <c r="E65" s="171" t="s">
        <v>172</v>
      </c>
      <c r="F65" s="18"/>
      <c r="G65" s="161"/>
      <c r="H65" s="195"/>
      <c r="I65" s="529">
        <v>48335424</v>
      </c>
      <c r="J65" s="526">
        <v>34920012</v>
      </c>
      <c r="K65" s="526">
        <v>80000</v>
      </c>
      <c r="L65" s="526">
        <v>11830005</v>
      </c>
      <c r="M65" s="526">
        <v>698401</v>
      </c>
      <c r="N65" s="526">
        <v>807006</v>
      </c>
      <c r="O65" s="527">
        <v>70.320100000000011</v>
      </c>
      <c r="P65" s="527">
        <v>53.714299999999994</v>
      </c>
      <c r="Q65" s="531">
        <v>16.605799999999999</v>
      </c>
      <c r="R65" s="529">
        <f t="shared" ref="R65:BC65" si="113">SUM(R59:R64)</f>
        <v>0</v>
      </c>
      <c r="S65" s="526">
        <f t="shared" si="113"/>
        <v>86611</v>
      </c>
      <c r="T65" s="526">
        <f t="shared" si="113"/>
        <v>371307</v>
      </c>
      <c r="U65" s="526">
        <f t="shared" si="113"/>
        <v>0</v>
      </c>
      <c r="V65" s="526">
        <f t="shared" si="113"/>
        <v>0</v>
      </c>
      <c r="W65" s="526">
        <f t="shared" si="113"/>
        <v>0</v>
      </c>
      <c r="X65" s="526">
        <f t="shared" si="113"/>
        <v>457918</v>
      </c>
      <c r="Y65" s="526">
        <f t="shared" si="113"/>
        <v>0</v>
      </c>
      <c r="Z65" s="526">
        <f t="shared" si="113"/>
        <v>0</v>
      </c>
      <c r="AA65" s="526">
        <f t="shared" si="113"/>
        <v>0</v>
      </c>
      <c r="AB65" s="526">
        <f t="shared" si="113"/>
        <v>0</v>
      </c>
      <c r="AC65" s="526">
        <f t="shared" si="113"/>
        <v>457918</v>
      </c>
      <c r="AD65" s="526">
        <f t="shared" si="113"/>
        <v>154777</v>
      </c>
      <c r="AE65" s="526">
        <f t="shared" si="113"/>
        <v>9159</v>
      </c>
      <c r="AF65" s="526">
        <f t="shared" si="113"/>
        <v>0</v>
      </c>
      <c r="AG65" s="526">
        <f t="shared" si="113"/>
        <v>0</v>
      </c>
      <c r="AH65" s="526">
        <f t="shared" si="113"/>
        <v>0</v>
      </c>
      <c r="AI65" s="526">
        <f t="shared" si="113"/>
        <v>621854</v>
      </c>
      <c r="AJ65" s="527">
        <f t="shared" si="113"/>
        <v>0</v>
      </c>
      <c r="AK65" s="527">
        <f t="shared" si="113"/>
        <v>0</v>
      </c>
      <c r="AL65" s="527">
        <f t="shared" si="113"/>
        <v>0.25</v>
      </c>
      <c r="AM65" s="527">
        <f t="shared" si="113"/>
        <v>0.63</v>
      </c>
      <c r="AN65" s="527">
        <f t="shared" si="113"/>
        <v>0.05</v>
      </c>
      <c r="AO65" s="527">
        <f t="shared" si="113"/>
        <v>0</v>
      </c>
      <c r="AP65" s="527">
        <f t="shared" si="113"/>
        <v>0</v>
      </c>
      <c r="AQ65" s="527">
        <f t="shared" si="113"/>
        <v>0</v>
      </c>
      <c r="AR65" s="527">
        <f t="shared" si="113"/>
        <v>0.88</v>
      </c>
      <c r="AS65" s="527">
        <f t="shared" si="113"/>
        <v>0.05</v>
      </c>
      <c r="AT65" s="40">
        <f t="shared" si="113"/>
        <v>0.93</v>
      </c>
      <c r="AU65" s="533">
        <f t="shared" si="113"/>
        <v>48957278</v>
      </c>
      <c r="AV65" s="526">
        <f t="shared" si="113"/>
        <v>35377930</v>
      </c>
      <c r="AW65" s="526">
        <f t="shared" si="113"/>
        <v>80000</v>
      </c>
      <c r="AX65" s="526">
        <f t="shared" si="113"/>
        <v>11984782</v>
      </c>
      <c r="AY65" s="526">
        <f t="shared" si="113"/>
        <v>707560</v>
      </c>
      <c r="AZ65" s="526">
        <f t="shared" si="113"/>
        <v>807006</v>
      </c>
      <c r="BA65" s="527">
        <f t="shared" si="113"/>
        <v>71.250100000000018</v>
      </c>
      <c r="BB65" s="527">
        <f t="shared" si="113"/>
        <v>54.59429999999999</v>
      </c>
      <c r="BC65" s="40">
        <f t="shared" si="113"/>
        <v>16.655799999999999</v>
      </c>
    </row>
    <row r="66" spans="1:55" s="234" customFormat="1" x14ac:dyDescent="0.2">
      <c r="A66" s="221">
        <v>13</v>
      </c>
      <c r="B66" s="222">
        <v>4455</v>
      </c>
      <c r="C66" s="222">
        <v>600074889</v>
      </c>
      <c r="D66" s="222">
        <v>49864611</v>
      </c>
      <c r="E66" s="220" t="s">
        <v>173</v>
      </c>
      <c r="F66" s="222">
        <v>3113</v>
      </c>
      <c r="G66" s="172" t="s">
        <v>314</v>
      </c>
      <c r="H66" s="223" t="s">
        <v>277</v>
      </c>
      <c r="I66" s="477">
        <v>42424598</v>
      </c>
      <c r="J66" s="472">
        <v>30445948</v>
      </c>
      <c r="K66" s="472">
        <v>90000</v>
      </c>
      <c r="L66" s="472">
        <v>10321150</v>
      </c>
      <c r="M66" s="472">
        <v>608920</v>
      </c>
      <c r="N66" s="472">
        <v>958580</v>
      </c>
      <c r="O66" s="473">
        <v>53.003500000000003</v>
      </c>
      <c r="P66" s="474">
        <v>41.360800000000005</v>
      </c>
      <c r="Q66" s="483">
        <v>11.6427</v>
      </c>
      <c r="R66" s="485">
        <f t="shared" ref="R66:R71" si="114">Y66*-1</f>
        <v>0</v>
      </c>
      <c r="S66" s="475">
        <v>0</v>
      </c>
      <c r="T66" s="475">
        <v>296480</v>
      </c>
      <c r="U66" s="475">
        <v>0</v>
      </c>
      <c r="V66" s="475">
        <v>0</v>
      </c>
      <c r="W66" s="475">
        <v>0</v>
      </c>
      <c r="X66" s="475">
        <f t="shared" si="7"/>
        <v>296480</v>
      </c>
      <c r="Y66" s="475">
        <v>0</v>
      </c>
      <c r="Z66" s="475">
        <v>0</v>
      </c>
      <c r="AA66" s="475">
        <v>0</v>
      </c>
      <c r="AB66" s="475">
        <f t="shared" ref="AB66:AB71" si="115">SUM(Y66:AA66)</f>
        <v>0</v>
      </c>
      <c r="AC66" s="475">
        <f t="shared" ref="AC66:AC71" si="116">X66+AB66</f>
        <v>296480</v>
      </c>
      <c r="AD66" s="70">
        <f t="shared" ref="AD66:AD71" si="117">ROUND((X66+Y66+Z66)*33.8%,0)</f>
        <v>100210</v>
      </c>
      <c r="AE66" s="70">
        <f t="shared" ref="AE66:AE71" si="118">ROUND(X66*2%,0)</f>
        <v>5930</v>
      </c>
      <c r="AF66" s="475">
        <v>0</v>
      </c>
      <c r="AG66" s="475">
        <v>0</v>
      </c>
      <c r="AH66" s="475">
        <f t="shared" ref="AH66:AH71" si="119">SUM(AF66:AG66)</f>
        <v>0</v>
      </c>
      <c r="AI66" s="475">
        <f t="shared" ref="AI66:AI71" si="120">AC66+AD66+AE66+AH66</f>
        <v>402620</v>
      </c>
      <c r="AJ66" s="476">
        <v>0</v>
      </c>
      <c r="AK66" s="476">
        <v>0</v>
      </c>
      <c r="AL66" s="476">
        <v>0</v>
      </c>
      <c r="AM66" s="476">
        <v>0.45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ref="AR66:AR71" si="121">AJ66+AL66+AM66+AO66+AP66</f>
        <v>0.45</v>
      </c>
      <c r="AS66" s="476">
        <f t="shared" ref="AS66:AS71" si="122">AK66+AN66+AQ66</f>
        <v>0</v>
      </c>
      <c r="AT66" s="478">
        <f t="shared" ref="AT66:AT71" si="123">SUM(AR66:AS66)</f>
        <v>0.45</v>
      </c>
      <c r="AU66" s="484">
        <f t="shared" ref="AU66:AU71" si="124">I66+AI66</f>
        <v>42827218</v>
      </c>
      <c r="AV66" s="475">
        <f t="shared" ref="AV66:AV71" si="125">J66+X66</f>
        <v>30742428</v>
      </c>
      <c r="AW66" s="475">
        <f t="shared" ref="AW66:AW71" si="126">K66+AB66</f>
        <v>90000</v>
      </c>
      <c r="AX66" s="475">
        <f t="shared" ref="AX66:AY71" si="127">L66+AD66</f>
        <v>10421360</v>
      </c>
      <c r="AY66" s="475">
        <f t="shared" si="127"/>
        <v>614850</v>
      </c>
      <c r="AZ66" s="475">
        <f t="shared" ref="AZ66:AZ71" si="128">N66+AH66</f>
        <v>958580</v>
      </c>
      <c r="BA66" s="476">
        <f t="shared" ref="BA66:BA71" si="129">O66+AT66</f>
        <v>53.453500000000005</v>
      </c>
      <c r="BB66" s="476">
        <f t="shared" ref="BB66:BC71" si="130">P66+AR66</f>
        <v>41.810800000000008</v>
      </c>
      <c r="BC66" s="478">
        <f t="shared" si="130"/>
        <v>11.6427</v>
      </c>
    </row>
    <row r="67" spans="1:55" s="234" customFormat="1" x14ac:dyDescent="0.2">
      <c r="A67" s="221">
        <v>13</v>
      </c>
      <c r="B67" s="222">
        <v>4455</v>
      </c>
      <c r="C67" s="222">
        <v>600074889</v>
      </c>
      <c r="D67" s="222">
        <v>49864611</v>
      </c>
      <c r="E67" s="220" t="s">
        <v>173</v>
      </c>
      <c r="F67" s="222">
        <v>3113</v>
      </c>
      <c r="G67" s="172" t="s">
        <v>312</v>
      </c>
      <c r="H67" s="223" t="s">
        <v>278</v>
      </c>
      <c r="I67" s="477">
        <v>3158056</v>
      </c>
      <c r="J67" s="472">
        <v>2318892</v>
      </c>
      <c r="K67" s="472">
        <v>0</v>
      </c>
      <c r="L67" s="472">
        <v>783786</v>
      </c>
      <c r="M67" s="472">
        <v>46378</v>
      </c>
      <c r="N67" s="472">
        <v>9000</v>
      </c>
      <c r="O67" s="473">
        <v>6.65</v>
      </c>
      <c r="P67" s="474">
        <v>6.65</v>
      </c>
      <c r="Q67" s="483">
        <v>0</v>
      </c>
      <c r="R67" s="485">
        <f t="shared" si="114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7"/>
        <v>0</v>
      </c>
      <c r="Y67" s="475">
        <v>0</v>
      </c>
      <c r="Z67" s="475">
        <v>0</v>
      </c>
      <c r="AA67" s="475">
        <v>0</v>
      </c>
      <c r="AB67" s="475">
        <f t="shared" si="115"/>
        <v>0</v>
      </c>
      <c r="AC67" s="475">
        <f t="shared" si="116"/>
        <v>0</v>
      </c>
      <c r="AD67" s="70">
        <f t="shared" si="117"/>
        <v>0</v>
      </c>
      <c r="AE67" s="70">
        <f t="shared" si="118"/>
        <v>0</v>
      </c>
      <c r="AF67" s="475">
        <v>0</v>
      </c>
      <c r="AG67" s="475">
        <v>0</v>
      </c>
      <c r="AH67" s="475">
        <f t="shared" si="119"/>
        <v>0</v>
      </c>
      <c r="AI67" s="475">
        <f t="shared" si="120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 t="shared" si="121"/>
        <v>0</v>
      </c>
      <c r="AS67" s="476">
        <f t="shared" si="122"/>
        <v>0</v>
      </c>
      <c r="AT67" s="478">
        <f t="shared" si="123"/>
        <v>0</v>
      </c>
      <c r="AU67" s="484">
        <f t="shared" si="124"/>
        <v>3158056</v>
      </c>
      <c r="AV67" s="475">
        <f t="shared" si="125"/>
        <v>2318892</v>
      </c>
      <c r="AW67" s="475">
        <f t="shared" si="126"/>
        <v>0</v>
      </c>
      <c r="AX67" s="475">
        <f t="shared" si="127"/>
        <v>783786</v>
      </c>
      <c r="AY67" s="475">
        <f t="shared" si="127"/>
        <v>46378</v>
      </c>
      <c r="AZ67" s="475">
        <f t="shared" si="128"/>
        <v>9000</v>
      </c>
      <c r="BA67" s="476">
        <f t="shared" si="129"/>
        <v>6.65</v>
      </c>
      <c r="BB67" s="476">
        <f t="shared" si="130"/>
        <v>6.65</v>
      </c>
      <c r="BC67" s="478">
        <f t="shared" si="130"/>
        <v>0</v>
      </c>
    </row>
    <row r="68" spans="1:55" s="234" customFormat="1" x14ac:dyDescent="0.2">
      <c r="A68" s="221">
        <v>13</v>
      </c>
      <c r="B68" s="222">
        <v>4455</v>
      </c>
      <c r="C68" s="222">
        <v>600074889</v>
      </c>
      <c r="D68" s="222">
        <v>49864611</v>
      </c>
      <c r="E68" s="220" t="s">
        <v>173</v>
      </c>
      <c r="F68" s="222">
        <v>3141</v>
      </c>
      <c r="G68" s="172" t="s">
        <v>315</v>
      </c>
      <c r="H68" s="223" t="s">
        <v>278</v>
      </c>
      <c r="I68" s="477">
        <v>3335919</v>
      </c>
      <c r="J68" s="472">
        <v>2435575</v>
      </c>
      <c r="K68" s="472">
        <v>0</v>
      </c>
      <c r="L68" s="472">
        <v>823224</v>
      </c>
      <c r="M68" s="472">
        <v>48712</v>
      </c>
      <c r="N68" s="472">
        <v>28408</v>
      </c>
      <c r="O68" s="473">
        <v>7.67</v>
      </c>
      <c r="P68" s="474">
        <v>0</v>
      </c>
      <c r="Q68" s="483">
        <v>7.67</v>
      </c>
      <c r="R68" s="485">
        <f t="shared" si="114"/>
        <v>0</v>
      </c>
      <c r="S68" s="475">
        <v>0</v>
      </c>
      <c r="T68" s="475">
        <v>-56772</v>
      </c>
      <c r="U68" s="475">
        <v>0</v>
      </c>
      <c r="V68" s="475">
        <v>0</v>
      </c>
      <c r="W68" s="475">
        <v>0</v>
      </c>
      <c r="X68" s="475">
        <f t="shared" si="7"/>
        <v>-56772</v>
      </c>
      <c r="Y68" s="475">
        <v>0</v>
      </c>
      <c r="Z68" s="475">
        <v>0</v>
      </c>
      <c r="AA68" s="475">
        <v>0</v>
      </c>
      <c r="AB68" s="475">
        <f t="shared" si="115"/>
        <v>0</v>
      </c>
      <c r="AC68" s="475">
        <f t="shared" si="116"/>
        <v>-56772</v>
      </c>
      <c r="AD68" s="70">
        <f t="shared" si="117"/>
        <v>-19189</v>
      </c>
      <c r="AE68" s="70">
        <f t="shared" si="118"/>
        <v>-1135</v>
      </c>
      <c r="AF68" s="475">
        <v>0</v>
      </c>
      <c r="AG68" s="475">
        <v>0</v>
      </c>
      <c r="AH68" s="475">
        <f t="shared" si="119"/>
        <v>0</v>
      </c>
      <c r="AI68" s="475">
        <f t="shared" si="120"/>
        <v>-77096</v>
      </c>
      <c r="AJ68" s="476">
        <v>0</v>
      </c>
      <c r="AK68" s="476">
        <v>0</v>
      </c>
      <c r="AL68" s="476">
        <v>0</v>
      </c>
      <c r="AM68" s="476">
        <v>0</v>
      </c>
      <c r="AN68" s="476">
        <v>-0.18</v>
      </c>
      <c r="AO68" s="476">
        <v>0</v>
      </c>
      <c r="AP68" s="476">
        <v>0</v>
      </c>
      <c r="AQ68" s="476">
        <v>0</v>
      </c>
      <c r="AR68" s="476">
        <f t="shared" si="121"/>
        <v>0</v>
      </c>
      <c r="AS68" s="476">
        <f t="shared" si="122"/>
        <v>-0.18</v>
      </c>
      <c r="AT68" s="478">
        <f t="shared" si="123"/>
        <v>-0.18</v>
      </c>
      <c r="AU68" s="484">
        <f t="shared" si="124"/>
        <v>3258823</v>
      </c>
      <c r="AV68" s="475">
        <f t="shared" si="125"/>
        <v>2378803</v>
      </c>
      <c r="AW68" s="475">
        <f t="shared" si="126"/>
        <v>0</v>
      </c>
      <c r="AX68" s="475">
        <f t="shared" si="127"/>
        <v>804035</v>
      </c>
      <c r="AY68" s="475">
        <f t="shared" si="127"/>
        <v>47577</v>
      </c>
      <c r="AZ68" s="475">
        <f t="shared" si="128"/>
        <v>28408</v>
      </c>
      <c r="BA68" s="476">
        <f t="shared" si="129"/>
        <v>7.49</v>
      </c>
      <c r="BB68" s="476">
        <f t="shared" si="130"/>
        <v>0</v>
      </c>
      <c r="BC68" s="478">
        <f t="shared" si="130"/>
        <v>7.49</v>
      </c>
    </row>
    <row r="69" spans="1:55" s="234" customFormat="1" x14ac:dyDescent="0.2">
      <c r="A69" s="221">
        <v>13</v>
      </c>
      <c r="B69" s="222">
        <v>4455</v>
      </c>
      <c r="C69" s="222">
        <v>600074889</v>
      </c>
      <c r="D69" s="222">
        <v>49864611</v>
      </c>
      <c r="E69" s="220" t="s">
        <v>173</v>
      </c>
      <c r="F69" s="222">
        <v>3143</v>
      </c>
      <c r="G69" s="172" t="s">
        <v>626</v>
      </c>
      <c r="H69" s="239" t="s">
        <v>277</v>
      </c>
      <c r="I69" s="477">
        <v>3786408</v>
      </c>
      <c r="J69" s="472">
        <v>2788224</v>
      </c>
      <c r="K69" s="472">
        <v>0</v>
      </c>
      <c r="L69" s="472">
        <v>942420</v>
      </c>
      <c r="M69" s="472">
        <v>55764</v>
      </c>
      <c r="N69" s="472">
        <v>0</v>
      </c>
      <c r="O69" s="473">
        <v>5.6429999999999998</v>
      </c>
      <c r="P69" s="474">
        <v>5.6429999999999998</v>
      </c>
      <c r="Q69" s="483">
        <v>0</v>
      </c>
      <c r="R69" s="485">
        <f t="shared" si="114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7"/>
        <v>0</v>
      </c>
      <c r="Y69" s="475">
        <v>0</v>
      </c>
      <c r="Z69" s="475">
        <v>0</v>
      </c>
      <c r="AA69" s="475">
        <v>0</v>
      </c>
      <c r="AB69" s="475">
        <f t="shared" si="115"/>
        <v>0</v>
      </c>
      <c r="AC69" s="475">
        <f t="shared" si="116"/>
        <v>0</v>
      </c>
      <c r="AD69" s="70">
        <f t="shared" si="117"/>
        <v>0</v>
      </c>
      <c r="AE69" s="70">
        <f t="shared" si="118"/>
        <v>0</v>
      </c>
      <c r="AF69" s="475">
        <v>0</v>
      </c>
      <c r="AG69" s="475">
        <v>0</v>
      </c>
      <c r="AH69" s="475">
        <f t="shared" si="119"/>
        <v>0</v>
      </c>
      <c r="AI69" s="475">
        <f t="shared" si="120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 t="shared" si="121"/>
        <v>0</v>
      </c>
      <c r="AS69" s="476">
        <f t="shared" si="122"/>
        <v>0</v>
      </c>
      <c r="AT69" s="478">
        <f t="shared" si="123"/>
        <v>0</v>
      </c>
      <c r="AU69" s="484">
        <f t="shared" si="124"/>
        <v>3786408</v>
      </c>
      <c r="AV69" s="475">
        <f t="shared" si="125"/>
        <v>2788224</v>
      </c>
      <c r="AW69" s="475">
        <f t="shared" si="126"/>
        <v>0</v>
      </c>
      <c r="AX69" s="475">
        <f t="shared" si="127"/>
        <v>942420</v>
      </c>
      <c r="AY69" s="475">
        <f t="shared" si="127"/>
        <v>55764</v>
      </c>
      <c r="AZ69" s="475">
        <f t="shared" si="128"/>
        <v>0</v>
      </c>
      <c r="BA69" s="476">
        <f t="shared" si="129"/>
        <v>5.6429999999999998</v>
      </c>
      <c r="BB69" s="476">
        <f t="shared" si="130"/>
        <v>5.6429999999999998</v>
      </c>
      <c r="BC69" s="478">
        <f t="shared" si="130"/>
        <v>0</v>
      </c>
    </row>
    <row r="70" spans="1:55" s="234" customFormat="1" x14ac:dyDescent="0.2">
      <c r="A70" s="221">
        <v>13</v>
      </c>
      <c r="B70" s="222">
        <v>4455</v>
      </c>
      <c r="C70" s="222">
        <v>600074889</v>
      </c>
      <c r="D70" s="222">
        <v>49864611</v>
      </c>
      <c r="E70" s="220" t="s">
        <v>173</v>
      </c>
      <c r="F70" s="222">
        <v>3143</v>
      </c>
      <c r="G70" s="172" t="s">
        <v>627</v>
      </c>
      <c r="H70" s="239" t="s">
        <v>278</v>
      </c>
      <c r="I70" s="477">
        <v>107352</v>
      </c>
      <c r="J70" s="472">
        <v>75915</v>
      </c>
      <c r="K70" s="472">
        <v>0</v>
      </c>
      <c r="L70" s="472">
        <v>25659</v>
      </c>
      <c r="M70" s="472">
        <v>1518</v>
      </c>
      <c r="N70" s="472">
        <v>4260</v>
      </c>
      <c r="O70" s="473">
        <v>0.3</v>
      </c>
      <c r="P70" s="474">
        <v>0</v>
      </c>
      <c r="Q70" s="483">
        <v>0.3</v>
      </c>
      <c r="R70" s="485">
        <f t="shared" si="114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7"/>
        <v>0</v>
      </c>
      <c r="Y70" s="475">
        <v>0</v>
      </c>
      <c r="Z70" s="475">
        <v>0</v>
      </c>
      <c r="AA70" s="475">
        <v>0</v>
      </c>
      <c r="AB70" s="475">
        <f t="shared" si="115"/>
        <v>0</v>
      </c>
      <c r="AC70" s="475">
        <f t="shared" si="116"/>
        <v>0</v>
      </c>
      <c r="AD70" s="70">
        <f t="shared" si="117"/>
        <v>0</v>
      </c>
      <c r="AE70" s="70">
        <f t="shared" si="118"/>
        <v>0</v>
      </c>
      <c r="AF70" s="475">
        <v>0</v>
      </c>
      <c r="AG70" s="475">
        <v>0</v>
      </c>
      <c r="AH70" s="475">
        <f t="shared" si="119"/>
        <v>0</v>
      </c>
      <c r="AI70" s="475">
        <f t="shared" si="120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476">
        <f t="shared" si="121"/>
        <v>0</v>
      </c>
      <c r="AS70" s="476">
        <f t="shared" si="122"/>
        <v>0</v>
      </c>
      <c r="AT70" s="478">
        <f t="shared" si="123"/>
        <v>0</v>
      </c>
      <c r="AU70" s="484">
        <f t="shared" si="124"/>
        <v>107352</v>
      </c>
      <c r="AV70" s="475">
        <f t="shared" si="125"/>
        <v>75915</v>
      </c>
      <c r="AW70" s="475">
        <f t="shared" si="126"/>
        <v>0</v>
      </c>
      <c r="AX70" s="475">
        <f t="shared" si="127"/>
        <v>25659</v>
      </c>
      <c r="AY70" s="475">
        <f t="shared" si="127"/>
        <v>1518</v>
      </c>
      <c r="AZ70" s="475">
        <f t="shared" si="128"/>
        <v>4260</v>
      </c>
      <c r="BA70" s="476">
        <f t="shared" si="129"/>
        <v>0.3</v>
      </c>
      <c r="BB70" s="476">
        <f t="shared" si="130"/>
        <v>0</v>
      </c>
      <c r="BC70" s="478">
        <f t="shared" si="130"/>
        <v>0.3</v>
      </c>
    </row>
    <row r="71" spans="1:55" s="234" customFormat="1" x14ac:dyDescent="0.2">
      <c r="A71" s="221">
        <v>13</v>
      </c>
      <c r="B71" s="222">
        <v>4455</v>
      </c>
      <c r="C71" s="222">
        <v>600074889</v>
      </c>
      <c r="D71" s="222">
        <v>49864611</v>
      </c>
      <c r="E71" s="220" t="s">
        <v>173</v>
      </c>
      <c r="F71" s="222">
        <v>3143</v>
      </c>
      <c r="G71" s="172" t="s">
        <v>317</v>
      </c>
      <c r="H71" s="239" t="s">
        <v>278</v>
      </c>
      <c r="I71" s="477">
        <v>303636</v>
      </c>
      <c r="J71" s="472">
        <v>223252</v>
      </c>
      <c r="K71" s="472">
        <v>0</v>
      </c>
      <c r="L71" s="472">
        <v>75459</v>
      </c>
      <c r="M71" s="472">
        <v>4465</v>
      </c>
      <c r="N71" s="472">
        <v>460</v>
      </c>
      <c r="O71" s="473">
        <v>0.48</v>
      </c>
      <c r="P71" s="474">
        <v>0.43</v>
      </c>
      <c r="Q71" s="483">
        <v>0.05</v>
      </c>
      <c r="R71" s="485">
        <f t="shared" si="114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7"/>
        <v>0</v>
      </c>
      <c r="Y71" s="475">
        <v>0</v>
      </c>
      <c r="Z71" s="475">
        <v>0</v>
      </c>
      <c r="AA71" s="475">
        <v>0</v>
      </c>
      <c r="AB71" s="475">
        <f t="shared" si="115"/>
        <v>0</v>
      </c>
      <c r="AC71" s="475">
        <f t="shared" si="116"/>
        <v>0</v>
      </c>
      <c r="AD71" s="70">
        <f t="shared" si="117"/>
        <v>0</v>
      </c>
      <c r="AE71" s="70">
        <f t="shared" si="118"/>
        <v>0</v>
      </c>
      <c r="AF71" s="475">
        <v>0</v>
      </c>
      <c r="AG71" s="475">
        <v>0</v>
      </c>
      <c r="AH71" s="475">
        <f t="shared" si="119"/>
        <v>0</v>
      </c>
      <c r="AI71" s="475">
        <f t="shared" si="120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si="121"/>
        <v>0</v>
      </c>
      <c r="AS71" s="476">
        <f t="shared" si="122"/>
        <v>0</v>
      </c>
      <c r="AT71" s="478">
        <f t="shared" si="123"/>
        <v>0</v>
      </c>
      <c r="AU71" s="484">
        <f t="shared" si="124"/>
        <v>303636</v>
      </c>
      <c r="AV71" s="475">
        <f t="shared" si="125"/>
        <v>223252</v>
      </c>
      <c r="AW71" s="475">
        <f t="shared" si="126"/>
        <v>0</v>
      </c>
      <c r="AX71" s="475">
        <f t="shared" si="127"/>
        <v>75459</v>
      </c>
      <c r="AY71" s="475">
        <f t="shared" si="127"/>
        <v>4465</v>
      </c>
      <c r="AZ71" s="475">
        <f t="shared" si="128"/>
        <v>460</v>
      </c>
      <c r="BA71" s="476">
        <f t="shared" si="129"/>
        <v>0.48</v>
      </c>
      <c r="BB71" s="476">
        <f t="shared" si="130"/>
        <v>0.43</v>
      </c>
      <c r="BC71" s="478">
        <f t="shared" si="130"/>
        <v>0.05</v>
      </c>
    </row>
    <row r="72" spans="1:55" s="234" customFormat="1" x14ac:dyDescent="0.2">
      <c r="A72" s="162">
        <v>13</v>
      </c>
      <c r="B72" s="18">
        <v>4455</v>
      </c>
      <c r="C72" s="18">
        <v>600074889</v>
      </c>
      <c r="D72" s="18">
        <v>49864611</v>
      </c>
      <c r="E72" s="171" t="s">
        <v>174</v>
      </c>
      <c r="F72" s="18"/>
      <c r="G72" s="161"/>
      <c r="H72" s="195"/>
      <c r="I72" s="529">
        <v>53115969</v>
      </c>
      <c r="J72" s="526">
        <v>38287806</v>
      </c>
      <c r="K72" s="526">
        <v>90000</v>
      </c>
      <c r="L72" s="526">
        <v>12971698</v>
      </c>
      <c r="M72" s="526">
        <v>765757</v>
      </c>
      <c r="N72" s="526">
        <v>1000708</v>
      </c>
      <c r="O72" s="527">
        <v>73.746499999999997</v>
      </c>
      <c r="P72" s="527">
        <v>54.083800000000004</v>
      </c>
      <c r="Q72" s="531">
        <v>19.662700000000001</v>
      </c>
      <c r="R72" s="529">
        <f t="shared" ref="R72:BC72" si="131">SUM(R66:R71)</f>
        <v>0</v>
      </c>
      <c r="S72" s="526">
        <f t="shared" si="131"/>
        <v>0</v>
      </c>
      <c r="T72" s="526">
        <f t="shared" si="131"/>
        <v>239708</v>
      </c>
      <c r="U72" s="526">
        <f t="shared" si="131"/>
        <v>0</v>
      </c>
      <c r="V72" s="526">
        <f t="shared" si="131"/>
        <v>0</v>
      </c>
      <c r="W72" s="526">
        <f t="shared" si="131"/>
        <v>0</v>
      </c>
      <c r="X72" s="526">
        <f t="shared" si="131"/>
        <v>239708</v>
      </c>
      <c r="Y72" s="526">
        <f t="shared" si="131"/>
        <v>0</v>
      </c>
      <c r="Z72" s="526">
        <f t="shared" si="131"/>
        <v>0</v>
      </c>
      <c r="AA72" s="526">
        <f t="shared" si="131"/>
        <v>0</v>
      </c>
      <c r="AB72" s="526">
        <f t="shared" si="131"/>
        <v>0</v>
      </c>
      <c r="AC72" s="526">
        <f t="shared" si="131"/>
        <v>239708</v>
      </c>
      <c r="AD72" s="526">
        <f t="shared" si="131"/>
        <v>81021</v>
      </c>
      <c r="AE72" s="526">
        <f t="shared" si="131"/>
        <v>4795</v>
      </c>
      <c r="AF72" s="526">
        <f t="shared" si="131"/>
        <v>0</v>
      </c>
      <c r="AG72" s="526">
        <f t="shared" si="131"/>
        <v>0</v>
      </c>
      <c r="AH72" s="526">
        <f t="shared" si="131"/>
        <v>0</v>
      </c>
      <c r="AI72" s="526">
        <f t="shared" si="131"/>
        <v>325524</v>
      </c>
      <c r="AJ72" s="527">
        <f t="shared" si="131"/>
        <v>0</v>
      </c>
      <c r="AK72" s="527">
        <f t="shared" si="131"/>
        <v>0</v>
      </c>
      <c r="AL72" s="527">
        <f t="shared" si="131"/>
        <v>0</v>
      </c>
      <c r="AM72" s="527">
        <f t="shared" si="131"/>
        <v>0.45</v>
      </c>
      <c r="AN72" s="527">
        <f t="shared" si="131"/>
        <v>-0.18</v>
      </c>
      <c r="AO72" s="527">
        <f t="shared" si="131"/>
        <v>0</v>
      </c>
      <c r="AP72" s="527">
        <f t="shared" si="131"/>
        <v>0</v>
      </c>
      <c r="AQ72" s="527">
        <f t="shared" si="131"/>
        <v>0</v>
      </c>
      <c r="AR72" s="527">
        <f t="shared" si="131"/>
        <v>0.45</v>
      </c>
      <c r="AS72" s="527">
        <f t="shared" si="131"/>
        <v>-0.18</v>
      </c>
      <c r="AT72" s="40">
        <f t="shared" si="131"/>
        <v>0.27</v>
      </c>
      <c r="AU72" s="533">
        <f t="shared" si="131"/>
        <v>53441493</v>
      </c>
      <c r="AV72" s="526">
        <f t="shared" si="131"/>
        <v>38527514</v>
      </c>
      <c r="AW72" s="526">
        <f t="shared" si="131"/>
        <v>90000</v>
      </c>
      <c r="AX72" s="526">
        <f t="shared" si="131"/>
        <v>13052719</v>
      </c>
      <c r="AY72" s="526">
        <f t="shared" si="131"/>
        <v>770552</v>
      </c>
      <c r="AZ72" s="526">
        <f t="shared" si="131"/>
        <v>1000708</v>
      </c>
      <c r="BA72" s="527">
        <f t="shared" si="131"/>
        <v>74.016500000000008</v>
      </c>
      <c r="BB72" s="527">
        <f t="shared" si="131"/>
        <v>54.533800000000006</v>
      </c>
      <c r="BC72" s="40">
        <f t="shared" si="131"/>
        <v>19.482700000000001</v>
      </c>
    </row>
    <row r="73" spans="1:55" s="234" customFormat="1" x14ac:dyDescent="0.2">
      <c r="A73" s="221">
        <v>14</v>
      </c>
      <c r="B73" s="222">
        <v>4440</v>
      </c>
      <c r="C73" s="222">
        <v>600074897</v>
      </c>
      <c r="D73" s="222">
        <v>48283029</v>
      </c>
      <c r="E73" s="220" t="s">
        <v>175</v>
      </c>
      <c r="F73" s="222">
        <v>3113</v>
      </c>
      <c r="G73" s="172" t="s">
        <v>314</v>
      </c>
      <c r="H73" s="223" t="s">
        <v>277</v>
      </c>
      <c r="I73" s="477">
        <v>30537235</v>
      </c>
      <c r="J73" s="472">
        <v>21856189</v>
      </c>
      <c r="K73" s="472">
        <v>150000</v>
      </c>
      <c r="L73" s="472">
        <v>7438092</v>
      </c>
      <c r="M73" s="472">
        <v>437124</v>
      </c>
      <c r="N73" s="472">
        <v>655830</v>
      </c>
      <c r="O73" s="473">
        <v>38.949199999999998</v>
      </c>
      <c r="P73" s="474">
        <v>30.409800000000001</v>
      </c>
      <c r="Q73" s="483">
        <v>8.5393999999999988</v>
      </c>
      <c r="R73" s="485">
        <f t="shared" ref="R73:R77" si="132">Y73*-1</f>
        <v>0</v>
      </c>
      <c r="S73" s="475">
        <v>0</v>
      </c>
      <c r="T73" s="475">
        <v>-285360</v>
      </c>
      <c r="U73" s="475">
        <v>19008</v>
      </c>
      <c r="V73" s="475">
        <v>0</v>
      </c>
      <c r="W73" s="475">
        <v>0</v>
      </c>
      <c r="X73" s="475">
        <f t="shared" si="7"/>
        <v>-266352</v>
      </c>
      <c r="Y73" s="475">
        <v>0</v>
      </c>
      <c r="Z73" s="475">
        <v>0</v>
      </c>
      <c r="AA73" s="475">
        <v>0</v>
      </c>
      <c r="AB73" s="475">
        <f t="shared" ref="AB73:AB77" si="133">SUM(Y73:AA73)</f>
        <v>0</v>
      </c>
      <c r="AC73" s="475">
        <f>X73+AB73</f>
        <v>-266352</v>
      </c>
      <c r="AD73" s="70">
        <f>ROUND((X73+Y73+Z73)*33.8%,0)</f>
        <v>-90027</v>
      </c>
      <c r="AE73" s="70">
        <f>ROUND(X73*2%,0)</f>
        <v>-5327</v>
      </c>
      <c r="AF73" s="475">
        <v>0</v>
      </c>
      <c r="AG73" s="475">
        <v>0</v>
      </c>
      <c r="AH73" s="475">
        <f t="shared" ref="AH73:AH77" si="134">SUM(AF73:AG73)</f>
        <v>0</v>
      </c>
      <c r="AI73" s="475">
        <f t="shared" ref="AI73:AI77" si="135">AC73+AD73+AE73+AH73</f>
        <v>-361706</v>
      </c>
      <c r="AJ73" s="476">
        <v>0</v>
      </c>
      <c r="AK73" s="476">
        <v>0</v>
      </c>
      <c r="AL73" s="476">
        <v>0</v>
      </c>
      <c r="AM73" s="476">
        <v>-0.45</v>
      </c>
      <c r="AN73" s="476">
        <v>0</v>
      </c>
      <c r="AO73" s="476">
        <v>0.03</v>
      </c>
      <c r="AP73" s="476">
        <v>0</v>
      </c>
      <c r="AQ73" s="476">
        <v>0</v>
      </c>
      <c r="AR73" s="476">
        <f>AJ73+AL73+AM73+AO73+AP73</f>
        <v>-0.42000000000000004</v>
      </c>
      <c r="AS73" s="476">
        <f>AK73+AN73+AQ73</f>
        <v>0</v>
      </c>
      <c r="AT73" s="478">
        <f t="shared" ref="AT73:AT77" si="136">SUM(AR73:AS73)</f>
        <v>-0.42000000000000004</v>
      </c>
      <c r="AU73" s="484">
        <f>I73+AI73</f>
        <v>30175529</v>
      </c>
      <c r="AV73" s="475">
        <f>J73+X73</f>
        <v>21589837</v>
      </c>
      <c r="AW73" s="475">
        <f>K73+AB73</f>
        <v>150000</v>
      </c>
      <c r="AX73" s="475">
        <f t="shared" ref="AX73:AY77" si="137">L73+AD73</f>
        <v>7348065</v>
      </c>
      <c r="AY73" s="475">
        <f t="shared" si="137"/>
        <v>431797</v>
      </c>
      <c r="AZ73" s="475">
        <f>N73+AH73</f>
        <v>655830</v>
      </c>
      <c r="BA73" s="476">
        <f>O73+AT73</f>
        <v>38.529199999999996</v>
      </c>
      <c r="BB73" s="476">
        <f t="shared" ref="BB73:BC77" si="138">P73+AR73</f>
        <v>29.989799999999999</v>
      </c>
      <c r="BC73" s="478">
        <f t="shared" si="138"/>
        <v>8.5393999999999988</v>
      </c>
    </row>
    <row r="74" spans="1:55" s="234" customFormat="1" x14ac:dyDescent="0.2">
      <c r="A74" s="221">
        <v>14</v>
      </c>
      <c r="B74" s="222">
        <v>4440</v>
      </c>
      <c r="C74" s="222">
        <v>600074897</v>
      </c>
      <c r="D74" s="222">
        <v>48283029</v>
      </c>
      <c r="E74" s="220" t="s">
        <v>175</v>
      </c>
      <c r="F74" s="222">
        <v>3113</v>
      </c>
      <c r="G74" s="172" t="s">
        <v>312</v>
      </c>
      <c r="H74" s="223" t="s">
        <v>278</v>
      </c>
      <c r="I74" s="477">
        <v>3124652</v>
      </c>
      <c r="J74" s="472">
        <v>2286379</v>
      </c>
      <c r="K74" s="472">
        <v>0</v>
      </c>
      <c r="L74" s="472">
        <v>772796</v>
      </c>
      <c r="M74" s="472">
        <v>45727</v>
      </c>
      <c r="N74" s="472">
        <v>19750</v>
      </c>
      <c r="O74" s="473">
        <v>6.6000000000000005</v>
      </c>
      <c r="P74" s="474">
        <v>6.6000000000000005</v>
      </c>
      <c r="Q74" s="483">
        <v>0</v>
      </c>
      <c r="R74" s="485">
        <f t="shared" si="132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7"/>
        <v>0</v>
      </c>
      <c r="Y74" s="475">
        <v>0</v>
      </c>
      <c r="Z74" s="475">
        <v>0</v>
      </c>
      <c r="AA74" s="475">
        <v>0</v>
      </c>
      <c r="AB74" s="475">
        <f t="shared" si="133"/>
        <v>0</v>
      </c>
      <c r="AC74" s="475">
        <f>X74+AB74</f>
        <v>0</v>
      </c>
      <c r="AD74" s="70">
        <f>ROUND((X74+Y74+Z74)*33.8%,0)</f>
        <v>0</v>
      </c>
      <c r="AE74" s="70">
        <f>ROUND(X74*2%,0)</f>
        <v>0</v>
      </c>
      <c r="AF74" s="475">
        <v>0</v>
      </c>
      <c r="AG74" s="475">
        <v>0</v>
      </c>
      <c r="AH74" s="475">
        <f t="shared" si="134"/>
        <v>0</v>
      </c>
      <c r="AI74" s="475">
        <f t="shared" si="135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136"/>
        <v>0</v>
      </c>
      <c r="AU74" s="484">
        <f>I74+AI74</f>
        <v>3124652</v>
      </c>
      <c r="AV74" s="475">
        <f>J74+X74</f>
        <v>2286379</v>
      </c>
      <c r="AW74" s="475">
        <f>K74+AB74</f>
        <v>0</v>
      </c>
      <c r="AX74" s="475">
        <f t="shared" si="137"/>
        <v>772796</v>
      </c>
      <c r="AY74" s="475">
        <f t="shared" si="137"/>
        <v>45727</v>
      </c>
      <c r="AZ74" s="475">
        <f>N74+AH74</f>
        <v>19750</v>
      </c>
      <c r="BA74" s="476">
        <f>O74+AT74</f>
        <v>6.6000000000000005</v>
      </c>
      <c r="BB74" s="476">
        <f t="shared" si="138"/>
        <v>6.6000000000000005</v>
      </c>
      <c r="BC74" s="478">
        <f t="shared" si="138"/>
        <v>0</v>
      </c>
    </row>
    <row r="75" spans="1:55" s="234" customFormat="1" x14ac:dyDescent="0.2">
      <c r="A75" s="221">
        <v>14</v>
      </c>
      <c r="B75" s="222">
        <v>4440</v>
      </c>
      <c r="C75" s="222">
        <v>600074897</v>
      </c>
      <c r="D75" s="222">
        <v>48283029</v>
      </c>
      <c r="E75" s="220" t="s">
        <v>175</v>
      </c>
      <c r="F75" s="222">
        <v>3141</v>
      </c>
      <c r="G75" s="172" t="s">
        <v>315</v>
      </c>
      <c r="H75" s="223" t="s">
        <v>278</v>
      </c>
      <c r="I75" s="477">
        <v>3087629</v>
      </c>
      <c r="J75" s="472">
        <v>2254834</v>
      </c>
      <c r="K75" s="472">
        <v>0</v>
      </c>
      <c r="L75" s="472">
        <v>762134</v>
      </c>
      <c r="M75" s="472">
        <v>45097</v>
      </c>
      <c r="N75" s="472">
        <v>25564</v>
      </c>
      <c r="O75" s="473">
        <v>7.1</v>
      </c>
      <c r="P75" s="474">
        <v>0</v>
      </c>
      <c r="Q75" s="483">
        <v>7.1</v>
      </c>
      <c r="R75" s="485">
        <f t="shared" si="132"/>
        <v>0</v>
      </c>
      <c r="S75" s="475">
        <v>0</v>
      </c>
      <c r="T75" s="475">
        <v>14020</v>
      </c>
      <c r="U75" s="475">
        <v>0</v>
      </c>
      <c r="V75" s="475">
        <v>0</v>
      </c>
      <c r="W75" s="475">
        <v>0</v>
      </c>
      <c r="X75" s="475">
        <f t="shared" si="7"/>
        <v>14020</v>
      </c>
      <c r="Y75" s="475">
        <v>0</v>
      </c>
      <c r="Z75" s="475">
        <v>0</v>
      </c>
      <c r="AA75" s="475">
        <v>0</v>
      </c>
      <c r="AB75" s="475">
        <f t="shared" si="133"/>
        <v>0</v>
      </c>
      <c r="AC75" s="475">
        <f>X75+AB75</f>
        <v>14020</v>
      </c>
      <c r="AD75" s="70">
        <f>ROUND((X75+Y75+Z75)*33.8%,0)</f>
        <v>4739</v>
      </c>
      <c r="AE75" s="70">
        <f>ROUND(X75*2%,0)</f>
        <v>280</v>
      </c>
      <c r="AF75" s="475">
        <v>0</v>
      </c>
      <c r="AG75" s="475">
        <v>0</v>
      </c>
      <c r="AH75" s="475">
        <f t="shared" si="134"/>
        <v>0</v>
      </c>
      <c r="AI75" s="475">
        <f t="shared" si="135"/>
        <v>19039</v>
      </c>
      <c r="AJ75" s="476">
        <v>0</v>
      </c>
      <c r="AK75" s="476">
        <v>0</v>
      </c>
      <c r="AL75" s="476">
        <v>0</v>
      </c>
      <c r="AM75" s="476">
        <v>0</v>
      </c>
      <c r="AN75" s="476">
        <v>0.04</v>
      </c>
      <c r="AO75" s="476">
        <v>0</v>
      </c>
      <c r="AP75" s="476">
        <v>0</v>
      </c>
      <c r="AQ75" s="476">
        <v>0</v>
      </c>
      <c r="AR75" s="476">
        <f>AJ75+AL75+AM75+AO75+AP75</f>
        <v>0</v>
      </c>
      <c r="AS75" s="476">
        <f>AK75+AN75+AQ75</f>
        <v>0.04</v>
      </c>
      <c r="AT75" s="478">
        <f t="shared" si="136"/>
        <v>0.04</v>
      </c>
      <c r="AU75" s="484">
        <f>I75+AI75</f>
        <v>3106668</v>
      </c>
      <c r="AV75" s="475">
        <f>J75+X75</f>
        <v>2268854</v>
      </c>
      <c r="AW75" s="475">
        <f>K75+AB75</f>
        <v>0</v>
      </c>
      <c r="AX75" s="475">
        <f t="shared" si="137"/>
        <v>766873</v>
      </c>
      <c r="AY75" s="475">
        <f t="shared" si="137"/>
        <v>45377</v>
      </c>
      <c r="AZ75" s="475">
        <f>N75+AH75</f>
        <v>25564</v>
      </c>
      <c r="BA75" s="476">
        <f>O75+AT75</f>
        <v>7.14</v>
      </c>
      <c r="BB75" s="476">
        <f t="shared" si="138"/>
        <v>0</v>
      </c>
      <c r="BC75" s="478">
        <f t="shared" si="138"/>
        <v>7.14</v>
      </c>
    </row>
    <row r="76" spans="1:55" s="234" customFormat="1" x14ac:dyDescent="0.2">
      <c r="A76" s="221">
        <v>14</v>
      </c>
      <c r="B76" s="222">
        <v>4440</v>
      </c>
      <c r="C76" s="222">
        <v>600074897</v>
      </c>
      <c r="D76" s="222">
        <v>48283029</v>
      </c>
      <c r="E76" s="220" t="s">
        <v>175</v>
      </c>
      <c r="F76" s="222">
        <v>3143</v>
      </c>
      <c r="G76" s="172" t="s">
        <v>626</v>
      </c>
      <c r="H76" s="239" t="s">
        <v>277</v>
      </c>
      <c r="I76" s="477">
        <v>2092200</v>
      </c>
      <c r="J76" s="472">
        <v>1540648</v>
      </c>
      <c r="K76" s="472">
        <v>0</v>
      </c>
      <c r="L76" s="472">
        <v>520739</v>
      </c>
      <c r="M76" s="472">
        <v>30813</v>
      </c>
      <c r="N76" s="472">
        <v>0</v>
      </c>
      <c r="O76" s="473">
        <v>3.2321</v>
      </c>
      <c r="P76" s="474">
        <v>3.2321</v>
      </c>
      <c r="Q76" s="483">
        <v>0</v>
      </c>
      <c r="R76" s="485">
        <f t="shared" si="132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7"/>
        <v>0</v>
      </c>
      <c r="Y76" s="475">
        <v>0</v>
      </c>
      <c r="Z76" s="475">
        <v>0</v>
      </c>
      <c r="AA76" s="475">
        <v>0</v>
      </c>
      <c r="AB76" s="475">
        <f t="shared" si="133"/>
        <v>0</v>
      </c>
      <c r="AC76" s="475">
        <f>X76+AB76</f>
        <v>0</v>
      </c>
      <c r="AD76" s="70">
        <f>ROUND((X76+Y76+Z76)*33.8%,0)</f>
        <v>0</v>
      </c>
      <c r="AE76" s="70">
        <f>ROUND(X76*2%,0)</f>
        <v>0</v>
      </c>
      <c r="AF76" s="475">
        <v>0</v>
      </c>
      <c r="AG76" s="475">
        <v>0</v>
      </c>
      <c r="AH76" s="475">
        <f t="shared" si="134"/>
        <v>0</v>
      </c>
      <c r="AI76" s="475">
        <f t="shared" si="135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si="136"/>
        <v>0</v>
      </c>
      <c r="AU76" s="484">
        <f>I76+AI76</f>
        <v>2092200</v>
      </c>
      <c r="AV76" s="475">
        <f>J76+X76</f>
        <v>1540648</v>
      </c>
      <c r="AW76" s="475">
        <f>K76+AB76</f>
        <v>0</v>
      </c>
      <c r="AX76" s="475">
        <f t="shared" si="137"/>
        <v>520739</v>
      </c>
      <c r="AY76" s="475">
        <f t="shared" si="137"/>
        <v>30813</v>
      </c>
      <c r="AZ76" s="475">
        <f>N76+AH76</f>
        <v>0</v>
      </c>
      <c r="BA76" s="476">
        <f>O76+AT76</f>
        <v>3.2321</v>
      </c>
      <c r="BB76" s="476">
        <f t="shared" si="138"/>
        <v>3.2321</v>
      </c>
      <c r="BC76" s="478">
        <f t="shared" si="138"/>
        <v>0</v>
      </c>
    </row>
    <row r="77" spans="1:55" s="234" customFormat="1" x14ac:dyDescent="0.2">
      <c r="A77" s="221">
        <v>14</v>
      </c>
      <c r="B77" s="222">
        <v>4440</v>
      </c>
      <c r="C77" s="222">
        <v>600074897</v>
      </c>
      <c r="D77" s="222">
        <v>48283029</v>
      </c>
      <c r="E77" s="220" t="s">
        <v>175</v>
      </c>
      <c r="F77" s="222">
        <v>3143</v>
      </c>
      <c r="G77" s="172" t="s">
        <v>627</v>
      </c>
      <c r="H77" s="239" t="s">
        <v>278</v>
      </c>
      <c r="I77" s="477">
        <v>88452</v>
      </c>
      <c r="J77" s="472">
        <v>62549</v>
      </c>
      <c r="K77" s="472">
        <v>0</v>
      </c>
      <c r="L77" s="472">
        <v>21142</v>
      </c>
      <c r="M77" s="472">
        <v>1251</v>
      </c>
      <c r="N77" s="472">
        <v>3510</v>
      </c>
      <c r="O77" s="473">
        <v>0.24</v>
      </c>
      <c r="P77" s="474">
        <v>0</v>
      </c>
      <c r="Q77" s="483">
        <v>0.24</v>
      </c>
      <c r="R77" s="485">
        <f t="shared" si="132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ref="X77:X140" si="139">SUM(R77:W77)</f>
        <v>0</v>
      </c>
      <c r="Y77" s="475">
        <v>0</v>
      </c>
      <c r="Z77" s="475">
        <v>0</v>
      </c>
      <c r="AA77" s="475">
        <v>0</v>
      </c>
      <c r="AB77" s="475">
        <f t="shared" si="133"/>
        <v>0</v>
      </c>
      <c r="AC77" s="475">
        <f>X77+AB77</f>
        <v>0</v>
      </c>
      <c r="AD77" s="70">
        <f>ROUND((X77+Y77+Z77)*33.8%,0)</f>
        <v>0</v>
      </c>
      <c r="AE77" s="70">
        <f>ROUND(X77*2%,0)</f>
        <v>0</v>
      </c>
      <c r="AF77" s="475">
        <v>0</v>
      </c>
      <c r="AG77" s="475">
        <v>0</v>
      </c>
      <c r="AH77" s="475">
        <f t="shared" si="134"/>
        <v>0</v>
      </c>
      <c r="AI77" s="475">
        <f t="shared" si="135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136"/>
        <v>0</v>
      </c>
      <c r="AU77" s="484">
        <f>I77+AI77</f>
        <v>88452</v>
      </c>
      <c r="AV77" s="475">
        <f>J77+X77</f>
        <v>62549</v>
      </c>
      <c r="AW77" s="475">
        <f>K77+AB77</f>
        <v>0</v>
      </c>
      <c r="AX77" s="475">
        <f t="shared" si="137"/>
        <v>21142</v>
      </c>
      <c r="AY77" s="475">
        <f t="shared" si="137"/>
        <v>1251</v>
      </c>
      <c r="AZ77" s="475">
        <f>N77+AH77</f>
        <v>3510</v>
      </c>
      <c r="BA77" s="476">
        <f>O77+AT77</f>
        <v>0.24</v>
      </c>
      <c r="BB77" s="476">
        <f t="shared" si="138"/>
        <v>0</v>
      </c>
      <c r="BC77" s="478">
        <f t="shared" si="138"/>
        <v>0.24</v>
      </c>
    </row>
    <row r="78" spans="1:55" s="234" customFormat="1" x14ac:dyDescent="0.2">
      <c r="A78" s="162">
        <v>14</v>
      </c>
      <c r="B78" s="18">
        <v>4440</v>
      </c>
      <c r="C78" s="18">
        <v>600074897</v>
      </c>
      <c r="D78" s="18">
        <v>48283029</v>
      </c>
      <c r="E78" s="171" t="s">
        <v>176</v>
      </c>
      <c r="F78" s="18"/>
      <c r="G78" s="161"/>
      <c r="H78" s="195"/>
      <c r="I78" s="529">
        <v>38930168</v>
      </c>
      <c r="J78" s="526">
        <v>28000599</v>
      </c>
      <c r="K78" s="526">
        <v>150000</v>
      </c>
      <c r="L78" s="526">
        <v>9514903</v>
      </c>
      <c r="M78" s="526">
        <v>560012</v>
      </c>
      <c r="N78" s="526">
        <v>704654</v>
      </c>
      <c r="O78" s="527">
        <v>56.121300000000005</v>
      </c>
      <c r="P78" s="527">
        <v>40.241900000000001</v>
      </c>
      <c r="Q78" s="531">
        <v>15.879399999999999</v>
      </c>
      <c r="R78" s="529">
        <f t="shared" ref="R78:BC78" si="140">SUM(R73:R77)</f>
        <v>0</v>
      </c>
      <c r="S78" s="526">
        <f t="shared" si="140"/>
        <v>0</v>
      </c>
      <c r="T78" s="526">
        <f t="shared" si="140"/>
        <v>-271340</v>
      </c>
      <c r="U78" s="526">
        <f t="shared" si="140"/>
        <v>19008</v>
      </c>
      <c r="V78" s="526">
        <f t="shared" si="140"/>
        <v>0</v>
      </c>
      <c r="W78" s="526">
        <f t="shared" si="140"/>
        <v>0</v>
      </c>
      <c r="X78" s="526">
        <f t="shared" si="140"/>
        <v>-252332</v>
      </c>
      <c r="Y78" s="526">
        <f t="shared" si="140"/>
        <v>0</v>
      </c>
      <c r="Z78" s="526">
        <f t="shared" si="140"/>
        <v>0</v>
      </c>
      <c r="AA78" s="526">
        <f t="shared" si="140"/>
        <v>0</v>
      </c>
      <c r="AB78" s="526">
        <f t="shared" si="140"/>
        <v>0</v>
      </c>
      <c r="AC78" s="526">
        <f t="shared" si="140"/>
        <v>-252332</v>
      </c>
      <c r="AD78" s="526">
        <f t="shared" si="140"/>
        <v>-85288</v>
      </c>
      <c r="AE78" s="526">
        <f t="shared" si="140"/>
        <v>-5047</v>
      </c>
      <c r="AF78" s="526">
        <f t="shared" si="140"/>
        <v>0</v>
      </c>
      <c r="AG78" s="526">
        <f t="shared" si="140"/>
        <v>0</v>
      </c>
      <c r="AH78" s="526">
        <f t="shared" si="140"/>
        <v>0</v>
      </c>
      <c r="AI78" s="526">
        <f t="shared" si="140"/>
        <v>-342667</v>
      </c>
      <c r="AJ78" s="527">
        <f t="shared" si="140"/>
        <v>0</v>
      </c>
      <c r="AK78" s="527">
        <f t="shared" si="140"/>
        <v>0</v>
      </c>
      <c r="AL78" s="527">
        <f t="shared" si="140"/>
        <v>0</v>
      </c>
      <c r="AM78" s="527">
        <f t="shared" si="140"/>
        <v>-0.45</v>
      </c>
      <c r="AN78" s="527">
        <f t="shared" si="140"/>
        <v>0.04</v>
      </c>
      <c r="AO78" s="527">
        <f t="shared" si="140"/>
        <v>0.03</v>
      </c>
      <c r="AP78" s="527">
        <f t="shared" si="140"/>
        <v>0</v>
      </c>
      <c r="AQ78" s="527">
        <f t="shared" si="140"/>
        <v>0</v>
      </c>
      <c r="AR78" s="527">
        <f t="shared" si="140"/>
        <v>-0.42000000000000004</v>
      </c>
      <c r="AS78" s="527">
        <f t="shared" si="140"/>
        <v>0.04</v>
      </c>
      <c r="AT78" s="40">
        <f t="shared" si="140"/>
        <v>-0.38000000000000006</v>
      </c>
      <c r="AU78" s="533">
        <f t="shared" si="140"/>
        <v>38587501</v>
      </c>
      <c r="AV78" s="526">
        <f t="shared" si="140"/>
        <v>27748267</v>
      </c>
      <c r="AW78" s="526">
        <f t="shared" si="140"/>
        <v>150000</v>
      </c>
      <c r="AX78" s="526">
        <f t="shared" si="140"/>
        <v>9429615</v>
      </c>
      <c r="AY78" s="526">
        <f t="shared" si="140"/>
        <v>554965</v>
      </c>
      <c r="AZ78" s="526">
        <f t="shared" si="140"/>
        <v>704654</v>
      </c>
      <c r="BA78" s="527">
        <f t="shared" si="140"/>
        <v>55.741300000000003</v>
      </c>
      <c r="BB78" s="527">
        <f t="shared" si="140"/>
        <v>39.821899999999999</v>
      </c>
      <c r="BC78" s="40">
        <f t="shared" si="140"/>
        <v>15.919399999999998</v>
      </c>
    </row>
    <row r="79" spans="1:55" s="234" customFormat="1" x14ac:dyDescent="0.2">
      <c r="A79" s="221">
        <v>15</v>
      </c>
      <c r="B79" s="222">
        <v>4442</v>
      </c>
      <c r="C79" s="222">
        <v>600074901</v>
      </c>
      <c r="D79" s="222">
        <v>48283061</v>
      </c>
      <c r="E79" s="220" t="s">
        <v>177</v>
      </c>
      <c r="F79" s="222">
        <v>3113</v>
      </c>
      <c r="G79" s="172" t="s">
        <v>314</v>
      </c>
      <c r="H79" s="223" t="s">
        <v>277</v>
      </c>
      <c r="I79" s="477">
        <v>20518291</v>
      </c>
      <c r="J79" s="472">
        <v>14766842</v>
      </c>
      <c r="K79" s="472">
        <v>40000</v>
      </c>
      <c r="L79" s="472">
        <v>5004712</v>
      </c>
      <c r="M79" s="472">
        <v>295337</v>
      </c>
      <c r="N79" s="472">
        <v>411400</v>
      </c>
      <c r="O79" s="473">
        <v>25.237099999999998</v>
      </c>
      <c r="P79" s="474">
        <v>19</v>
      </c>
      <c r="Q79" s="483">
        <v>6.2370999999999999</v>
      </c>
      <c r="R79" s="485">
        <f t="shared" ref="R79:R84" si="141">Y79*-1</f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39"/>
        <v>0</v>
      </c>
      <c r="Y79" s="475">
        <v>0</v>
      </c>
      <c r="Z79" s="475">
        <v>0</v>
      </c>
      <c r="AA79" s="475">
        <v>0</v>
      </c>
      <c r="AB79" s="475">
        <f t="shared" ref="AB79:AB84" si="142">SUM(Y79:AA79)</f>
        <v>0</v>
      </c>
      <c r="AC79" s="475">
        <f t="shared" ref="AC79:AC84" si="143">X79+AB79</f>
        <v>0</v>
      </c>
      <c r="AD79" s="70">
        <f t="shared" ref="AD79:AD84" si="144">ROUND((X79+Y79+Z79)*33.8%,0)</f>
        <v>0</v>
      </c>
      <c r="AE79" s="70">
        <f t="shared" ref="AE79:AE84" si="145">ROUND(X79*2%,0)</f>
        <v>0</v>
      </c>
      <c r="AF79" s="475">
        <v>0</v>
      </c>
      <c r="AG79" s="475">
        <v>0</v>
      </c>
      <c r="AH79" s="475">
        <f t="shared" ref="AH79:AH84" si="146">SUM(AF79:AG79)</f>
        <v>0</v>
      </c>
      <c r="AI79" s="475">
        <f t="shared" ref="AI79:AI84" si="147">AC79+AD79+AE79+AH79</f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 t="shared" ref="AR79:AR84" si="148">AJ79+AL79+AM79+AO79+AP79</f>
        <v>0</v>
      </c>
      <c r="AS79" s="476">
        <f t="shared" ref="AS79:AS84" si="149">AK79+AN79+AQ79</f>
        <v>0</v>
      </c>
      <c r="AT79" s="478">
        <f t="shared" ref="AT79:AT84" si="150">SUM(AR79:AS79)</f>
        <v>0</v>
      </c>
      <c r="AU79" s="484">
        <f t="shared" ref="AU79:AU84" si="151">I79+AI79</f>
        <v>20518291</v>
      </c>
      <c r="AV79" s="475">
        <f t="shared" ref="AV79:AV84" si="152">J79+X79</f>
        <v>14766842</v>
      </c>
      <c r="AW79" s="475">
        <f t="shared" ref="AW79:AW84" si="153">K79+AB79</f>
        <v>40000</v>
      </c>
      <c r="AX79" s="475">
        <f t="shared" ref="AX79:AY84" si="154">L79+AD79</f>
        <v>5004712</v>
      </c>
      <c r="AY79" s="475">
        <f t="shared" si="154"/>
        <v>295337</v>
      </c>
      <c r="AZ79" s="475">
        <f t="shared" ref="AZ79:AZ84" si="155">N79+AH79</f>
        <v>411400</v>
      </c>
      <c r="BA79" s="476">
        <f t="shared" ref="BA79:BA84" si="156">O79+AT79</f>
        <v>25.237099999999998</v>
      </c>
      <c r="BB79" s="476">
        <f t="shared" ref="BB79:BC84" si="157">P79+AR79</f>
        <v>19</v>
      </c>
      <c r="BC79" s="478">
        <f t="shared" si="157"/>
        <v>6.2370999999999999</v>
      </c>
    </row>
    <row r="80" spans="1:55" s="234" customFormat="1" x14ac:dyDescent="0.2">
      <c r="A80" s="221">
        <v>15</v>
      </c>
      <c r="B80" s="222">
        <v>4442</v>
      </c>
      <c r="C80" s="222">
        <v>600074901</v>
      </c>
      <c r="D80" s="222">
        <v>48283061</v>
      </c>
      <c r="E80" s="220" t="s">
        <v>177</v>
      </c>
      <c r="F80" s="222">
        <v>3113</v>
      </c>
      <c r="G80" s="172" t="s">
        <v>312</v>
      </c>
      <c r="H80" s="223" t="s">
        <v>278</v>
      </c>
      <c r="I80" s="477">
        <v>1829613</v>
      </c>
      <c r="J80" s="472">
        <v>1347285</v>
      </c>
      <c r="K80" s="472">
        <v>0</v>
      </c>
      <c r="L80" s="472">
        <v>455383</v>
      </c>
      <c r="M80" s="472">
        <v>26945</v>
      </c>
      <c r="N80" s="472">
        <v>0</v>
      </c>
      <c r="O80" s="473">
        <v>3.89</v>
      </c>
      <c r="P80" s="474">
        <v>3.89</v>
      </c>
      <c r="Q80" s="483">
        <v>0</v>
      </c>
      <c r="R80" s="485">
        <f t="shared" si="141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39"/>
        <v>0</v>
      </c>
      <c r="Y80" s="475">
        <v>0</v>
      </c>
      <c r="Z80" s="475">
        <v>0</v>
      </c>
      <c r="AA80" s="475">
        <v>0</v>
      </c>
      <c r="AB80" s="475">
        <f t="shared" si="142"/>
        <v>0</v>
      </c>
      <c r="AC80" s="475">
        <f t="shared" si="143"/>
        <v>0</v>
      </c>
      <c r="AD80" s="70">
        <f t="shared" si="144"/>
        <v>0</v>
      </c>
      <c r="AE80" s="70">
        <f t="shared" si="145"/>
        <v>0</v>
      </c>
      <c r="AF80" s="475">
        <v>9250</v>
      </c>
      <c r="AG80" s="475">
        <v>0</v>
      </c>
      <c r="AH80" s="475">
        <f t="shared" si="146"/>
        <v>9250</v>
      </c>
      <c r="AI80" s="475">
        <f t="shared" si="147"/>
        <v>9250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si="148"/>
        <v>0</v>
      </c>
      <c r="AS80" s="476">
        <f t="shared" si="149"/>
        <v>0</v>
      </c>
      <c r="AT80" s="478">
        <f t="shared" si="150"/>
        <v>0</v>
      </c>
      <c r="AU80" s="484">
        <f t="shared" si="151"/>
        <v>1838863</v>
      </c>
      <c r="AV80" s="475">
        <f t="shared" si="152"/>
        <v>1347285</v>
      </c>
      <c r="AW80" s="475">
        <f t="shared" si="153"/>
        <v>0</v>
      </c>
      <c r="AX80" s="475">
        <f t="shared" si="154"/>
        <v>455383</v>
      </c>
      <c r="AY80" s="475">
        <f t="shared" si="154"/>
        <v>26945</v>
      </c>
      <c r="AZ80" s="475">
        <f t="shared" si="155"/>
        <v>9250</v>
      </c>
      <c r="BA80" s="476">
        <f t="shared" si="156"/>
        <v>3.89</v>
      </c>
      <c r="BB80" s="476">
        <f t="shared" si="157"/>
        <v>3.89</v>
      </c>
      <c r="BC80" s="478">
        <f t="shared" si="157"/>
        <v>0</v>
      </c>
    </row>
    <row r="81" spans="1:55" s="234" customFormat="1" x14ac:dyDescent="0.2">
      <c r="A81" s="221">
        <v>15</v>
      </c>
      <c r="B81" s="222">
        <v>4442</v>
      </c>
      <c r="C81" s="222">
        <v>600074901</v>
      </c>
      <c r="D81" s="222">
        <v>48283061</v>
      </c>
      <c r="E81" s="220" t="s">
        <v>177</v>
      </c>
      <c r="F81" s="222">
        <v>3141</v>
      </c>
      <c r="G81" s="172" t="s">
        <v>315</v>
      </c>
      <c r="H81" s="223" t="s">
        <v>278</v>
      </c>
      <c r="I81" s="477">
        <v>1603746</v>
      </c>
      <c r="J81" s="472">
        <v>1161926</v>
      </c>
      <c r="K81" s="472">
        <v>10000</v>
      </c>
      <c r="L81" s="472">
        <v>396111</v>
      </c>
      <c r="M81" s="472">
        <v>23239</v>
      </c>
      <c r="N81" s="472">
        <v>12470</v>
      </c>
      <c r="O81" s="473">
        <v>3.69</v>
      </c>
      <c r="P81" s="474">
        <v>0</v>
      </c>
      <c r="Q81" s="483">
        <v>3.69</v>
      </c>
      <c r="R81" s="485">
        <f t="shared" si="141"/>
        <v>0</v>
      </c>
      <c r="S81" s="475">
        <v>0</v>
      </c>
      <c r="T81" s="475">
        <v>-18770</v>
      </c>
      <c r="U81" s="475">
        <v>0</v>
      </c>
      <c r="V81" s="475">
        <v>0</v>
      </c>
      <c r="W81" s="475">
        <v>0</v>
      </c>
      <c r="X81" s="475">
        <f t="shared" si="139"/>
        <v>-18770</v>
      </c>
      <c r="Y81" s="475">
        <v>0</v>
      </c>
      <c r="Z81" s="475">
        <v>0</v>
      </c>
      <c r="AA81" s="475">
        <v>0</v>
      </c>
      <c r="AB81" s="475">
        <f t="shared" si="142"/>
        <v>0</v>
      </c>
      <c r="AC81" s="475">
        <f t="shared" si="143"/>
        <v>-18770</v>
      </c>
      <c r="AD81" s="70">
        <f t="shared" si="144"/>
        <v>-6344</v>
      </c>
      <c r="AE81" s="70">
        <f t="shared" si="145"/>
        <v>-375</v>
      </c>
      <c r="AF81" s="475">
        <v>0</v>
      </c>
      <c r="AG81" s="475">
        <v>0</v>
      </c>
      <c r="AH81" s="475">
        <f t="shared" si="146"/>
        <v>0</v>
      </c>
      <c r="AI81" s="475">
        <f t="shared" si="147"/>
        <v>-25489</v>
      </c>
      <c r="AJ81" s="476">
        <v>0</v>
      </c>
      <c r="AK81" s="476">
        <v>0</v>
      </c>
      <c r="AL81" s="476">
        <v>0</v>
      </c>
      <c r="AM81" s="476">
        <v>0</v>
      </c>
      <c r="AN81" s="476">
        <v>-0.06</v>
      </c>
      <c r="AO81" s="476">
        <v>0</v>
      </c>
      <c r="AP81" s="476">
        <v>0</v>
      </c>
      <c r="AQ81" s="476">
        <v>0</v>
      </c>
      <c r="AR81" s="476">
        <f t="shared" si="148"/>
        <v>0</v>
      </c>
      <c r="AS81" s="476">
        <f t="shared" si="149"/>
        <v>-0.06</v>
      </c>
      <c r="AT81" s="478">
        <f t="shared" si="150"/>
        <v>-0.06</v>
      </c>
      <c r="AU81" s="484">
        <f t="shared" si="151"/>
        <v>1578257</v>
      </c>
      <c r="AV81" s="475">
        <f t="shared" si="152"/>
        <v>1143156</v>
      </c>
      <c r="AW81" s="475">
        <f t="shared" si="153"/>
        <v>10000</v>
      </c>
      <c r="AX81" s="475">
        <f t="shared" si="154"/>
        <v>389767</v>
      </c>
      <c r="AY81" s="475">
        <f t="shared" si="154"/>
        <v>22864</v>
      </c>
      <c r="AZ81" s="475">
        <f t="shared" si="155"/>
        <v>12470</v>
      </c>
      <c r="BA81" s="476">
        <f t="shared" si="156"/>
        <v>3.63</v>
      </c>
      <c r="BB81" s="476">
        <f t="shared" si="157"/>
        <v>0</v>
      </c>
      <c r="BC81" s="478">
        <f t="shared" si="157"/>
        <v>3.63</v>
      </c>
    </row>
    <row r="82" spans="1:55" s="234" customFormat="1" x14ac:dyDescent="0.2">
      <c r="A82" s="221">
        <v>15</v>
      </c>
      <c r="B82" s="222">
        <v>4442</v>
      </c>
      <c r="C82" s="222">
        <v>600074901</v>
      </c>
      <c r="D82" s="222">
        <v>48283061</v>
      </c>
      <c r="E82" s="215" t="s">
        <v>177</v>
      </c>
      <c r="F82" s="222">
        <v>3143</v>
      </c>
      <c r="G82" s="172" t="s">
        <v>626</v>
      </c>
      <c r="H82" s="239" t="s">
        <v>277</v>
      </c>
      <c r="I82" s="477">
        <v>1837037</v>
      </c>
      <c r="J82" s="472">
        <v>1342899</v>
      </c>
      <c r="K82" s="472">
        <v>10000</v>
      </c>
      <c r="L82" s="472">
        <v>457280</v>
      </c>
      <c r="M82" s="472">
        <v>26858</v>
      </c>
      <c r="N82" s="472">
        <v>0</v>
      </c>
      <c r="O82" s="473">
        <v>2.6551</v>
      </c>
      <c r="P82" s="474">
        <v>2.6551</v>
      </c>
      <c r="Q82" s="483">
        <v>0</v>
      </c>
      <c r="R82" s="485">
        <f t="shared" si="141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39"/>
        <v>0</v>
      </c>
      <c r="Y82" s="475">
        <v>0</v>
      </c>
      <c r="Z82" s="475">
        <v>0</v>
      </c>
      <c r="AA82" s="475">
        <v>0</v>
      </c>
      <c r="AB82" s="475">
        <f t="shared" si="142"/>
        <v>0</v>
      </c>
      <c r="AC82" s="475">
        <f t="shared" si="143"/>
        <v>0</v>
      </c>
      <c r="AD82" s="70">
        <f t="shared" si="144"/>
        <v>0</v>
      </c>
      <c r="AE82" s="70">
        <f t="shared" si="145"/>
        <v>0</v>
      </c>
      <c r="AF82" s="475">
        <v>0</v>
      </c>
      <c r="AG82" s="475">
        <v>0</v>
      </c>
      <c r="AH82" s="475">
        <f t="shared" si="146"/>
        <v>0</v>
      </c>
      <c r="AI82" s="475">
        <f t="shared" si="147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48"/>
        <v>0</v>
      </c>
      <c r="AS82" s="476">
        <f t="shared" si="149"/>
        <v>0</v>
      </c>
      <c r="AT82" s="478">
        <f t="shared" si="150"/>
        <v>0</v>
      </c>
      <c r="AU82" s="484">
        <f t="shared" si="151"/>
        <v>1837037</v>
      </c>
      <c r="AV82" s="475">
        <f t="shared" si="152"/>
        <v>1342899</v>
      </c>
      <c r="AW82" s="475">
        <f t="shared" si="153"/>
        <v>10000</v>
      </c>
      <c r="AX82" s="475">
        <f t="shared" si="154"/>
        <v>457280</v>
      </c>
      <c r="AY82" s="475">
        <f t="shared" si="154"/>
        <v>26858</v>
      </c>
      <c r="AZ82" s="475">
        <f t="shared" si="155"/>
        <v>0</v>
      </c>
      <c r="BA82" s="476">
        <f t="shared" si="156"/>
        <v>2.6551</v>
      </c>
      <c r="BB82" s="476">
        <f t="shared" si="157"/>
        <v>2.6551</v>
      </c>
      <c r="BC82" s="478">
        <f t="shared" si="157"/>
        <v>0</v>
      </c>
    </row>
    <row r="83" spans="1:55" s="234" customFormat="1" x14ac:dyDescent="0.2">
      <c r="A83" s="221">
        <v>15</v>
      </c>
      <c r="B83" s="222">
        <v>4442</v>
      </c>
      <c r="C83" s="222">
        <v>600074901</v>
      </c>
      <c r="D83" s="222">
        <v>48283061</v>
      </c>
      <c r="E83" s="215" t="s">
        <v>177</v>
      </c>
      <c r="F83" s="222">
        <v>3143</v>
      </c>
      <c r="G83" s="172" t="s">
        <v>627</v>
      </c>
      <c r="H83" s="239" t="s">
        <v>278</v>
      </c>
      <c r="I83" s="477">
        <v>57456</v>
      </c>
      <c r="J83" s="472">
        <v>40630</v>
      </c>
      <c r="K83" s="472">
        <v>0</v>
      </c>
      <c r="L83" s="472">
        <v>13733</v>
      </c>
      <c r="M83" s="472">
        <v>813</v>
      </c>
      <c r="N83" s="472">
        <v>2280</v>
      </c>
      <c r="O83" s="473">
        <v>0.16</v>
      </c>
      <c r="P83" s="474">
        <v>0</v>
      </c>
      <c r="Q83" s="483">
        <v>0.16</v>
      </c>
      <c r="R83" s="485">
        <f t="shared" si="141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39"/>
        <v>0</v>
      </c>
      <c r="Y83" s="475">
        <v>0</v>
      </c>
      <c r="Z83" s="475">
        <v>0</v>
      </c>
      <c r="AA83" s="475">
        <v>0</v>
      </c>
      <c r="AB83" s="475">
        <f t="shared" si="142"/>
        <v>0</v>
      </c>
      <c r="AC83" s="475">
        <f t="shared" si="143"/>
        <v>0</v>
      </c>
      <c r="AD83" s="70">
        <f t="shared" si="144"/>
        <v>0</v>
      </c>
      <c r="AE83" s="70">
        <f t="shared" si="145"/>
        <v>0</v>
      </c>
      <c r="AF83" s="475">
        <v>0</v>
      </c>
      <c r="AG83" s="475">
        <v>0</v>
      </c>
      <c r="AH83" s="475">
        <f t="shared" si="146"/>
        <v>0</v>
      </c>
      <c r="AI83" s="475">
        <f t="shared" si="147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si="148"/>
        <v>0</v>
      </c>
      <c r="AS83" s="476">
        <f t="shared" si="149"/>
        <v>0</v>
      </c>
      <c r="AT83" s="478">
        <f t="shared" si="150"/>
        <v>0</v>
      </c>
      <c r="AU83" s="484">
        <f t="shared" si="151"/>
        <v>57456</v>
      </c>
      <c r="AV83" s="475">
        <f t="shared" si="152"/>
        <v>40630</v>
      </c>
      <c r="AW83" s="475">
        <f t="shared" si="153"/>
        <v>0</v>
      </c>
      <c r="AX83" s="475">
        <f t="shared" si="154"/>
        <v>13733</v>
      </c>
      <c r="AY83" s="475">
        <f t="shared" si="154"/>
        <v>813</v>
      </c>
      <c r="AZ83" s="475">
        <f t="shared" si="155"/>
        <v>2280</v>
      </c>
      <c r="BA83" s="476">
        <f t="shared" si="156"/>
        <v>0.16</v>
      </c>
      <c r="BB83" s="476">
        <f t="shared" si="157"/>
        <v>0</v>
      </c>
      <c r="BC83" s="478">
        <f t="shared" si="157"/>
        <v>0.16</v>
      </c>
    </row>
    <row r="84" spans="1:55" s="234" customFormat="1" x14ac:dyDescent="0.2">
      <c r="A84" s="221">
        <v>15</v>
      </c>
      <c r="B84" s="222">
        <v>4442</v>
      </c>
      <c r="C84" s="222">
        <v>600074901</v>
      </c>
      <c r="D84" s="222">
        <v>48283061</v>
      </c>
      <c r="E84" s="215" t="s">
        <v>177</v>
      </c>
      <c r="F84" s="222">
        <v>3143</v>
      </c>
      <c r="G84" s="172" t="s">
        <v>317</v>
      </c>
      <c r="H84" s="239" t="s">
        <v>278</v>
      </c>
      <c r="I84" s="477">
        <v>255018</v>
      </c>
      <c r="J84" s="472">
        <v>187510</v>
      </c>
      <c r="K84" s="472">
        <v>0</v>
      </c>
      <c r="L84" s="472">
        <v>63378</v>
      </c>
      <c r="M84" s="472">
        <v>3750</v>
      </c>
      <c r="N84" s="472">
        <v>380</v>
      </c>
      <c r="O84" s="473">
        <v>0.39999999999999997</v>
      </c>
      <c r="P84" s="474">
        <v>0.36</v>
      </c>
      <c r="Q84" s="483">
        <v>0.04</v>
      </c>
      <c r="R84" s="485">
        <f t="shared" si="141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39"/>
        <v>0</v>
      </c>
      <c r="Y84" s="475">
        <v>0</v>
      </c>
      <c r="Z84" s="475">
        <v>0</v>
      </c>
      <c r="AA84" s="475">
        <v>0</v>
      </c>
      <c r="AB84" s="475">
        <f t="shared" si="142"/>
        <v>0</v>
      </c>
      <c r="AC84" s="475">
        <f t="shared" si="143"/>
        <v>0</v>
      </c>
      <c r="AD84" s="70">
        <f t="shared" si="144"/>
        <v>0</v>
      </c>
      <c r="AE84" s="70">
        <f t="shared" si="145"/>
        <v>0</v>
      </c>
      <c r="AF84" s="475">
        <v>0</v>
      </c>
      <c r="AG84" s="475">
        <v>0</v>
      </c>
      <c r="AH84" s="475">
        <f t="shared" si="146"/>
        <v>0</v>
      </c>
      <c r="AI84" s="475">
        <f t="shared" si="147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148"/>
        <v>0</v>
      </c>
      <c r="AS84" s="476">
        <f t="shared" si="149"/>
        <v>0</v>
      </c>
      <c r="AT84" s="478">
        <f t="shared" si="150"/>
        <v>0</v>
      </c>
      <c r="AU84" s="484">
        <f t="shared" si="151"/>
        <v>255018</v>
      </c>
      <c r="AV84" s="475">
        <f t="shared" si="152"/>
        <v>187510</v>
      </c>
      <c r="AW84" s="475">
        <f t="shared" si="153"/>
        <v>0</v>
      </c>
      <c r="AX84" s="475">
        <f t="shared" si="154"/>
        <v>63378</v>
      </c>
      <c r="AY84" s="475">
        <f t="shared" si="154"/>
        <v>3750</v>
      </c>
      <c r="AZ84" s="475">
        <f t="shared" si="155"/>
        <v>380</v>
      </c>
      <c r="BA84" s="476">
        <f t="shared" si="156"/>
        <v>0.39999999999999997</v>
      </c>
      <c r="BB84" s="476">
        <f t="shared" si="157"/>
        <v>0.36</v>
      </c>
      <c r="BC84" s="478">
        <f t="shared" si="157"/>
        <v>0.04</v>
      </c>
    </row>
    <row r="85" spans="1:55" s="234" customFormat="1" x14ac:dyDescent="0.2">
      <c r="A85" s="162">
        <v>15</v>
      </c>
      <c r="B85" s="18">
        <v>4442</v>
      </c>
      <c r="C85" s="18">
        <v>600074901</v>
      </c>
      <c r="D85" s="18">
        <v>48283061</v>
      </c>
      <c r="E85" s="171" t="s">
        <v>178</v>
      </c>
      <c r="F85" s="18"/>
      <c r="G85" s="161"/>
      <c r="H85" s="195"/>
      <c r="I85" s="529">
        <v>26101161</v>
      </c>
      <c r="J85" s="526">
        <v>18847092</v>
      </c>
      <c r="K85" s="526">
        <v>60000</v>
      </c>
      <c r="L85" s="526">
        <v>6390597</v>
      </c>
      <c r="M85" s="526">
        <v>376942</v>
      </c>
      <c r="N85" s="526">
        <v>426530</v>
      </c>
      <c r="O85" s="527">
        <v>36.032199999999989</v>
      </c>
      <c r="P85" s="527">
        <v>25.905100000000001</v>
      </c>
      <c r="Q85" s="531">
        <v>10.127099999999999</v>
      </c>
      <c r="R85" s="529">
        <f t="shared" ref="R85:BC85" si="158">SUM(R79:R84)</f>
        <v>0</v>
      </c>
      <c r="S85" s="526">
        <f t="shared" si="158"/>
        <v>0</v>
      </c>
      <c r="T85" s="526">
        <f t="shared" si="158"/>
        <v>-18770</v>
      </c>
      <c r="U85" s="526">
        <f t="shared" si="158"/>
        <v>0</v>
      </c>
      <c r="V85" s="526">
        <f t="shared" si="158"/>
        <v>0</v>
      </c>
      <c r="W85" s="526">
        <f t="shared" si="158"/>
        <v>0</v>
      </c>
      <c r="X85" s="526">
        <f t="shared" si="158"/>
        <v>-18770</v>
      </c>
      <c r="Y85" s="526">
        <f t="shared" si="158"/>
        <v>0</v>
      </c>
      <c r="Z85" s="526">
        <f t="shared" si="158"/>
        <v>0</v>
      </c>
      <c r="AA85" s="526">
        <f t="shared" si="158"/>
        <v>0</v>
      </c>
      <c r="AB85" s="526">
        <f t="shared" si="158"/>
        <v>0</v>
      </c>
      <c r="AC85" s="526">
        <f t="shared" si="158"/>
        <v>-18770</v>
      </c>
      <c r="AD85" s="526">
        <f t="shared" si="158"/>
        <v>-6344</v>
      </c>
      <c r="AE85" s="526">
        <f t="shared" si="158"/>
        <v>-375</v>
      </c>
      <c r="AF85" s="526">
        <f t="shared" si="158"/>
        <v>9250</v>
      </c>
      <c r="AG85" s="526">
        <f t="shared" si="158"/>
        <v>0</v>
      </c>
      <c r="AH85" s="526">
        <f t="shared" si="158"/>
        <v>9250</v>
      </c>
      <c r="AI85" s="526">
        <f t="shared" si="158"/>
        <v>-16239</v>
      </c>
      <c r="AJ85" s="527">
        <f t="shared" si="158"/>
        <v>0</v>
      </c>
      <c r="AK85" s="527">
        <f t="shared" si="158"/>
        <v>0</v>
      </c>
      <c r="AL85" s="527">
        <f t="shared" si="158"/>
        <v>0</v>
      </c>
      <c r="AM85" s="527">
        <f t="shared" si="158"/>
        <v>0</v>
      </c>
      <c r="AN85" s="527">
        <f t="shared" si="158"/>
        <v>-0.06</v>
      </c>
      <c r="AO85" s="527">
        <f t="shared" si="158"/>
        <v>0</v>
      </c>
      <c r="AP85" s="527">
        <f t="shared" si="158"/>
        <v>0</v>
      </c>
      <c r="AQ85" s="527">
        <f t="shared" si="158"/>
        <v>0</v>
      </c>
      <c r="AR85" s="527">
        <f t="shared" si="158"/>
        <v>0</v>
      </c>
      <c r="AS85" s="527">
        <f t="shared" si="158"/>
        <v>-0.06</v>
      </c>
      <c r="AT85" s="40">
        <f t="shared" si="158"/>
        <v>-0.06</v>
      </c>
      <c r="AU85" s="533">
        <f t="shared" si="158"/>
        <v>26084922</v>
      </c>
      <c r="AV85" s="526">
        <f t="shared" si="158"/>
        <v>18828322</v>
      </c>
      <c r="AW85" s="526">
        <f t="shared" si="158"/>
        <v>60000</v>
      </c>
      <c r="AX85" s="526">
        <f t="shared" si="158"/>
        <v>6384253</v>
      </c>
      <c r="AY85" s="526">
        <f t="shared" si="158"/>
        <v>376567</v>
      </c>
      <c r="AZ85" s="526">
        <f t="shared" si="158"/>
        <v>435780</v>
      </c>
      <c r="BA85" s="527">
        <f t="shared" si="158"/>
        <v>35.972199999999994</v>
      </c>
      <c r="BB85" s="527">
        <f t="shared" si="158"/>
        <v>25.905100000000001</v>
      </c>
      <c r="BC85" s="40">
        <f t="shared" si="158"/>
        <v>10.0671</v>
      </c>
    </row>
    <row r="86" spans="1:55" s="234" customFormat="1" x14ac:dyDescent="0.2">
      <c r="A86" s="221">
        <v>16</v>
      </c>
      <c r="B86" s="222">
        <v>4436</v>
      </c>
      <c r="C86" s="222">
        <v>600074986</v>
      </c>
      <c r="D86" s="222">
        <v>70982198</v>
      </c>
      <c r="E86" s="220" t="s">
        <v>179</v>
      </c>
      <c r="F86" s="222">
        <v>3113</v>
      </c>
      <c r="G86" s="172" t="s">
        <v>314</v>
      </c>
      <c r="H86" s="223" t="s">
        <v>277</v>
      </c>
      <c r="I86" s="477">
        <v>31191850</v>
      </c>
      <c r="J86" s="472">
        <v>22484701</v>
      </c>
      <c r="K86" s="472">
        <v>32000</v>
      </c>
      <c r="L86" s="472">
        <v>7610645</v>
      </c>
      <c r="M86" s="472">
        <v>449694</v>
      </c>
      <c r="N86" s="472">
        <v>614810</v>
      </c>
      <c r="O86" s="473">
        <v>41.397799999999997</v>
      </c>
      <c r="P86" s="474">
        <v>32.608199999999997</v>
      </c>
      <c r="Q86" s="483">
        <v>8.7896000000000001</v>
      </c>
      <c r="R86" s="485">
        <f t="shared" ref="R86:R90" si="159">Y86*-1</f>
        <v>0</v>
      </c>
      <c r="S86" s="475">
        <v>0</v>
      </c>
      <c r="T86" s="475">
        <v>-173053</v>
      </c>
      <c r="U86" s="475">
        <v>0</v>
      </c>
      <c r="V86" s="475">
        <v>0</v>
      </c>
      <c r="W86" s="475">
        <v>0</v>
      </c>
      <c r="X86" s="475">
        <f t="shared" si="139"/>
        <v>-173053</v>
      </c>
      <c r="Y86" s="475">
        <v>0</v>
      </c>
      <c r="Z86" s="475">
        <v>0</v>
      </c>
      <c r="AA86" s="475">
        <v>0</v>
      </c>
      <c r="AB86" s="475">
        <f t="shared" ref="AB86:AB90" si="160">SUM(Y86:AA86)</f>
        <v>0</v>
      </c>
      <c r="AC86" s="475">
        <f>X86+AB86</f>
        <v>-173053</v>
      </c>
      <c r="AD86" s="70">
        <f>ROUND((X86+Y86+Z86)*33.8%,0)</f>
        <v>-58492</v>
      </c>
      <c r="AE86" s="70">
        <f>ROUND(X86*2%,0)</f>
        <v>-3461</v>
      </c>
      <c r="AF86" s="475">
        <v>0</v>
      </c>
      <c r="AG86" s="475">
        <v>0</v>
      </c>
      <c r="AH86" s="475">
        <f t="shared" ref="AH86:AH90" si="161">SUM(AF86:AG86)</f>
        <v>0</v>
      </c>
      <c r="AI86" s="475">
        <f t="shared" ref="AI86:AI90" si="162">AC86+AD86+AE86+AH86</f>
        <v>-235006</v>
      </c>
      <c r="AJ86" s="476">
        <v>0</v>
      </c>
      <c r="AK86" s="476">
        <v>0</v>
      </c>
      <c r="AL86" s="476">
        <v>0</v>
      </c>
      <c r="AM86" s="476">
        <v>-0.28999999999999998</v>
      </c>
      <c r="AN86" s="476">
        <v>0</v>
      </c>
      <c r="AO86" s="476">
        <v>0</v>
      </c>
      <c r="AP86" s="476">
        <v>0</v>
      </c>
      <c r="AQ86" s="476">
        <v>0</v>
      </c>
      <c r="AR86" s="476">
        <f>AJ86+AL86+AM86+AO86+AP86</f>
        <v>-0.28999999999999998</v>
      </c>
      <c r="AS86" s="476">
        <f>AK86+AN86+AQ86</f>
        <v>0</v>
      </c>
      <c r="AT86" s="478">
        <f t="shared" ref="AT86:AT90" si="163">SUM(AR86:AS86)</f>
        <v>-0.28999999999999998</v>
      </c>
      <c r="AU86" s="484">
        <f>I86+AI86</f>
        <v>30956844</v>
      </c>
      <c r="AV86" s="475">
        <f>J86+X86</f>
        <v>22311648</v>
      </c>
      <c r="AW86" s="475">
        <f>K86+AB86</f>
        <v>32000</v>
      </c>
      <c r="AX86" s="475">
        <f t="shared" ref="AX86:AY90" si="164">L86+AD86</f>
        <v>7552153</v>
      </c>
      <c r="AY86" s="475">
        <f t="shared" si="164"/>
        <v>446233</v>
      </c>
      <c r="AZ86" s="475">
        <f>N86+AH86</f>
        <v>614810</v>
      </c>
      <c r="BA86" s="476">
        <f>O86+AT86</f>
        <v>41.107799999999997</v>
      </c>
      <c r="BB86" s="476">
        <f t="shared" ref="BB86:BC90" si="165">P86+AR86</f>
        <v>32.318199999999997</v>
      </c>
      <c r="BC86" s="478">
        <f t="shared" si="165"/>
        <v>8.7896000000000001</v>
      </c>
    </row>
    <row r="87" spans="1:55" s="234" customFormat="1" x14ac:dyDescent="0.2">
      <c r="A87" s="221">
        <v>16</v>
      </c>
      <c r="B87" s="222">
        <v>4436</v>
      </c>
      <c r="C87" s="222">
        <v>600074986</v>
      </c>
      <c r="D87" s="222">
        <v>70982198</v>
      </c>
      <c r="E87" s="220" t="s">
        <v>179</v>
      </c>
      <c r="F87" s="222">
        <v>3113</v>
      </c>
      <c r="G87" s="172" t="s">
        <v>312</v>
      </c>
      <c r="H87" s="223" t="s">
        <v>278</v>
      </c>
      <c r="I87" s="477">
        <v>1961546</v>
      </c>
      <c r="J87" s="472">
        <v>1443516</v>
      </c>
      <c r="K87" s="472">
        <v>0</v>
      </c>
      <c r="L87" s="472">
        <v>487909</v>
      </c>
      <c r="M87" s="472">
        <v>28871</v>
      </c>
      <c r="N87" s="472">
        <v>1250</v>
      </c>
      <c r="O87" s="473">
        <v>4.16</v>
      </c>
      <c r="P87" s="474">
        <v>4.16</v>
      </c>
      <c r="Q87" s="483">
        <v>0</v>
      </c>
      <c r="R87" s="485">
        <f t="shared" si="159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39"/>
        <v>0</v>
      </c>
      <c r="Y87" s="475">
        <v>0</v>
      </c>
      <c r="Z87" s="475">
        <v>0</v>
      </c>
      <c r="AA87" s="475">
        <v>0</v>
      </c>
      <c r="AB87" s="475">
        <f t="shared" si="160"/>
        <v>0</v>
      </c>
      <c r="AC87" s="475">
        <f>X87+AB87</f>
        <v>0</v>
      </c>
      <c r="AD87" s="70">
        <f>ROUND((X87+Y87+Z87)*33.8%,0)</f>
        <v>0</v>
      </c>
      <c r="AE87" s="70">
        <f>ROUND(X87*2%,0)</f>
        <v>0</v>
      </c>
      <c r="AF87" s="475">
        <v>0</v>
      </c>
      <c r="AG87" s="475">
        <v>0</v>
      </c>
      <c r="AH87" s="475">
        <f t="shared" si="161"/>
        <v>0</v>
      </c>
      <c r="AI87" s="475">
        <f t="shared" si="162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si="163"/>
        <v>0</v>
      </c>
      <c r="AU87" s="484">
        <f>I87+AI87</f>
        <v>1961546</v>
      </c>
      <c r="AV87" s="475">
        <f>J87+X87</f>
        <v>1443516</v>
      </c>
      <c r="AW87" s="475">
        <f>K87+AB87</f>
        <v>0</v>
      </c>
      <c r="AX87" s="475">
        <f t="shared" si="164"/>
        <v>487909</v>
      </c>
      <c r="AY87" s="475">
        <f t="shared" si="164"/>
        <v>28871</v>
      </c>
      <c r="AZ87" s="475">
        <f>N87+AH87</f>
        <v>1250</v>
      </c>
      <c r="BA87" s="476">
        <f>O87+AT87</f>
        <v>4.16</v>
      </c>
      <c r="BB87" s="476">
        <f t="shared" si="165"/>
        <v>4.16</v>
      </c>
      <c r="BC87" s="478">
        <f t="shared" si="165"/>
        <v>0</v>
      </c>
    </row>
    <row r="88" spans="1:55" s="234" customFormat="1" x14ac:dyDescent="0.2">
      <c r="A88" s="221">
        <v>16</v>
      </c>
      <c r="B88" s="222">
        <v>4436</v>
      </c>
      <c r="C88" s="222">
        <v>600074986</v>
      </c>
      <c r="D88" s="222">
        <v>70982198</v>
      </c>
      <c r="E88" s="220" t="s">
        <v>179</v>
      </c>
      <c r="F88" s="222">
        <v>3141</v>
      </c>
      <c r="G88" s="172" t="s">
        <v>315</v>
      </c>
      <c r="H88" s="223" t="s">
        <v>278</v>
      </c>
      <c r="I88" s="477">
        <v>2029354</v>
      </c>
      <c r="J88" s="472">
        <v>1482026</v>
      </c>
      <c r="K88" s="472">
        <v>0</v>
      </c>
      <c r="L88" s="472">
        <v>500925</v>
      </c>
      <c r="M88" s="472">
        <v>29641</v>
      </c>
      <c r="N88" s="472">
        <v>16762</v>
      </c>
      <c r="O88" s="473">
        <v>4.67</v>
      </c>
      <c r="P88" s="474">
        <v>0</v>
      </c>
      <c r="Q88" s="483">
        <v>4.67</v>
      </c>
      <c r="R88" s="485">
        <f t="shared" si="159"/>
        <v>0</v>
      </c>
      <c r="S88" s="475">
        <v>0</v>
      </c>
      <c r="T88" s="475">
        <v>5440</v>
      </c>
      <c r="U88" s="475">
        <v>0</v>
      </c>
      <c r="V88" s="475">
        <v>0</v>
      </c>
      <c r="W88" s="475">
        <v>0</v>
      </c>
      <c r="X88" s="475">
        <f t="shared" si="139"/>
        <v>5440</v>
      </c>
      <c r="Y88" s="475">
        <v>0</v>
      </c>
      <c r="Z88" s="475">
        <v>0</v>
      </c>
      <c r="AA88" s="475">
        <v>0</v>
      </c>
      <c r="AB88" s="475">
        <f t="shared" si="160"/>
        <v>0</v>
      </c>
      <c r="AC88" s="475">
        <f>X88+AB88</f>
        <v>5440</v>
      </c>
      <c r="AD88" s="70">
        <f>ROUND((X88+Y88+Z88)*33.8%,0)</f>
        <v>1839</v>
      </c>
      <c r="AE88" s="70">
        <f>ROUND(X88*2%,0)</f>
        <v>109</v>
      </c>
      <c r="AF88" s="475">
        <v>0</v>
      </c>
      <c r="AG88" s="475">
        <v>0</v>
      </c>
      <c r="AH88" s="475">
        <f t="shared" si="161"/>
        <v>0</v>
      </c>
      <c r="AI88" s="475">
        <f t="shared" si="162"/>
        <v>7388</v>
      </c>
      <c r="AJ88" s="476">
        <v>0</v>
      </c>
      <c r="AK88" s="476">
        <v>0</v>
      </c>
      <c r="AL88" s="476">
        <v>0</v>
      </c>
      <c r="AM88" s="476">
        <v>0</v>
      </c>
      <c r="AN88" s="476">
        <v>0.01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0.01</v>
      </c>
      <c r="AT88" s="478">
        <f t="shared" si="163"/>
        <v>0.01</v>
      </c>
      <c r="AU88" s="484">
        <f>I88+AI88</f>
        <v>2036742</v>
      </c>
      <c r="AV88" s="475">
        <f>J88+X88</f>
        <v>1487466</v>
      </c>
      <c r="AW88" s="475">
        <f>K88+AB88</f>
        <v>0</v>
      </c>
      <c r="AX88" s="475">
        <f t="shared" si="164"/>
        <v>502764</v>
      </c>
      <c r="AY88" s="475">
        <f t="shared" si="164"/>
        <v>29750</v>
      </c>
      <c r="AZ88" s="475">
        <f>N88+AH88</f>
        <v>16762</v>
      </c>
      <c r="BA88" s="476">
        <f>O88+AT88</f>
        <v>4.68</v>
      </c>
      <c r="BB88" s="476">
        <f t="shared" si="165"/>
        <v>0</v>
      </c>
      <c r="BC88" s="478">
        <f t="shared" si="165"/>
        <v>4.68</v>
      </c>
    </row>
    <row r="89" spans="1:55" s="234" customFormat="1" x14ac:dyDescent="0.2">
      <c r="A89" s="221">
        <v>16</v>
      </c>
      <c r="B89" s="222">
        <v>4436</v>
      </c>
      <c r="C89" s="222">
        <v>600074986</v>
      </c>
      <c r="D89" s="222">
        <v>70982198</v>
      </c>
      <c r="E89" s="215" t="s">
        <v>179</v>
      </c>
      <c r="F89" s="222">
        <v>3143</v>
      </c>
      <c r="G89" s="172" t="s">
        <v>626</v>
      </c>
      <c r="H89" s="239" t="s">
        <v>277</v>
      </c>
      <c r="I89" s="477">
        <v>3217843</v>
      </c>
      <c r="J89" s="472">
        <v>2344914</v>
      </c>
      <c r="K89" s="472">
        <v>25000</v>
      </c>
      <c r="L89" s="472">
        <v>801031</v>
      </c>
      <c r="M89" s="472">
        <v>46898</v>
      </c>
      <c r="N89" s="472">
        <v>0</v>
      </c>
      <c r="O89" s="473">
        <v>4.8213999999999997</v>
      </c>
      <c r="P89" s="474">
        <v>4.8213999999999997</v>
      </c>
      <c r="Q89" s="483">
        <v>0</v>
      </c>
      <c r="R89" s="485">
        <f t="shared" si="159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39"/>
        <v>0</v>
      </c>
      <c r="Y89" s="475">
        <v>0</v>
      </c>
      <c r="Z89" s="475">
        <v>0</v>
      </c>
      <c r="AA89" s="475">
        <v>0</v>
      </c>
      <c r="AB89" s="475">
        <f t="shared" si="160"/>
        <v>0</v>
      </c>
      <c r="AC89" s="475">
        <f>X89+AB89</f>
        <v>0</v>
      </c>
      <c r="AD89" s="70">
        <f>ROUND((X89+Y89+Z89)*33.8%,0)</f>
        <v>0</v>
      </c>
      <c r="AE89" s="70">
        <f>ROUND(X89*2%,0)</f>
        <v>0</v>
      </c>
      <c r="AF89" s="475">
        <v>0</v>
      </c>
      <c r="AG89" s="475">
        <v>0</v>
      </c>
      <c r="AH89" s="475">
        <f t="shared" si="161"/>
        <v>0</v>
      </c>
      <c r="AI89" s="475">
        <f t="shared" si="162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163"/>
        <v>0</v>
      </c>
      <c r="AU89" s="484">
        <f>I89+AI89</f>
        <v>3217843</v>
      </c>
      <c r="AV89" s="475">
        <f>J89+X89</f>
        <v>2344914</v>
      </c>
      <c r="AW89" s="475">
        <f>K89+AB89</f>
        <v>25000</v>
      </c>
      <c r="AX89" s="475">
        <f t="shared" si="164"/>
        <v>801031</v>
      </c>
      <c r="AY89" s="475">
        <f t="shared" si="164"/>
        <v>46898</v>
      </c>
      <c r="AZ89" s="475">
        <f>N89+AH89</f>
        <v>0</v>
      </c>
      <c r="BA89" s="476">
        <f>O89+AT89</f>
        <v>4.8213999999999997</v>
      </c>
      <c r="BB89" s="476">
        <f t="shared" si="165"/>
        <v>4.8213999999999997</v>
      </c>
      <c r="BC89" s="478">
        <f t="shared" si="165"/>
        <v>0</v>
      </c>
    </row>
    <row r="90" spans="1:55" s="234" customFormat="1" x14ac:dyDescent="0.2">
      <c r="A90" s="221">
        <v>16</v>
      </c>
      <c r="B90" s="222">
        <v>4436</v>
      </c>
      <c r="C90" s="222">
        <v>600074986</v>
      </c>
      <c r="D90" s="222">
        <v>70982198</v>
      </c>
      <c r="E90" s="215" t="s">
        <v>179</v>
      </c>
      <c r="F90" s="222">
        <v>3143</v>
      </c>
      <c r="G90" s="172" t="s">
        <v>627</v>
      </c>
      <c r="H90" s="239" t="s">
        <v>278</v>
      </c>
      <c r="I90" s="477">
        <v>92988</v>
      </c>
      <c r="J90" s="472">
        <v>65757</v>
      </c>
      <c r="K90" s="472">
        <v>0</v>
      </c>
      <c r="L90" s="472">
        <v>22226</v>
      </c>
      <c r="M90" s="472">
        <v>1315</v>
      </c>
      <c r="N90" s="472">
        <v>3690</v>
      </c>
      <c r="O90" s="473">
        <v>0.26</v>
      </c>
      <c r="P90" s="474">
        <v>0</v>
      </c>
      <c r="Q90" s="483">
        <v>0.26</v>
      </c>
      <c r="R90" s="485">
        <f t="shared" si="159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39"/>
        <v>0</v>
      </c>
      <c r="Y90" s="475">
        <v>0</v>
      </c>
      <c r="Z90" s="475">
        <v>0</v>
      </c>
      <c r="AA90" s="475">
        <v>0</v>
      </c>
      <c r="AB90" s="475">
        <f t="shared" si="160"/>
        <v>0</v>
      </c>
      <c r="AC90" s="475">
        <f>X90+AB90</f>
        <v>0</v>
      </c>
      <c r="AD90" s="70">
        <f>ROUND((X90+Y90+Z90)*33.8%,0)</f>
        <v>0</v>
      </c>
      <c r="AE90" s="70">
        <f>ROUND(X90*2%,0)</f>
        <v>0</v>
      </c>
      <c r="AF90" s="475">
        <v>0</v>
      </c>
      <c r="AG90" s="475">
        <v>0</v>
      </c>
      <c r="AH90" s="475">
        <f t="shared" si="161"/>
        <v>0</v>
      </c>
      <c r="AI90" s="475">
        <f t="shared" si="162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163"/>
        <v>0</v>
      </c>
      <c r="AU90" s="484">
        <f>I90+AI90</f>
        <v>92988</v>
      </c>
      <c r="AV90" s="475">
        <f>J90+X90</f>
        <v>65757</v>
      </c>
      <c r="AW90" s="475">
        <f>K90+AB90</f>
        <v>0</v>
      </c>
      <c r="AX90" s="475">
        <f t="shared" si="164"/>
        <v>22226</v>
      </c>
      <c r="AY90" s="475">
        <f t="shared" si="164"/>
        <v>1315</v>
      </c>
      <c r="AZ90" s="475">
        <f>N90+AH90</f>
        <v>3690</v>
      </c>
      <c r="BA90" s="476">
        <f>O90+AT90</f>
        <v>0.26</v>
      </c>
      <c r="BB90" s="476">
        <f t="shared" si="165"/>
        <v>0</v>
      </c>
      <c r="BC90" s="478">
        <f t="shared" si="165"/>
        <v>0.26</v>
      </c>
    </row>
    <row r="91" spans="1:55" s="234" customFormat="1" x14ac:dyDescent="0.2">
      <c r="A91" s="162">
        <v>16</v>
      </c>
      <c r="B91" s="18">
        <v>4436</v>
      </c>
      <c r="C91" s="18">
        <v>600074986</v>
      </c>
      <c r="D91" s="18">
        <v>70982198</v>
      </c>
      <c r="E91" s="171" t="s">
        <v>180</v>
      </c>
      <c r="F91" s="18"/>
      <c r="G91" s="161"/>
      <c r="H91" s="195"/>
      <c r="I91" s="529">
        <v>38493581</v>
      </c>
      <c r="J91" s="526">
        <v>27820914</v>
      </c>
      <c r="K91" s="526">
        <v>57000</v>
      </c>
      <c r="L91" s="526">
        <v>9422736</v>
      </c>
      <c r="M91" s="526">
        <v>556419</v>
      </c>
      <c r="N91" s="526">
        <v>636512</v>
      </c>
      <c r="O91" s="527">
        <v>55.309199999999997</v>
      </c>
      <c r="P91" s="527">
        <v>41.58959999999999</v>
      </c>
      <c r="Q91" s="531">
        <v>13.7196</v>
      </c>
      <c r="R91" s="529">
        <f t="shared" ref="R91:BC91" si="166">SUM(R86:R90)</f>
        <v>0</v>
      </c>
      <c r="S91" s="526">
        <f t="shared" si="166"/>
        <v>0</v>
      </c>
      <c r="T91" s="526">
        <f t="shared" si="166"/>
        <v>-167613</v>
      </c>
      <c r="U91" s="526">
        <f t="shared" si="166"/>
        <v>0</v>
      </c>
      <c r="V91" s="526">
        <f t="shared" si="166"/>
        <v>0</v>
      </c>
      <c r="W91" s="526">
        <f t="shared" si="166"/>
        <v>0</v>
      </c>
      <c r="X91" s="526">
        <f t="shared" si="166"/>
        <v>-167613</v>
      </c>
      <c r="Y91" s="526">
        <f t="shared" si="166"/>
        <v>0</v>
      </c>
      <c r="Z91" s="526">
        <f t="shared" si="166"/>
        <v>0</v>
      </c>
      <c r="AA91" s="526">
        <f t="shared" si="166"/>
        <v>0</v>
      </c>
      <c r="AB91" s="526">
        <f t="shared" si="166"/>
        <v>0</v>
      </c>
      <c r="AC91" s="526">
        <f t="shared" si="166"/>
        <v>-167613</v>
      </c>
      <c r="AD91" s="526">
        <f t="shared" si="166"/>
        <v>-56653</v>
      </c>
      <c r="AE91" s="526">
        <f t="shared" si="166"/>
        <v>-3352</v>
      </c>
      <c r="AF91" s="526">
        <f t="shared" si="166"/>
        <v>0</v>
      </c>
      <c r="AG91" s="526">
        <f t="shared" si="166"/>
        <v>0</v>
      </c>
      <c r="AH91" s="526">
        <f t="shared" si="166"/>
        <v>0</v>
      </c>
      <c r="AI91" s="526">
        <f t="shared" si="166"/>
        <v>-227618</v>
      </c>
      <c r="AJ91" s="527">
        <f t="shared" si="166"/>
        <v>0</v>
      </c>
      <c r="AK91" s="527">
        <f t="shared" si="166"/>
        <v>0</v>
      </c>
      <c r="AL91" s="527">
        <f t="shared" si="166"/>
        <v>0</v>
      </c>
      <c r="AM91" s="527">
        <f t="shared" si="166"/>
        <v>-0.28999999999999998</v>
      </c>
      <c r="AN91" s="527">
        <f t="shared" si="166"/>
        <v>0.01</v>
      </c>
      <c r="AO91" s="527">
        <f t="shared" si="166"/>
        <v>0</v>
      </c>
      <c r="AP91" s="527">
        <f t="shared" si="166"/>
        <v>0</v>
      </c>
      <c r="AQ91" s="527">
        <f t="shared" si="166"/>
        <v>0</v>
      </c>
      <c r="AR91" s="527">
        <f t="shared" si="166"/>
        <v>-0.28999999999999998</v>
      </c>
      <c r="AS91" s="527">
        <f t="shared" si="166"/>
        <v>0.01</v>
      </c>
      <c r="AT91" s="40">
        <f t="shared" si="166"/>
        <v>-0.27999999999999997</v>
      </c>
      <c r="AU91" s="533">
        <f t="shared" si="166"/>
        <v>38265963</v>
      </c>
      <c r="AV91" s="526">
        <f t="shared" si="166"/>
        <v>27653301</v>
      </c>
      <c r="AW91" s="526">
        <f t="shared" si="166"/>
        <v>57000</v>
      </c>
      <c r="AX91" s="526">
        <f t="shared" si="166"/>
        <v>9366083</v>
      </c>
      <c r="AY91" s="526">
        <f t="shared" si="166"/>
        <v>553067</v>
      </c>
      <c r="AZ91" s="526">
        <f t="shared" si="166"/>
        <v>636512</v>
      </c>
      <c r="BA91" s="527">
        <f t="shared" si="166"/>
        <v>55.029199999999989</v>
      </c>
      <c r="BB91" s="527">
        <f t="shared" si="166"/>
        <v>41.299599999999998</v>
      </c>
      <c r="BC91" s="40">
        <f t="shared" si="166"/>
        <v>13.7296</v>
      </c>
    </row>
    <row r="92" spans="1:55" s="234" customFormat="1" x14ac:dyDescent="0.2">
      <c r="A92" s="221">
        <v>17</v>
      </c>
      <c r="B92" s="222">
        <v>4454</v>
      </c>
      <c r="C92" s="222">
        <v>600074811</v>
      </c>
      <c r="D92" s="222">
        <v>48283070</v>
      </c>
      <c r="E92" s="220" t="s">
        <v>181</v>
      </c>
      <c r="F92" s="222">
        <v>3113</v>
      </c>
      <c r="G92" s="172" t="s">
        <v>314</v>
      </c>
      <c r="H92" s="223" t="s">
        <v>277</v>
      </c>
      <c r="I92" s="477">
        <v>31229450</v>
      </c>
      <c r="J92" s="472">
        <v>22281252</v>
      </c>
      <c r="K92" s="472">
        <v>209184</v>
      </c>
      <c r="L92" s="472">
        <v>7601768</v>
      </c>
      <c r="M92" s="472">
        <v>445626</v>
      </c>
      <c r="N92" s="472">
        <v>691620</v>
      </c>
      <c r="O92" s="473">
        <v>39.1432</v>
      </c>
      <c r="P92" s="474">
        <v>30.000599999999995</v>
      </c>
      <c r="Q92" s="483">
        <v>9.1425999999999998</v>
      </c>
      <c r="R92" s="485">
        <f t="shared" ref="R92:R96" si="167">Y92*-1</f>
        <v>0</v>
      </c>
      <c r="S92" s="475">
        <v>0</v>
      </c>
      <c r="T92" s="475">
        <v>78434</v>
      </c>
      <c r="U92" s="475">
        <v>0</v>
      </c>
      <c r="V92" s="475">
        <v>0</v>
      </c>
      <c r="W92" s="475">
        <v>0</v>
      </c>
      <c r="X92" s="475">
        <f t="shared" si="139"/>
        <v>78434</v>
      </c>
      <c r="Y92" s="475">
        <v>0</v>
      </c>
      <c r="Z92" s="475">
        <v>0</v>
      </c>
      <c r="AA92" s="475">
        <v>0</v>
      </c>
      <c r="AB92" s="475">
        <f t="shared" ref="AB92:AB96" si="168">SUM(Y92:AA92)</f>
        <v>0</v>
      </c>
      <c r="AC92" s="475">
        <f>X92+AB92</f>
        <v>78434</v>
      </c>
      <c r="AD92" s="70">
        <f>ROUND((X92+Y92+Z92)*33.8%,0)</f>
        <v>26511</v>
      </c>
      <c r="AE92" s="70">
        <f>ROUND(X92*2%,0)</f>
        <v>1569</v>
      </c>
      <c r="AF92" s="475">
        <v>0</v>
      </c>
      <c r="AG92" s="475">
        <v>0</v>
      </c>
      <c r="AH92" s="475">
        <f t="shared" ref="AH92:AH96" si="169">SUM(AF92:AG92)</f>
        <v>0</v>
      </c>
      <c r="AI92" s="475">
        <f t="shared" ref="AI92:AI96" si="170">AC92+AD92+AE92+AH92</f>
        <v>106514</v>
      </c>
      <c r="AJ92" s="476">
        <v>0</v>
      </c>
      <c r="AK92" s="476">
        <v>0</v>
      </c>
      <c r="AL92" s="476">
        <v>0</v>
      </c>
      <c r="AM92" s="476">
        <v>0.12</v>
      </c>
      <c r="AN92" s="476">
        <v>0</v>
      </c>
      <c r="AO92" s="476">
        <v>0</v>
      </c>
      <c r="AP92" s="476">
        <v>0</v>
      </c>
      <c r="AQ92" s="476">
        <v>0</v>
      </c>
      <c r="AR92" s="476">
        <f>AJ92+AL92+AM92+AO92+AP92</f>
        <v>0.12</v>
      </c>
      <c r="AS92" s="476">
        <f>AK92+AN92+AQ92</f>
        <v>0</v>
      </c>
      <c r="AT92" s="478">
        <f t="shared" ref="AT92:AT96" si="171">SUM(AR92:AS92)</f>
        <v>0.12</v>
      </c>
      <c r="AU92" s="484">
        <f>I92+AI92</f>
        <v>31335964</v>
      </c>
      <c r="AV92" s="475">
        <f>J92+X92</f>
        <v>22359686</v>
      </c>
      <c r="AW92" s="475">
        <f>K92+AB92</f>
        <v>209184</v>
      </c>
      <c r="AX92" s="475">
        <f t="shared" ref="AX92:AY96" si="172">L92+AD92</f>
        <v>7628279</v>
      </c>
      <c r="AY92" s="475">
        <f t="shared" si="172"/>
        <v>447195</v>
      </c>
      <c r="AZ92" s="475">
        <f>N92+AH92</f>
        <v>691620</v>
      </c>
      <c r="BA92" s="476">
        <f>O92+AT92</f>
        <v>39.263199999999998</v>
      </c>
      <c r="BB92" s="476">
        <f t="shared" ref="BB92:BC96" si="173">P92+AR92</f>
        <v>30.120599999999996</v>
      </c>
      <c r="BC92" s="478">
        <f t="shared" si="173"/>
        <v>9.1425999999999998</v>
      </c>
    </row>
    <row r="93" spans="1:55" s="234" customFormat="1" x14ac:dyDescent="0.2">
      <c r="A93" s="221">
        <v>17</v>
      </c>
      <c r="B93" s="222">
        <v>4454</v>
      </c>
      <c r="C93" s="222">
        <v>600074811</v>
      </c>
      <c r="D93" s="222">
        <v>48283070</v>
      </c>
      <c r="E93" s="220" t="s">
        <v>181</v>
      </c>
      <c r="F93" s="222">
        <v>3113</v>
      </c>
      <c r="G93" s="172" t="s">
        <v>312</v>
      </c>
      <c r="H93" s="223" t="s">
        <v>278</v>
      </c>
      <c r="I93" s="477">
        <v>3937306</v>
      </c>
      <c r="J93" s="472">
        <v>2891977</v>
      </c>
      <c r="K93" s="472">
        <v>0</v>
      </c>
      <c r="L93" s="472">
        <v>977489</v>
      </c>
      <c r="M93" s="472">
        <v>57840</v>
      </c>
      <c r="N93" s="472">
        <v>10000</v>
      </c>
      <c r="O93" s="473">
        <v>8.2899999999999991</v>
      </c>
      <c r="P93" s="474">
        <v>8.2899999999999991</v>
      </c>
      <c r="Q93" s="483">
        <v>0</v>
      </c>
      <c r="R93" s="485">
        <f t="shared" si="167"/>
        <v>0</v>
      </c>
      <c r="S93" s="475">
        <v>5784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139"/>
        <v>5784</v>
      </c>
      <c r="Y93" s="475">
        <v>0</v>
      </c>
      <c r="Z93" s="475">
        <v>0</v>
      </c>
      <c r="AA93" s="475">
        <v>0</v>
      </c>
      <c r="AB93" s="475">
        <f t="shared" si="168"/>
        <v>0</v>
      </c>
      <c r="AC93" s="475">
        <f>X93+AB93</f>
        <v>5784</v>
      </c>
      <c r="AD93" s="70">
        <f>ROUND((X93+Y93+Z93)*33.8%,0)</f>
        <v>1955</v>
      </c>
      <c r="AE93" s="70">
        <f>ROUND(X93*2%,0)</f>
        <v>116</v>
      </c>
      <c r="AF93" s="475">
        <v>3750</v>
      </c>
      <c r="AG93" s="475">
        <v>0</v>
      </c>
      <c r="AH93" s="475">
        <f t="shared" si="169"/>
        <v>3750</v>
      </c>
      <c r="AI93" s="475">
        <f t="shared" si="170"/>
        <v>11605</v>
      </c>
      <c r="AJ93" s="476">
        <v>0</v>
      </c>
      <c r="AK93" s="476">
        <v>0</v>
      </c>
      <c r="AL93" s="476">
        <v>0.01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0.01</v>
      </c>
      <c r="AS93" s="476">
        <f>AK93+AN93+AQ93</f>
        <v>0</v>
      </c>
      <c r="AT93" s="478">
        <f t="shared" si="171"/>
        <v>0.01</v>
      </c>
      <c r="AU93" s="484">
        <f>I93+AI93</f>
        <v>3948911</v>
      </c>
      <c r="AV93" s="475">
        <f>J93+X93</f>
        <v>2897761</v>
      </c>
      <c r="AW93" s="475">
        <f>K93+AB93</f>
        <v>0</v>
      </c>
      <c r="AX93" s="475">
        <f t="shared" si="172"/>
        <v>979444</v>
      </c>
      <c r="AY93" s="475">
        <f t="shared" si="172"/>
        <v>57956</v>
      </c>
      <c r="AZ93" s="475">
        <f>N93+AH93</f>
        <v>13750</v>
      </c>
      <c r="BA93" s="476">
        <f>O93+AT93</f>
        <v>8.2999999999999989</v>
      </c>
      <c r="BB93" s="476">
        <f t="shared" si="173"/>
        <v>8.2999999999999989</v>
      </c>
      <c r="BC93" s="478">
        <f t="shared" si="173"/>
        <v>0</v>
      </c>
    </row>
    <row r="94" spans="1:55" s="234" customFormat="1" x14ac:dyDescent="0.2">
      <c r="A94" s="221">
        <v>17</v>
      </c>
      <c r="B94" s="222">
        <v>4454</v>
      </c>
      <c r="C94" s="222">
        <v>600074811</v>
      </c>
      <c r="D94" s="222">
        <v>48283070</v>
      </c>
      <c r="E94" s="220" t="s">
        <v>181</v>
      </c>
      <c r="F94" s="222">
        <v>3141</v>
      </c>
      <c r="G94" s="172" t="s">
        <v>315</v>
      </c>
      <c r="H94" s="223" t="s">
        <v>278</v>
      </c>
      <c r="I94" s="477">
        <v>3047927</v>
      </c>
      <c r="J94" s="472">
        <v>2223923</v>
      </c>
      <c r="K94" s="472">
        <v>0</v>
      </c>
      <c r="L94" s="472">
        <v>751686</v>
      </c>
      <c r="M94" s="472">
        <v>44478</v>
      </c>
      <c r="N94" s="472">
        <v>27840</v>
      </c>
      <c r="O94" s="473">
        <v>7</v>
      </c>
      <c r="P94" s="474">
        <v>0</v>
      </c>
      <c r="Q94" s="483">
        <v>7</v>
      </c>
      <c r="R94" s="485">
        <f t="shared" si="167"/>
        <v>0</v>
      </c>
      <c r="S94" s="475">
        <v>0</v>
      </c>
      <c r="T94" s="475">
        <v>16061</v>
      </c>
      <c r="U94" s="475">
        <v>0</v>
      </c>
      <c r="V94" s="475">
        <v>0</v>
      </c>
      <c r="W94" s="475">
        <v>0</v>
      </c>
      <c r="X94" s="475">
        <f t="shared" si="139"/>
        <v>16061</v>
      </c>
      <c r="Y94" s="475">
        <v>0</v>
      </c>
      <c r="Z94" s="475">
        <v>0</v>
      </c>
      <c r="AA94" s="475">
        <v>0</v>
      </c>
      <c r="AB94" s="475">
        <f t="shared" si="168"/>
        <v>0</v>
      </c>
      <c r="AC94" s="475">
        <f>X94+AB94</f>
        <v>16061</v>
      </c>
      <c r="AD94" s="70">
        <f>ROUND((X94+Y94+Z94)*33.8%,0)</f>
        <v>5429</v>
      </c>
      <c r="AE94" s="70">
        <f>ROUND(X94*2%,0)</f>
        <v>321</v>
      </c>
      <c r="AF94" s="475">
        <v>0</v>
      </c>
      <c r="AG94" s="475">
        <v>0</v>
      </c>
      <c r="AH94" s="475">
        <f t="shared" si="169"/>
        <v>0</v>
      </c>
      <c r="AI94" s="475">
        <f t="shared" si="170"/>
        <v>21811</v>
      </c>
      <c r="AJ94" s="476">
        <v>0</v>
      </c>
      <c r="AK94" s="476">
        <v>0</v>
      </c>
      <c r="AL94" s="476">
        <v>0</v>
      </c>
      <c r="AM94" s="476">
        <v>0</v>
      </c>
      <c r="AN94" s="476">
        <v>0.06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0.06</v>
      </c>
      <c r="AT94" s="478">
        <f t="shared" si="171"/>
        <v>0.06</v>
      </c>
      <c r="AU94" s="484">
        <f>I94+AI94</f>
        <v>3069738</v>
      </c>
      <c r="AV94" s="475">
        <f>J94+X94</f>
        <v>2239984</v>
      </c>
      <c r="AW94" s="475">
        <f>K94+AB94</f>
        <v>0</v>
      </c>
      <c r="AX94" s="475">
        <f t="shared" si="172"/>
        <v>757115</v>
      </c>
      <c r="AY94" s="475">
        <f t="shared" si="172"/>
        <v>44799</v>
      </c>
      <c r="AZ94" s="475">
        <f>N94+AH94</f>
        <v>27840</v>
      </c>
      <c r="BA94" s="476">
        <f>O94+AT94</f>
        <v>7.06</v>
      </c>
      <c r="BB94" s="476">
        <f t="shared" si="173"/>
        <v>0</v>
      </c>
      <c r="BC94" s="478">
        <f t="shared" si="173"/>
        <v>7.06</v>
      </c>
    </row>
    <row r="95" spans="1:55" s="234" customFormat="1" x14ac:dyDescent="0.2">
      <c r="A95" s="221">
        <v>17</v>
      </c>
      <c r="B95" s="222">
        <v>4454</v>
      </c>
      <c r="C95" s="222">
        <v>600074811</v>
      </c>
      <c r="D95" s="222">
        <v>48283070</v>
      </c>
      <c r="E95" s="215" t="s">
        <v>181</v>
      </c>
      <c r="F95" s="222">
        <v>3143</v>
      </c>
      <c r="G95" s="172" t="s">
        <v>626</v>
      </c>
      <c r="H95" s="239" t="s">
        <v>277</v>
      </c>
      <c r="I95" s="477">
        <v>2597594</v>
      </c>
      <c r="J95" s="472">
        <v>1893103</v>
      </c>
      <c r="K95" s="472">
        <v>20000</v>
      </c>
      <c r="L95" s="472">
        <v>646629</v>
      </c>
      <c r="M95" s="472">
        <v>37862</v>
      </c>
      <c r="N95" s="472">
        <v>0</v>
      </c>
      <c r="O95" s="473">
        <v>3.5712999999999999</v>
      </c>
      <c r="P95" s="474">
        <v>3.5712999999999999</v>
      </c>
      <c r="Q95" s="483">
        <v>0</v>
      </c>
      <c r="R95" s="485">
        <f t="shared" si="167"/>
        <v>0</v>
      </c>
      <c r="S95" s="475">
        <v>0</v>
      </c>
      <c r="T95" s="475">
        <v>203558</v>
      </c>
      <c r="U95" s="475">
        <v>0</v>
      </c>
      <c r="V95" s="475">
        <v>0</v>
      </c>
      <c r="W95" s="475">
        <v>0</v>
      </c>
      <c r="X95" s="475">
        <f t="shared" si="139"/>
        <v>203558</v>
      </c>
      <c r="Y95" s="475">
        <v>0</v>
      </c>
      <c r="Z95" s="475">
        <v>0</v>
      </c>
      <c r="AA95" s="475">
        <v>0</v>
      </c>
      <c r="AB95" s="475">
        <f t="shared" si="168"/>
        <v>0</v>
      </c>
      <c r="AC95" s="475">
        <f>X95+AB95</f>
        <v>203558</v>
      </c>
      <c r="AD95" s="70">
        <f>ROUND((X95+Y95+Z95)*33.8%,0)</f>
        <v>68803</v>
      </c>
      <c r="AE95" s="70">
        <f>ROUND(X95*2%,0)</f>
        <v>4071</v>
      </c>
      <c r="AF95" s="475">
        <v>0</v>
      </c>
      <c r="AG95" s="475">
        <v>0</v>
      </c>
      <c r="AH95" s="475">
        <f t="shared" si="169"/>
        <v>0</v>
      </c>
      <c r="AI95" s="475">
        <f t="shared" si="170"/>
        <v>276432</v>
      </c>
      <c r="AJ95" s="476">
        <v>0</v>
      </c>
      <c r="AK95" s="476">
        <v>0</v>
      </c>
      <c r="AL95" s="476">
        <v>0</v>
      </c>
      <c r="AM95" s="476">
        <v>0.38</v>
      </c>
      <c r="AN95" s="476">
        <v>0</v>
      </c>
      <c r="AO95" s="476">
        <v>0</v>
      </c>
      <c r="AP95" s="476">
        <v>0</v>
      </c>
      <c r="AQ95" s="476">
        <v>0</v>
      </c>
      <c r="AR95" s="476">
        <f>AJ95+AL95+AM95+AO95+AP95</f>
        <v>0.38</v>
      </c>
      <c r="AS95" s="476">
        <f>AK95+AN95+AQ95</f>
        <v>0</v>
      </c>
      <c r="AT95" s="478">
        <f t="shared" si="171"/>
        <v>0.38</v>
      </c>
      <c r="AU95" s="484">
        <f>I95+AI95</f>
        <v>2874026</v>
      </c>
      <c r="AV95" s="475">
        <f>J95+X95</f>
        <v>2096661</v>
      </c>
      <c r="AW95" s="475">
        <f>K95+AB95</f>
        <v>20000</v>
      </c>
      <c r="AX95" s="475">
        <f t="shared" si="172"/>
        <v>715432</v>
      </c>
      <c r="AY95" s="475">
        <f t="shared" si="172"/>
        <v>41933</v>
      </c>
      <c r="AZ95" s="475">
        <f>N95+AH95</f>
        <v>0</v>
      </c>
      <c r="BA95" s="476">
        <f>O95+AT95</f>
        <v>3.9512999999999998</v>
      </c>
      <c r="BB95" s="476">
        <f t="shared" si="173"/>
        <v>3.9512999999999998</v>
      </c>
      <c r="BC95" s="478">
        <f t="shared" si="173"/>
        <v>0</v>
      </c>
    </row>
    <row r="96" spans="1:55" s="234" customFormat="1" x14ac:dyDescent="0.2">
      <c r="A96" s="221">
        <v>17</v>
      </c>
      <c r="B96" s="222">
        <v>4454</v>
      </c>
      <c r="C96" s="222">
        <v>600074811</v>
      </c>
      <c r="D96" s="222">
        <v>48283070</v>
      </c>
      <c r="E96" s="215" t="s">
        <v>181</v>
      </c>
      <c r="F96" s="222">
        <v>3143</v>
      </c>
      <c r="G96" s="172" t="s">
        <v>627</v>
      </c>
      <c r="H96" s="239" t="s">
        <v>278</v>
      </c>
      <c r="I96" s="477">
        <v>89964</v>
      </c>
      <c r="J96" s="472">
        <v>63619</v>
      </c>
      <c r="K96" s="472">
        <v>0</v>
      </c>
      <c r="L96" s="472">
        <v>21503</v>
      </c>
      <c r="M96" s="472">
        <v>1272</v>
      </c>
      <c r="N96" s="472">
        <v>3570</v>
      </c>
      <c r="O96" s="473">
        <v>0.25</v>
      </c>
      <c r="P96" s="474">
        <v>0</v>
      </c>
      <c r="Q96" s="483">
        <v>0.25</v>
      </c>
      <c r="R96" s="485">
        <f t="shared" si="167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139"/>
        <v>0</v>
      </c>
      <c r="Y96" s="475">
        <v>0</v>
      </c>
      <c r="Z96" s="475">
        <v>0</v>
      </c>
      <c r="AA96" s="475">
        <v>0</v>
      </c>
      <c r="AB96" s="475">
        <f t="shared" si="168"/>
        <v>0</v>
      </c>
      <c r="AC96" s="475">
        <f>X96+AB96</f>
        <v>0</v>
      </c>
      <c r="AD96" s="70">
        <f>ROUND((X96+Y96+Z96)*33.8%,0)</f>
        <v>0</v>
      </c>
      <c r="AE96" s="70">
        <f>ROUND(X96*2%,0)</f>
        <v>0</v>
      </c>
      <c r="AF96" s="475">
        <v>0</v>
      </c>
      <c r="AG96" s="475">
        <v>0</v>
      </c>
      <c r="AH96" s="475">
        <f t="shared" si="169"/>
        <v>0</v>
      </c>
      <c r="AI96" s="475">
        <f t="shared" si="170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171"/>
        <v>0</v>
      </c>
      <c r="AU96" s="484">
        <f>I96+AI96</f>
        <v>89964</v>
      </c>
      <c r="AV96" s="475">
        <f>J96+X96</f>
        <v>63619</v>
      </c>
      <c r="AW96" s="475">
        <f>K96+AB96</f>
        <v>0</v>
      </c>
      <c r="AX96" s="475">
        <f t="shared" si="172"/>
        <v>21503</v>
      </c>
      <c r="AY96" s="475">
        <f t="shared" si="172"/>
        <v>1272</v>
      </c>
      <c r="AZ96" s="475">
        <f>N96+AH96</f>
        <v>3570</v>
      </c>
      <c r="BA96" s="476">
        <f>O96+AT96</f>
        <v>0.25</v>
      </c>
      <c r="BB96" s="476">
        <f t="shared" si="173"/>
        <v>0</v>
      </c>
      <c r="BC96" s="478">
        <f t="shared" si="173"/>
        <v>0.25</v>
      </c>
    </row>
    <row r="97" spans="1:55" s="234" customFormat="1" x14ac:dyDescent="0.2">
      <c r="A97" s="162">
        <v>17</v>
      </c>
      <c r="B97" s="18">
        <v>4454</v>
      </c>
      <c r="C97" s="18">
        <v>600074811</v>
      </c>
      <c r="D97" s="18">
        <v>48283070</v>
      </c>
      <c r="E97" s="171" t="s">
        <v>182</v>
      </c>
      <c r="F97" s="18"/>
      <c r="G97" s="161"/>
      <c r="H97" s="195"/>
      <c r="I97" s="529">
        <v>40902241</v>
      </c>
      <c r="J97" s="526">
        <v>29353874</v>
      </c>
      <c r="K97" s="526">
        <v>229184</v>
      </c>
      <c r="L97" s="526">
        <v>9999075</v>
      </c>
      <c r="M97" s="526">
        <v>587078</v>
      </c>
      <c r="N97" s="526">
        <v>733030</v>
      </c>
      <c r="O97" s="527">
        <v>58.2545</v>
      </c>
      <c r="P97" s="527">
        <v>41.861899999999999</v>
      </c>
      <c r="Q97" s="531">
        <v>16.392600000000002</v>
      </c>
      <c r="R97" s="529">
        <f t="shared" ref="R97:BC97" si="174">SUM(R92:R96)</f>
        <v>0</v>
      </c>
      <c r="S97" s="526">
        <f t="shared" si="174"/>
        <v>5784</v>
      </c>
      <c r="T97" s="526">
        <f t="shared" si="174"/>
        <v>298053</v>
      </c>
      <c r="U97" s="526">
        <f t="shared" si="174"/>
        <v>0</v>
      </c>
      <c r="V97" s="526">
        <f t="shared" si="174"/>
        <v>0</v>
      </c>
      <c r="W97" s="526">
        <f t="shared" si="174"/>
        <v>0</v>
      </c>
      <c r="X97" s="526">
        <f t="shared" si="174"/>
        <v>303837</v>
      </c>
      <c r="Y97" s="526">
        <f t="shared" si="174"/>
        <v>0</v>
      </c>
      <c r="Z97" s="526">
        <f t="shared" si="174"/>
        <v>0</v>
      </c>
      <c r="AA97" s="526">
        <f t="shared" si="174"/>
        <v>0</v>
      </c>
      <c r="AB97" s="526">
        <f t="shared" si="174"/>
        <v>0</v>
      </c>
      <c r="AC97" s="526">
        <f t="shared" si="174"/>
        <v>303837</v>
      </c>
      <c r="AD97" s="526">
        <f t="shared" si="174"/>
        <v>102698</v>
      </c>
      <c r="AE97" s="526">
        <f t="shared" si="174"/>
        <v>6077</v>
      </c>
      <c r="AF97" s="526">
        <f t="shared" si="174"/>
        <v>3750</v>
      </c>
      <c r="AG97" s="526">
        <f t="shared" si="174"/>
        <v>0</v>
      </c>
      <c r="AH97" s="526">
        <f t="shared" si="174"/>
        <v>3750</v>
      </c>
      <c r="AI97" s="526">
        <f t="shared" si="174"/>
        <v>416362</v>
      </c>
      <c r="AJ97" s="527">
        <f t="shared" si="174"/>
        <v>0</v>
      </c>
      <c r="AK97" s="527">
        <f t="shared" si="174"/>
        <v>0</v>
      </c>
      <c r="AL97" s="527">
        <f t="shared" si="174"/>
        <v>0.01</v>
      </c>
      <c r="AM97" s="527">
        <f t="shared" si="174"/>
        <v>0.5</v>
      </c>
      <c r="AN97" s="527">
        <f t="shared" si="174"/>
        <v>0.06</v>
      </c>
      <c r="AO97" s="527">
        <f t="shared" si="174"/>
        <v>0</v>
      </c>
      <c r="AP97" s="527">
        <f t="shared" si="174"/>
        <v>0</v>
      </c>
      <c r="AQ97" s="527">
        <f t="shared" si="174"/>
        <v>0</v>
      </c>
      <c r="AR97" s="527">
        <f t="shared" si="174"/>
        <v>0.51</v>
      </c>
      <c r="AS97" s="527">
        <f t="shared" si="174"/>
        <v>0.06</v>
      </c>
      <c r="AT97" s="40">
        <f t="shared" si="174"/>
        <v>0.57000000000000006</v>
      </c>
      <c r="AU97" s="533">
        <f t="shared" si="174"/>
        <v>41318603</v>
      </c>
      <c r="AV97" s="526">
        <f t="shared" si="174"/>
        <v>29657711</v>
      </c>
      <c r="AW97" s="526">
        <f t="shared" si="174"/>
        <v>229184</v>
      </c>
      <c r="AX97" s="526">
        <f t="shared" si="174"/>
        <v>10101773</v>
      </c>
      <c r="AY97" s="526">
        <f t="shared" si="174"/>
        <v>593155</v>
      </c>
      <c r="AZ97" s="526">
        <f t="shared" si="174"/>
        <v>736780</v>
      </c>
      <c r="BA97" s="527">
        <f t="shared" si="174"/>
        <v>58.8245</v>
      </c>
      <c r="BB97" s="527">
        <f t="shared" si="174"/>
        <v>42.371899999999997</v>
      </c>
      <c r="BC97" s="40">
        <f t="shared" si="174"/>
        <v>16.4526</v>
      </c>
    </row>
    <row r="98" spans="1:55" s="234" customFormat="1" x14ac:dyDescent="0.2">
      <c r="A98" s="221">
        <v>18</v>
      </c>
      <c r="B98" s="222">
        <v>4479</v>
      </c>
      <c r="C98" s="222">
        <v>600075150</v>
      </c>
      <c r="D98" s="222">
        <v>70982228</v>
      </c>
      <c r="E98" s="220" t="s">
        <v>183</v>
      </c>
      <c r="F98" s="222">
        <v>3111</v>
      </c>
      <c r="G98" s="172" t="s">
        <v>311</v>
      </c>
      <c r="H98" s="223" t="s">
        <v>277</v>
      </c>
      <c r="I98" s="477">
        <v>1623413</v>
      </c>
      <c r="J98" s="472">
        <v>1187491</v>
      </c>
      <c r="K98" s="472">
        <v>0</v>
      </c>
      <c r="L98" s="472">
        <v>401372</v>
      </c>
      <c r="M98" s="472">
        <v>23750</v>
      </c>
      <c r="N98" s="472">
        <v>10800</v>
      </c>
      <c r="O98" s="473">
        <v>2.5108999999999999</v>
      </c>
      <c r="P98" s="474">
        <v>2</v>
      </c>
      <c r="Q98" s="483">
        <v>0.51090000000000002</v>
      </c>
      <c r="R98" s="485">
        <f t="shared" ref="R98:R107" si="175">Y98*-1</f>
        <v>0</v>
      </c>
      <c r="S98" s="475">
        <v>0</v>
      </c>
      <c r="T98" s="475">
        <v>354560</v>
      </c>
      <c r="U98" s="475">
        <v>0</v>
      </c>
      <c r="V98" s="475">
        <v>0</v>
      </c>
      <c r="W98" s="475">
        <v>0</v>
      </c>
      <c r="X98" s="475">
        <f t="shared" si="139"/>
        <v>354560</v>
      </c>
      <c r="Y98" s="475">
        <v>0</v>
      </c>
      <c r="Z98" s="475">
        <v>0</v>
      </c>
      <c r="AA98" s="475">
        <v>0</v>
      </c>
      <c r="AB98" s="475">
        <f t="shared" ref="AB98:AB107" si="176">SUM(Y98:AA98)</f>
        <v>0</v>
      </c>
      <c r="AC98" s="475">
        <f t="shared" ref="AC98:AC107" si="177">X98+AB98</f>
        <v>354560</v>
      </c>
      <c r="AD98" s="70">
        <f t="shared" ref="AD98:AD107" si="178">ROUND((X98+Y98+Z98)*33.8%,0)</f>
        <v>119841</v>
      </c>
      <c r="AE98" s="70">
        <f t="shared" ref="AE98:AE107" si="179">ROUND(X98*2%,0)</f>
        <v>7091</v>
      </c>
      <c r="AF98" s="475">
        <v>0</v>
      </c>
      <c r="AG98" s="475">
        <v>0</v>
      </c>
      <c r="AH98" s="475">
        <f t="shared" ref="AH98:AH107" si="180">SUM(AF98:AG98)</f>
        <v>0</v>
      </c>
      <c r="AI98" s="475">
        <f t="shared" ref="AI98:AI107" si="181">AC98+AD98+AE98+AH98</f>
        <v>481492</v>
      </c>
      <c r="AJ98" s="476">
        <v>0</v>
      </c>
      <c r="AK98" s="476">
        <v>0</v>
      </c>
      <c r="AL98" s="476">
        <v>0</v>
      </c>
      <c r="AM98" s="476">
        <v>0.67</v>
      </c>
      <c r="AN98" s="476">
        <v>0</v>
      </c>
      <c r="AO98" s="476">
        <v>0</v>
      </c>
      <c r="AP98" s="476">
        <v>0</v>
      </c>
      <c r="AQ98" s="476">
        <v>0</v>
      </c>
      <c r="AR98" s="476">
        <f t="shared" ref="AR98:AR107" si="182">AJ98+AL98+AM98+AO98+AP98</f>
        <v>0.67</v>
      </c>
      <c r="AS98" s="476">
        <f t="shared" ref="AS98:AS107" si="183">AK98+AN98+AQ98</f>
        <v>0</v>
      </c>
      <c r="AT98" s="478">
        <f t="shared" ref="AT98:AT107" si="184">SUM(AR98:AS98)</f>
        <v>0.67</v>
      </c>
      <c r="AU98" s="484">
        <f t="shared" ref="AU98:AU107" si="185">I98+AI98</f>
        <v>2104905</v>
      </c>
      <c r="AV98" s="475">
        <f t="shared" ref="AV98:AV107" si="186">J98+X98</f>
        <v>1542051</v>
      </c>
      <c r="AW98" s="475">
        <f t="shared" ref="AW98:AW107" si="187">K98+AB98</f>
        <v>0</v>
      </c>
      <c r="AX98" s="475">
        <f t="shared" ref="AX98:AX107" si="188">L98+AD98</f>
        <v>521213</v>
      </c>
      <c r="AY98" s="475">
        <f t="shared" ref="AY98:AY107" si="189">M98+AE98</f>
        <v>30841</v>
      </c>
      <c r="AZ98" s="475">
        <f t="shared" ref="AZ98:AZ107" si="190">N98+AH98</f>
        <v>10800</v>
      </c>
      <c r="BA98" s="476">
        <f t="shared" ref="BA98:BA107" si="191">O98+AT98</f>
        <v>3.1808999999999998</v>
      </c>
      <c r="BB98" s="476">
        <f t="shared" ref="BB98:BB107" si="192">P98+AR98</f>
        <v>2.67</v>
      </c>
      <c r="BC98" s="478">
        <f t="shared" ref="BC98:BC107" si="193">Q98+AS98</f>
        <v>0.51090000000000002</v>
      </c>
    </row>
    <row r="99" spans="1:55" s="234" customFormat="1" x14ac:dyDescent="0.2">
      <c r="A99" s="221">
        <v>18</v>
      </c>
      <c r="B99" s="222">
        <v>4479</v>
      </c>
      <c r="C99" s="222">
        <v>600075150</v>
      </c>
      <c r="D99" s="222">
        <v>70982228</v>
      </c>
      <c r="E99" s="220" t="s">
        <v>183</v>
      </c>
      <c r="F99" s="222">
        <v>3111</v>
      </c>
      <c r="G99" s="172" t="s">
        <v>313</v>
      </c>
      <c r="H99" s="223" t="s">
        <v>277</v>
      </c>
      <c r="I99" s="477">
        <v>0</v>
      </c>
      <c r="J99" s="472">
        <v>0</v>
      </c>
      <c r="K99" s="472">
        <v>0</v>
      </c>
      <c r="L99" s="472">
        <v>0</v>
      </c>
      <c r="M99" s="472">
        <v>0</v>
      </c>
      <c r="N99" s="472">
        <v>0</v>
      </c>
      <c r="O99" s="473">
        <v>0</v>
      </c>
      <c r="P99" s="474">
        <v>0</v>
      </c>
      <c r="Q99" s="483">
        <v>0</v>
      </c>
      <c r="R99" s="485">
        <f t="shared" si="175"/>
        <v>0</v>
      </c>
      <c r="S99" s="475">
        <v>0</v>
      </c>
      <c r="T99" s="475">
        <v>125036</v>
      </c>
      <c r="U99" s="475">
        <v>0</v>
      </c>
      <c r="V99" s="475">
        <v>0</v>
      </c>
      <c r="W99" s="475">
        <v>0</v>
      </c>
      <c r="X99" s="475">
        <f t="shared" si="139"/>
        <v>125036</v>
      </c>
      <c r="Y99" s="475">
        <v>0</v>
      </c>
      <c r="Z99" s="475">
        <v>0</v>
      </c>
      <c r="AA99" s="475">
        <v>0</v>
      </c>
      <c r="AB99" s="475">
        <f t="shared" si="176"/>
        <v>0</v>
      </c>
      <c r="AC99" s="475">
        <f t="shared" si="177"/>
        <v>125036</v>
      </c>
      <c r="AD99" s="70">
        <f t="shared" si="178"/>
        <v>42262</v>
      </c>
      <c r="AE99" s="70">
        <f t="shared" si="179"/>
        <v>2501</v>
      </c>
      <c r="AF99" s="475">
        <v>0</v>
      </c>
      <c r="AG99" s="475">
        <v>0</v>
      </c>
      <c r="AH99" s="475">
        <f t="shared" si="180"/>
        <v>0</v>
      </c>
      <c r="AI99" s="475">
        <f t="shared" si="181"/>
        <v>169799</v>
      </c>
      <c r="AJ99" s="476">
        <v>0</v>
      </c>
      <c r="AK99" s="476">
        <v>0</v>
      </c>
      <c r="AL99" s="476">
        <v>0</v>
      </c>
      <c r="AM99" s="476">
        <v>0.33</v>
      </c>
      <c r="AN99" s="476">
        <v>0</v>
      </c>
      <c r="AO99" s="476">
        <v>0</v>
      </c>
      <c r="AP99" s="476">
        <v>0</v>
      </c>
      <c r="AQ99" s="476">
        <v>0</v>
      </c>
      <c r="AR99" s="476">
        <f t="shared" si="182"/>
        <v>0.33</v>
      </c>
      <c r="AS99" s="476">
        <f t="shared" si="183"/>
        <v>0</v>
      </c>
      <c r="AT99" s="478">
        <f t="shared" si="184"/>
        <v>0.33</v>
      </c>
      <c r="AU99" s="484">
        <f t="shared" si="185"/>
        <v>169799</v>
      </c>
      <c r="AV99" s="475">
        <f t="shared" si="186"/>
        <v>125036</v>
      </c>
      <c r="AW99" s="475">
        <f t="shared" si="187"/>
        <v>0</v>
      </c>
      <c r="AX99" s="475">
        <f t="shared" si="188"/>
        <v>42262</v>
      </c>
      <c r="AY99" s="475">
        <f t="shared" si="189"/>
        <v>2501</v>
      </c>
      <c r="AZ99" s="475">
        <f t="shared" si="190"/>
        <v>0</v>
      </c>
      <c r="BA99" s="476">
        <f t="shared" si="191"/>
        <v>0.33</v>
      </c>
      <c r="BB99" s="476">
        <f t="shared" si="192"/>
        <v>0.33</v>
      </c>
      <c r="BC99" s="478">
        <f t="shared" si="193"/>
        <v>0</v>
      </c>
    </row>
    <row r="100" spans="1:55" s="234" customFormat="1" x14ac:dyDescent="0.2">
      <c r="A100" s="221">
        <v>18</v>
      </c>
      <c r="B100" s="222">
        <v>4479</v>
      </c>
      <c r="C100" s="222">
        <v>600075150</v>
      </c>
      <c r="D100" s="222">
        <v>70982228</v>
      </c>
      <c r="E100" s="220" t="s">
        <v>183</v>
      </c>
      <c r="F100" s="222">
        <v>3114</v>
      </c>
      <c r="G100" s="172" t="s">
        <v>556</v>
      </c>
      <c r="H100" s="223" t="s">
        <v>277</v>
      </c>
      <c r="I100" s="477">
        <v>37051108</v>
      </c>
      <c r="J100" s="472">
        <v>26681396</v>
      </c>
      <c r="K100" s="472">
        <v>0</v>
      </c>
      <c r="L100" s="472">
        <v>9018313</v>
      </c>
      <c r="M100" s="472">
        <v>533629</v>
      </c>
      <c r="N100" s="472">
        <v>817770</v>
      </c>
      <c r="O100" s="473">
        <v>47.424700000000001</v>
      </c>
      <c r="P100" s="474">
        <v>35.786200000000001</v>
      </c>
      <c r="Q100" s="483">
        <v>11.638500000000001</v>
      </c>
      <c r="R100" s="485">
        <f t="shared" si="175"/>
        <v>0</v>
      </c>
      <c r="S100" s="475">
        <v>0</v>
      </c>
      <c r="T100" s="475">
        <v>217032</v>
      </c>
      <c r="U100" s="475">
        <v>0</v>
      </c>
      <c r="V100" s="475">
        <v>0</v>
      </c>
      <c r="W100" s="475">
        <v>0</v>
      </c>
      <c r="X100" s="475">
        <f t="shared" si="139"/>
        <v>217032</v>
      </c>
      <c r="Y100" s="475">
        <v>0</v>
      </c>
      <c r="Z100" s="475">
        <v>0</v>
      </c>
      <c r="AA100" s="475">
        <v>0</v>
      </c>
      <c r="AB100" s="475">
        <f t="shared" si="176"/>
        <v>0</v>
      </c>
      <c r="AC100" s="475">
        <f t="shared" si="177"/>
        <v>217032</v>
      </c>
      <c r="AD100" s="70">
        <f t="shared" si="178"/>
        <v>73357</v>
      </c>
      <c r="AE100" s="70">
        <f t="shared" si="179"/>
        <v>4341</v>
      </c>
      <c r="AF100" s="475">
        <v>0</v>
      </c>
      <c r="AG100" s="475">
        <v>0</v>
      </c>
      <c r="AH100" s="475">
        <f t="shared" si="180"/>
        <v>0</v>
      </c>
      <c r="AI100" s="475">
        <f t="shared" si="181"/>
        <v>294730</v>
      </c>
      <c r="AJ100" s="476">
        <v>0</v>
      </c>
      <c r="AK100" s="476">
        <v>0</v>
      </c>
      <c r="AL100" s="476">
        <v>0</v>
      </c>
      <c r="AM100" s="476">
        <v>0.33</v>
      </c>
      <c r="AN100" s="476">
        <v>0</v>
      </c>
      <c r="AO100" s="476">
        <v>0</v>
      </c>
      <c r="AP100" s="476">
        <v>0</v>
      </c>
      <c r="AQ100" s="476">
        <v>0</v>
      </c>
      <c r="AR100" s="476">
        <f t="shared" si="182"/>
        <v>0.33</v>
      </c>
      <c r="AS100" s="476">
        <f t="shared" si="183"/>
        <v>0</v>
      </c>
      <c r="AT100" s="478">
        <f t="shared" si="184"/>
        <v>0.33</v>
      </c>
      <c r="AU100" s="484">
        <f t="shared" si="185"/>
        <v>37345838</v>
      </c>
      <c r="AV100" s="475">
        <f t="shared" si="186"/>
        <v>26898428</v>
      </c>
      <c r="AW100" s="475">
        <f t="shared" si="187"/>
        <v>0</v>
      </c>
      <c r="AX100" s="475">
        <f t="shared" si="188"/>
        <v>9091670</v>
      </c>
      <c r="AY100" s="475">
        <f t="shared" si="189"/>
        <v>537970</v>
      </c>
      <c r="AZ100" s="475">
        <f t="shared" si="190"/>
        <v>817770</v>
      </c>
      <c r="BA100" s="476">
        <f t="shared" si="191"/>
        <v>47.7547</v>
      </c>
      <c r="BB100" s="476">
        <f t="shared" si="192"/>
        <v>36.116199999999999</v>
      </c>
      <c r="BC100" s="478">
        <f t="shared" si="193"/>
        <v>11.638500000000001</v>
      </c>
    </row>
    <row r="101" spans="1:55" s="234" customFormat="1" x14ac:dyDescent="0.2">
      <c r="A101" s="221">
        <v>18</v>
      </c>
      <c r="B101" s="222">
        <v>4479</v>
      </c>
      <c r="C101" s="222">
        <v>600075150</v>
      </c>
      <c r="D101" s="222">
        <v>70982228</v>
      </c>
      <c r="E101" s="220" t="s">
        <v>183</v>
      </c>
      <c r="F101" s="222">
        <v>3114</v>
      </c>
      <c r="G101" s="172" t="s">
        <v>313</v>
      </c>
      <c r="H101" s="223" t="s">
        <v>277</v>
      </c>
      <c r="I101" s="477">
        <v>10343292</v>
      </c>
      <c r="J101" s="472">
        <v>7616563</v>
      </c>
      <c r="K101" s="472">
        <v>0</v>
      </c>
      <c r="L101" s="472">
        <v>2574398</v>
      </c>
      <c r="M101" s="472">
        <v>152331</v>
      </c>
      <c r="N101" s="472">
        <v>0</v>
      </c>
      <c r="O101" s="473">
        <v>20.3048</v>
      </c>
      <c r="P101" s="474">
        <v>20.3048</v>
      </c>
      <c r="Q101" s="483">
        <v>0</v>
      </c>
      <c r="R101" s="485">
        <f t="shared" si="175"/>
        <v>0</v>
      </c>
      <c r="S101" s="475">
        <v>0</v>
      </c>
      <c r="T101" s="475">
        <v>76272</v>
      </c>
      <c r="U101" s="475">
        <v>0</v>
      </c>
      <c r="V101" s="475">
        <v>0</v>
      </c>
      <c r="W101" s="475">
        <v>0</v>
      </c>
      <c r="X101" s="475">
        <f t="shared" si="139"/>
        <v>76272</v>
      </c>
      <c r="Y101" s="475">
        <v>0</v>
      </c>
      <c r="Z101" s="475">
        <v>0</v>
      </c>
      <c r="AA101" s="475">
        <v>0</v>
      </c>
      <c r="AB101" s="475">
        <f t="shared" si="176"/>
        <v>0</v>
      </c>
      <c r="AC101" s="475">
        <f t="shared" si="177"/>
        <v>76272</v>
      </c>
      <c r="AD101" s="70">
        <f t="shared" si="178"/>
        <v>25780</v>
      </c>
      <c r="AE101" s="70">
        <f t="shared" si="179"/>
        <v>1525</v>
      </c>
      <c r="AF101" s="475">
        <v>0</v>
      </c>
      <c r="AG101" s="475">
        <v>0</v>
      </c>
      <c r="AH101" s="475">
        <f t="shared" si="180"/>
        <v>0</v>
      </c>
      <c r="AI101" s="475">
        <f t="shared" si="181"/>
        <v>103577</v>
      </c>
      <c r="AJ101" s="476">
        <v>0</v>
      </c>
      <c r="AK101" s="476">
        <v>0</v>
      </c>
      <c r="AL101" s="476">
        <v>0</v>
      </c>
      <c r="AM101" s="476">
        <v>0.2</v>
      </c>
      <c r="AN101" s="476">
        <v>0</v>
      </c>
      <c r="AO101" s="476">
        <v>0</v>
      </c>
      <c r="AP101" s="476">
        <v>0</v>
      </c>
      <c r="AQ101" s="476">
        <v>0</v>
      </c>
      <c r="AR101" s="476">
        <f t="shared" si="182"/>
        <v>0.2</v>
      </c>
      <c r="AS101" s="476">
        <f t="shared" si="183"/>
        <v>0</v>
      </c>
      <c r="AT101" s="478">
        <f t="shared" si="184"/>
        <v>0.2</v>
      </c>
      <c r="AU101" s="484">
        <f t="shared" si="185"/>
        <v>10446869</v>
      </c>
      <c r="AV101" s="475">
        <f t="shared" si="186"/>
        <v>7692835</v>
      </c>
      <c r="AW101" s="475">
        <f t="shared" si="187"/>
        <v>0</v>
      </c>
      <c r="AX101" s="475">
        <f t="shared" si="188"/>
        <v>2600178</v>
      </c>
      <c r="AY101" s="475">
        <f t="shared" si="189"/>
        <v>153856</v>
      </c>
      <c r="AZ101" s="475">
        <f t="shared" si="190"/>
        <v>0</v>
      </c>
      <c r="BA101" s="476">
        <f t="shared" si="191"/>
        <v>20.504799999999999</v>
      </c>
      <c r="BB101" s="476">
        <f t="shared" si="192"/>
        <v>20.504799999999999</v>
      </c>
      <c r="BC101" s="478">
        <f t="shared" si="193"/>
        <v>0</v>
      </c>
    </row>
    <row r="102" spans="1:55" s="234" customFormat="1" x14ac:dyDescent="0.2">
      <c r="A102" s="221">
        <v>18</v>
      </c>
      <c r="B102" s="222">
        <v>4479</v>
      </c>
      <c r="C102" s="222">
        <v>600075150</v>
      </c>
      <c r="D102" s="222">
        <v>70982228</v>
      </c>
      <c r="E102" s="220" t="s">
        <v>183</v>
      </c>
      <c r="F102" s="222">
        <v>3124</v>
      </c>
      <c r="G102" s="172" t="s">
        <v>320</v>
      </c>
      <c r="H102" s="223" t="s">
        <v>277</v>
      </c>
      <c r="I102" s="477">
        <v>3375576</v>
      </c>
      <c r="J102" s="472">
        <v>2469202</v>
      </c>
      <c r="K102" s="472">
        <v>0</v>
      </c>
      <c r="L102" s="472">
        <v>834590</v>
      </c>
      <c r="M102" s="472">
        <v>49384</v>
      </c>
      <c r="N102" s="472">
        <v>22400</v>
      </c>
      <c r="O102" s="473">
        <v>4.0011000000000001</v>
      </c>
      <c r="P102" s="474">
        <v>3.2381000000000002</v>
      </c>
      <c r="Q102" s="483">
        <v>0.76300000000000001</v>
      </c>
      <c r="R102" s="485">
        <f t="shared" si="175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139"/>
        <v>0</v>
      </c>
      <c r="Y102" s="475">
        <v>0</v>
      </c>
      <c r="Z102" s="475">
        <v>0</v>
      </c>
      <c r="AA102" s="475">
        <v>0</v>
      </c>
      <c r="AB102" s="475">
        <f t="shared" si="176"/>
        <v>0</v>
      </c>
      <c r="AC102" s="475">
        <f t="shared" si="177"/>
        <v>0</v>
      </c>
      <c r="AD102" s="70">
        <f t="shared" si="178"/>
        <v>0</v>
      </c>
      <c r="AE102" s="70">
        <f t="shared" si="179"/>
        <v>0</v>
      </c>
      <c r="AF102" s="475">
        <v>0</v>
      </c>
      <c r="AG102" s="475">
        <v>0</v>
      </c>
      <c r="AH102" s="475">
        <f t="shared" si="180"/>
        <v>0</v>
      </c>
      <c r="AI102" s="475">
        <f t="shared" si="181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 t="shared" si="182"/>
        <v>0</v>
      </c>
      <c r="AS102" s="476">
        <f t="shared" si="183"/>
        <v>0</v>
      </c>
      <c r="AT102" s="478">
        <f t="shared" si="184"/>
        <v>0</v>
      </c>
      <c r="AU102" s="484">
        <f t="shared" si="185"/>
        <v>3375576</v>
      </c>
      <c r="AV102" s="475">
        <f t="shared" si="186"/>
        <v>2469202</v>
      </c>
      <c r="AW102" s="475">
        <f t="shared" si="187"/>
        <v>0</v>
      </c>
      <c r="AX102" s="475">
        <f t="shared" si="188"/>
        <v>834590</v>
      </c>
      <c r="AY102" s="475">
        <f t="shared" si="189"/>
        <v>49384</v>
      </c>
      <c r="AZ102" s="475">
        <f t="shared" si="190"/>
        <v>22400</v>
      </c>
      <c r="BA102" s="476">
        <f t="shared" si="191"/>
        <v>4.0011000000000001</v>
      </c>
      <c r="BB102" s="476">
        <f t="shared" si="192"/>
        <v>3.2381000000000002</v>
      </c>
      <c r="BC102" s="478">
        <f t="shared" si="193"/>
        <v>0.76300000000000001</v>
      </c>
    </row>
    <row r="103" spans="1:55" s="234" customFormat="1" x14ac:dyDescent="0.2">
      <c r="A103" s="221">
        <v>18</v>
      </c>
      <c r="B103" s="222">
        <v>4479</v>
      </c>
      <c r="C103" s="222">
        <v>600075150</v>
      </c>
      <c r="D103" s="222">
        <v>70982228</v>
      </c>
      <c r="E103" s="220" t="s">
        <v>183</v>
      </c>
      <c r="F103" s="222">
        <v>3124</v>
      </c>
      <c r="G103" s="172" t="s">
        <v>321</v>
      </c>
      <c r="H103" s="223" t="s">
        <v>277</v>
      </c>
      <c r="I103" s="477">
        <v>876387</v>
      </c>
      <c r="J103" s="472">
        <v>645351</v>
      </c>
      <c r="K103" s="472">
        <v>0</v>
      </c>
      <c r="L103" s="472">
        <v>218129</v>
      </c>
      <c r="M103" s="472">
        <v>12907</v>
      </c>
      <c r="N103" s="472">
        <v>0</v>
      </c>
      <c r="O103" s="473">
        <v>1.7777000000000001</v>
      </c>
      <c r="P103" s="474">
        <v>1.7777000000000001</v>
      </c>
      <c r="Q103" s="483">
        <v>0</v>
      </c>
      <c r="R103" s="485">
        <f t="shared" si="175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139"/>
        <v>0</v>
      </c>
      <c r="Y103" s="475">
        <v>0</v>
      </c>
      <c r="Z103" s="475">
        <v>0</v>
      </c>
      <c r="AA103" s="475">
        <v>0</v>
      </c>
      <c r="AB103" s="475">
        <f t="shared" si="176"/>
        <v>0</v>
      </c>
      <c r="AC103" s="475">
        <f t="shared" si="177"/>
        <v>0</v>
      </c>
      <c r="AD103" s="70">
        <f t="shared" si="178"/>
        <v>0</v>
      </c>
      <c r="AE103" s="70">
        <f t="shared" si="179"/>
        <v>0</v>
      </c>
      <c r="AF103" s="475">
        <v>0</v>
      </c>
      <c r="AG103" s="475">
        <v>0</v>
      </c>
      <c r="AH103" s="475">
        <f t="shared" si="180"/>
        <v>0</v>
      </c>
      <c r="AI103" s="475">
        <f t="shared" si="181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 t="shared" si="182"/>
        <v>0</v>
      </c>
      <c r="AS103" s="476">
        <f t="shared" si="183"/>
        <v>0</v>
      </c>
      <c r="AT103" s="478">
        <f t="shared" si="184"/>
        <v>0</v>
      </c>
      <c r="AU103" s="484">
        <f t="shared" si="185"/>
        <v>876387</v>
      </c>
      <c r="AV103" s="475">
        <f t="shared" si="186"/>
        <v>645351</v>
      </c>
      <c r="AW103" s="475">
        <f t="shared" si="187"/>
        <v>0</v>
      </c>
      <c r="AX103" s="475">
        <f t="shared" si="188"/>
        <v>218129</v>
      </c>
      <c r="AY103" s="475">
        <f t="shared" si="189"/>
        <v>12907</v>
      </c>
      <c r="AZ103" s="475">
        <f t="shared" si="190"/>
        <v>0</v>
      </c>
      <c r="BA103" s="476">
        <f t="shared" si="191"/>
        <v>1.7777000000000001</v>
      </c>
      <c r="BB103" s="476">
        <f t="shared" si="192"/>
        <v>1.7777000000000001</v>
      </c>
      <c r="BC103" s="478">
        <f t="shared" si="193"/>
        <v>0</v>
      </c>
    </row>
    <row r="104" spans="1:55" s="234" customFormat="1" x14ac:dyDescent="0.2">
      <c r="A104" s="221">
        <v>18</v>
      </c>
      <c r="B104" s="222">
        <v>4479</v>
      </c>
      <c r="C104" s="222">
        <v>600075150</v>
      </c>
      <c r="D104" s="222">
        <v>70982228</v>
      </c>
      <c r="E104" s="215" t="s">
        <v>183</v>
      </c>
      <c r="F104" s="222">
        <v>3141</v>
      </c>
      <c r="G104" s="172" t="s">
        <v>315</v>
      </c>
      <c r="H104" s="223" t="s">
        <v>278</v>
      </c>
      <c r="I104" s="477">
        <v>1629305</v>
      </c>
      <c r="J104" s="472">
        <v>1192576</v>
      </c>
      <c r="K104" s="472">
        <v>0</v>
      </c>
      <c r="L104" s="472">
        <v>403091</v>
      </c>
      <c r="M104" s="472">
        <v>23852</v>
      </c>
      <c r="N104" s="472">
        <v>9786</v>
      </c>
      <c r="O104" s="473">
        <v>3.75</v>
      </c>
      <c r="P104" s="474">
        <v>0</v>
      </c>
      <c r="Q104" s="483">
        <v>3.75</v>
      </c>
      <c r="R104" s="485">
        <f t="shared" si="175"/>
        <v>0</v>
      </c>
      <c r="S104" s="475">
        <v>0</v>
      </c>
      <c r="T104" s="475">
        <v>24087</v>
      </c>
      <c r="U104" s="475">
        <v>0</v>
      </c>
      <c r="V104" s="475">
        <v>0</v>
      </c>
      <c r="W104" s="475">
        <v>0</v>
      </c>
      <c r="X104" s="475">
        <f t="shared" si="139"/>
        <v>24087</v>
      </c>
      <c r="Y104" s="475">
        <v>0</v>
      </c>
      <c r="Z104" s="475">
        <v>0</v>
      </c>
      <c r="AA104" s="475">
        <v>0</v>
      </c>
      <c r="AB104" s="475">
        <f t="shared" si="176"/>
        <v>0</v>
      </c>
      <c r="AC104" s="475">
        <f t="shared" si="177"/>
        <v>24087</v>
      </c>
      <c r="AD104" s="70">
        <f t="shared" si="178"/>
        <v>8141</v>
      </c>
      <c r="AE104" s="70">
        <f t="shared" si="179"/>
        <v>482</v>
      </c>
      <c r="AF104" s="475">
        <v>0</v>
      </c>
      <c r="AG104" s="475">
        <v>0</v>
      </c>
      <c r="AH104" s="475">
        <f t="shared" si="180"/>
        <v>0</v>
      </c>
      <c r="AI104" s="475">
        <f t="shared" si="181"/>
        <v>32710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0.08</v>
      </c>
      <c r="AO104" s="476">
        <v>0</v>
      </c>
      <c r="AP104" s="476">
        <v>0</v>
      </c>
      <c r="AQ104" s="476">
        <v>0</v>
      </c>
      <c r="AR104" s="476">
        <f t="shared" si="182"/>
        <v>0</v>
      </c>
      <c r="AS104" s="476">
        <f t="shared" si="183"/>
        <v>0.08</v>
      </c>
      <c r="AT104" s="478">
        <f t="shared" si="184"/>
        <v>0.08</v>
      </c>
      <c r="AU104" s="484">
        <f t="shared" si="185"/>
        <v>1662015</v>
      </c>
      <c r="AV104" s="475">
        <f t="shared" si="186"/>
        <v>1216663</v>
      </c>
      <c r="AW104" s="475">
        <f t="shared" si="187"/>
        <v>0</v>
      </c>
      <c r="AX104" s="475">
        <f t="shared" si="188"/>
        <v>411232</v>
      </c>
      <c r="AY104" s="475">
        <f t="shared" si="189"/>
        <v>24334</v>
      </c>
      <c r="AZ104" s="475">
        <f t="shared" si="190"/>
        <v>9786</v>
      </c>
      <c r="BA104" s="476">
        <f t="shared" si="191"/>
        <v>3.83</v>
      </c>
      <c r="BB104" s="476">
        <f t="shared" si="192"/>
        <v>0</v>
      </c>
      <c r="BC104" s="478">
        <f t="shared" si="193"/>
        <v>3.83</v>
      </c>
    </row>
    <row r="105" spans="1:55" s="234" customFormat="1" x14ac:dyDescent="0.2">
      <c r="A105" s="221">
        <v>18</v>
      </c>
      <c r="B105" s="222">
        <v>4479</v>
      </c>
      <c r="C105" s="222">
        <v>600075150</v>
      </c>
      <c r="D105" s="222">
        <v>70982228</v>
      </c>
      <c r="E105" s="220" t="s">
        <v>183</v>
      </c>
      <c r="F105" s="222">
        <v>3143</v>
      </c>
      <c r="G105" s="172" t="s">
        <v>626</v>
      </c>
      <c r="H105" s="239" t="s">
        <v>277</v>
      </c>
      <c r="I105" s="477">
        <v>2271987</v>
      </c>
      <c r="J105" s="472">
        <v>1673039</v>
      </c>
      <c r="K105" s="472">
        <v>0</v>
      </c>
      <c r="L105" s="472">
        <v>565487</v>
      </c>
      <c r="M105" s="472">
        <v>33461</v>
      </c>
      <c r="N105" s="472">
        <v>0</v>
      </c>
      <c r="O105" s="473">
        <v>3.4822000000000002</v>
      </c>
      <c r="P105" s="474">
        <v>3.4822000000000002</v>
      </c>
      <c r="Q105" s="483">
        <v>0</v>
      </c>
      <c r="R105" s="485">
        <f t="shared" si="175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139"/>
        <v>0</v>
      </c>
      <c r="Y105" s="475">
        <v>0</v>
      </c>
      <c r="Z105" s="475">
        <v>0</v>
      </c>
      <c r="AA105" s="475">
        <v>0</v>
      </c>
      <c r="AB105" s="475">
        <f t="shared" si="176"/>
        <v>0</v>
      </c>
      <c r="AC105" s="475">
        <f t="shared" si="177"/>
        <v>0</v>
      </c>
      <c r="AD105" s="70">
        <f t="shared" si="178"/>
        <v>0</v>
      </c>
      <c r="AE105" s="70">
        <f t="shared" si="179"/>
        <v>0</v>
      </c>
      <c r="AF105" s="475">
        <v>0</v>
      </c>
      <c r="AG105" s="475">
        <v>0</v>
      </c>
      <c r="AH105" s="475">
        <f t="shared" si="180"/>
        <v>0</v>
      </c>
      <c r="AI105" s="475">
        <f t="shared" si="181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476">
        <f t="shared" si="182"/>
        <v>0</v>
      </c>
      <c r="AS105" s="476">
        <f t="shared" si="183"/>
        <v>0</v>
      </c>
      <c r="AT105" s="478">
        <f t="shared" si="184"/>
        <v>0</v>
      </c>
      <c r="AU105" s="484">
        <f t="shared" si="185"/>
        <v>2271987</v>
      </c>
      <c r="AV105" s="475">
        <f t="shared" si="186"/>
        <v>1673039</v>
      </c>
      <c r="AW105" s="475">
        <f t="shared" si="187"/>
        <v>0</v>
      </c>
      <c r="AX105" s="475">
        <f t="shared" si="188"/>
        <v>565487</v>
      </c>
      <c r="AY105" s="475">
        <f t="shared" si="189"/>
        <v>33461</v>
      </c>
      <c r="AZ105" s="475">
        <f t="shared" si="190"/>
        <v>0</v>
      </c>
      <c r="BA105" s="476">
        <f t="shared" si="191"/>
        <v>3.4822000000000002</v>
      </c>
      <c r="BB105" s="476">
        <f t="shared" si="192"/>
        <v>3.4822000000000002</v>
      </c>
      <c r="BC105" s="478">
        <f t="shared" si="193"/>
        <v>0</v>
      </c>
    </row>
    <row r="106" spans="1:55" s="234" customFormat="1" x14ac:dyDescent="0.2">
      <c r="A106" s="221">
        <v>18</v>
      </c>
      <c r="B106" s="222">
        <v>4479</v>
      </c>
      <c r="C106" s="222">
        <v>600075150</v>
      </c>
      <c r="D106" s="222">
        <v>70982228</v>
      </c>
      <c r="E106" s="220" t="s">
        <v>183</v>
      </c>
      <c r="F106" s="222">
        <v>3143</v>
      </c>
      <c r="G106" s="172" t="s">
        <v>627</v>
      </c>
      <c r="H106" s="239" t="s">
        <v>278</v>
      </c>
      <c r="I106" s="477">
        <v>30241</v>
      </c>
      <c r="J106" s="472">
        <v>21385</v>
      </c>
      <c r="K106" s="472">
        <v>0</v>
      </c>
      <c r="L106" s="472">
        <v>7228</v>
      </c>
      <c r="M106" s="472">
        <v>428</v>
      </c>
      <c r="N106" s="472">
        <v>1200</v>
      </c>
      <c r="O106" s="473">
        <v>0.08</v>
      </c>
      <c r="P106" s="474">
        <v>0</v>
      </c>
      <c r="Q106" s="483">
        <v>0.08</v>
      </c>
      <c r="R106" s="485">
        <f t="shared" si="175"/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139"/>
        <v>0</v>
      </c>
      <c r="Y106" s="475">
        <v>0</v>
      </c>
      <c r="Z106" s="475">
        <v>0</v>
      </c>
      <c r="AA106" s="475">
        <v>0</v>
      </c>
      <c r="AB106" s="475">
        <f t="shared" si="176"/>
        <v>0</v>
      </c>
      <c r="AC106" s="475">
        <f t="shared" si="177"/>
        <v>0</v>
      </c>
      <c r="AD106" s="70">
        <f t="shared" si="178"/>
        <v>0</v>
      </c>
      <c r="AE106" s="70">
        <f t="shared" si="179"/>
        <v>0</v>
      </c>
      <c r="AF106" s="475">
        <v>0</v>
      </c>
      <c r="AG106" s="475">
        <v>0</v>
      </c>
      <c r="AH106" s="475">
        <f t="shared" si="180"/>
        <v>0</v>
      </c>
      <c r="AI106" s="475">
        <f t="shared" si="181"/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 t="shared" si="182"/>
        <v>0</v>
      </c>
      <c r="AS106" s="476">
        <f t="shared" si="183"/>
        <v>0</v>
      </c>
      <c r="AT106" s="478">
        <f t="shared" si="184"/>
        <v>0</v>
      </c>
      <c r="AU106" s="484">
        <f t="shared" si="185"/>
        <v>30241</v>
      </c>
      <c r="AV106" s="475">
        <f t="shared" si="186"/>
        <v>21385</v>
      </c>
      <c r="AW106" s="475">
        <f t="shared" si="187"/>
        <v>0</v>
      </c>
      <c r="AX106" s="475">
        <f t="shared" si="188"/>
        <v>7228</v>
      </c>
      <c r="AY106" s="475">
        <f t="shared" si="189"/>
        <v>428</v>
      </c>
      <c r="AZ106" s="475">
        <f t="shared" si="190"/>
        <v>1200</v>
      </c>
      <c r="BA106" s="476">
        <f t="shared" si="191"/>
        <v>0.08</v>
      </c>
      <c r="BB106" s="476">
        <f t="shared" si="192"/>
        <v>0</v>
      </c>
      <c r="BC106" s="478">
        <f t="shared" si="193"/>
        <v>0.08</v>
      </c>
    </row>
    <row r="107" spans="1:55" s="234" customFormat="1" x14ac:dyDescent="0.2">
      <c r="A107" s="221">
        <v>18</v>
      </c>
      <c r="B107" s="222">
        <v>4479</v>
      </c>
      <c r="C107" s="222">
        <v>600075150</v>
      </c>
      <c r="D107" s="222">
        <v>70982228</v>
      </c>
      <c r="E107" s="220" t="s">
        <v>183</v>
      </c>
      <c r="F107" s="222">
        <v>3143</v>
      </c>
      <c r="G107" s="172" t="s">
        <v>317</v>
      </c>
      <c r="H107" s="239" t="s">
        <v>278</v>
      </c>
      <c r="I107" s="477">
        <v>209681</v>
      </c>
      <c r="J107" s="472">
        <v>154169</v>
      </c>
      <c r="K107" s="472">
        <v>0</v>
      </c>
      <c r="L107" s="472">
        <v>52109</v>
      </c>
      <c r="M107" s="472">
        <v>3083</v>
      </c>
      <c r="N107" s="472">
        <v>320</v>
      </c>
      <c r="O107" s="473">
        <v>0.32999999999999996</v>
      </c>
      <c r="P107" s="474">
        <v>0.3</v>
      </c>
      <c r="Q107" s="483">
        <v>0.03</v>
      </c>
      <c r="R107" s="485">
        <f t="shared" si="175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139"/>
        <v>0</v>
      </c>
      <c r="Y107" s="475">
        <v>0</v>
      </c>
      <c r="Z107" s="475">
        <v>0</v>
      </c>
      <c r="AA107" s="475">
        <v>0</v>
      </c>
      <c r="AB107" s="475">
        <f t="shared" si="176"/>
        <v>0</v>
      </c>
      <c r="AC107" s="475">
        <f t="shared" si="177"/>
        <v>0</v>
      </c>
      <c r="AD107" s="70">
        <f t="shared" si="178"/>
        <v>0</v>
      </c>
      <c r="AE107" s="70">
        <f t="shared" si="179"/>
        <v>0</v>
      </c>
      <c r="AF107" s="475">
        <v>0</v>
      </c>
      <c r="AG107" s="475">
        <v>0</v>
      </c>
      <c r="AH107" s="475">
        <f t="shared" si="180"/>
        <v>0</v>
      </c>
      <c r="AI107" s="475">
        <f t="shared" si="181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 t="shared" si="182"/>
        <v>0</v>
      </c>
      <c r="AS107" s="476">
        <f t="shared" si="183"/>
        <v>0</v>
      </c>
      <c r="AT107" s="478">
        <f t="shared" si="184"/>
        <v>0</v>
      </c>
      <c r="AU107" s="484">
        <f t="shared" si="185"/>
        <v>209681</v>
      </c>
      <c r="AV107" s="475">
        <f t="shared" si="186"/>
        <v>154169</v>
      </c>
      <c r="AW107" s="475">
        <f t="shared" si="187"/>
        <v>0</v>
      </c>
      <c r="AX107" s="475">
        <f t="shared" si="188"/>
        <v>52109</v>
      </c>
      <c r="AY107" s="475">
        <f t="shared" si="189"/>
        <v>3083</v>
      </c>
      <c r="AZ107" s="475">
        <f t="shared" si="190"/>
        <v>320</v>
      </c>
      <c r="BA107" s="476">
        <f t="shared" si="191"/>
        <v>0.32999999999999996</v>
      </c>
      <c r="BB107" s="476">
        <f t="shared" si="192"/>
        <v>0.3</v>
      </c>
      <c r="BC107" s="478">
        <f t="shared" si="193"/>
        <v>0.03</v>
      </c>
    </row>
    <row r="108" spans="1:55" s="234" customFormat="1" x14ac:dyDescent="0.2">
      <c r="A108" s="162">
        <v>18</v>
      </c>
      <c r="B108" s="18">
        <v>4479</v>
      </c>
      <c r="C108" s="18">
        <v>600075150</v>
      </c>
      <c r="D108" s="18">
        <v>70982228</v>
      </c>
      <c r="E108" s="171" t="s">
        <v>184</v>
      </c>
      <c r="F108" s="18"/>
      <c r="G108" s="161"/>
      <c r="H108" s="195"/>
      <c r="I108" s="529">
        <v>57410990</v>
      </c>
      <c r="J108" s="526">
        <v>41641172</v>
      </c>
      <c r="K108" s="526">
        <v>0</v>
      </c>
      <c r="L108" s="526">
        <v>14074717</v>
      </c>
      <c r="M108" s="526">
        <v>832825</v>
      </c>
      <c r="N108" s="526">
        <v>862276</v>
      </c>
      <c r="O108" s="527">
        <v>83.661399999999986</v>
      </c>
      <c r="P108" s="527">
        <v>66.88900000000001</v>
      </c>
      <c r="Q108" s="531">
        <v>16.772399999999998</v>
      </c>
      <c r="R108" s="529">
        <f t="shared" ref="R108:BC108" si="194">SUM(R98:R107)</f>
        <v>0</v>
      </c>
      <c r="S108" s="526">
        <f t="shared" si="194"/>
        <v>0</v>
      </c>
      <c r="T108" s="526">
        <f t="shared" si="194"/>
        <v>796987</v>
      </c>
      <c r="U108" s="526">
        <f t="shared" si="194"/>
        <v>0</v>
      </c>
      <c r="V108" s="526">
        <f t="shared" si="194"/>
        <v>0</v>
      </c>
      <c r="W108" s="526">
        <f t="shared" si="194"/>
        <v>0</v>
      </c>
      <c r="X108" s="526">
        <f t="shared" si="194"/>
        <v>796987</v>
      </c>
      <c r="Y108" s="526">
        <f t="shared" si="194"/>
        <v>0</v>
      </c>
      <c r="Z108" s="526">
        <f t="shared" si="194"/>
        <v>0</v>
      </c>
      <c r="AA108" s="526">
        <f t="shared" si="194"/>
        <v>0</v>
      </c>
      <c r="AB108" s="526">
        <f t="shared" si="194"/>
        <v>0</v>
      </c>
      <c r="AC108" s="526">
        <f t="shared" si="194"/>
        <v>796987</v>
      </c>
      <c r="AD108" s="526">
        <f t="shared" si="194"/>
        <v>269381</v>
      </c>
      <c r="AE108" s="526">
        <f t="shared" si="194"/>
        <v>15940</v>
      </c>
      <c r="AF108" s="526">
        <f t="shared" si="194"/>
        <v>0</v>
      </c>
      <c r="AG108" s="526">
        <f t="shared" si="194"/>
        <v>0</v>
      </c>
      <c r="AH108" s="526">
        <f t="shared" si="194"/>
        <v>0</v>
      </c>
      <c r="AI108" s="526">
        <f t="shared" si="194"/>
        <v>1082308</v>
      </c>
      <c r="AJ108" s="527">
        <f t="shared" si="194"/>
        <v>0</v>
      </c>
      <c r="AK108" s="527">
        <f t="shared" si="194"/>
        <v>0</v>
      </c>
      <c r="AL108" s="527">
        <f t="shared" si="194"/>
        <v>0</v>
      </c>
      <c r="AM108" s="527">
        <f t="shared" si="194"/>
        <v>1.53</v>
      </c>
      <c r="AN108" s="527">
        <f t="shared" si="194"/>
        <v>0.08</v>
      </c>
      <c r="AO108" s="527">
        <f t="shared" si="194"/>
        <v>0</v>
      </c>
      <c r="AP108" s="527">
        <f t="shared" si="194"/>
        <v>0</v>
      </c>
      <c r="AQ108" s="527">
        <f t="shared" si="194"/>
        <v>0</v>
      </c>
      <c r="AR108" s="527">
        <f t="shared" si="194"/>
        <v>1.53</v>
      </c>
      <c r="AS108" s="527">
        <f t="shared" si="194"/>
        <v>0.08</v>
      </c>
      <c r="AT108" s="40">
        <f t="shared" si="194"/>
        <v>1.61</v>
      </c>
      <c r="AU108" s="533">
        <f t="shared" si="194"/>
        <v>58493298</v>
      </c>
      <c r="AV108" s="526">
        <f t="shared" si="194"/>
        <v>42438159</v>
      </c>
      <c r="AW108" s="526">
        <f t="shared" si="194"/>
        <v>0</v>
      </c>
      <c r="AX108" s="526">
        <f t="shared" si="194"/>
        <v>14344098</v>
      </c>
      <c r="AY108" s="526">
        <f t="shared" si="194"/>
        <v>848765</v>
      </c>
      <c r="AZ108" s="526">
        <f t="shared" si="194"/>
        <v>862276</v>
      </c>
      <c r="BA108" s="527">
        <f t="shared" si="194"/>
        <v>85.271399999999986</v>
      </c>
      <c r="BB108" s="527">
        <f t="shared" si="194"/>
        <v>68.418999999999997</v>
      </c>
      <c r="BC108" s="40">
        <f t="shared" si="194"/>
        <v>16.852399999999999</v>
      </c>
    </row>
    <row r="109" spans="1:55" s="234" customFormat="1" x14ac:dyDescent="0.2">
      <c r="A109" s="221">
        <v>19</v>
      </c>
      <c r="B109" s="222">
        <v>4473</v>
      </c>
      <c r="C109" s="222">
        <v>600075117</v>
      </c>
      <c r="D109" s="222">
        <v>62237021</v>
      </c>
      <c r="E109" s="220" t="s">
        <v>185</v>
      </c>
      <c r="F109" s="222">
        <v>3231</v>
      </c>
      <c r="G109" s="172" t="s">
        <v>316</v>
      </c>
      <c r="H109" s="223" t="s">
        <v>277</v>
      </c>
      <c r="I109" s="477">
        <v>29874463</v>
      </c>
      <c r="J109" s="472">
        <v>21928456</v>
      </c>
      <c r="K109" s="472">
        <v>0</v>
      </c>
      <c r="L109" s="472">
        <v>7411818</v>
      </c>
      <c r="M109" s="472">
        <v>438569</v>
      </c>
      <c r="N109" s="472">
        <v>95620</v>
      </c>
      <c r="O109" s="473">
        <v>40.7239</v>
      </c>
      <c r="P109" s="474">
        <v>36.190399999999997</v>
      </c>
      <c r="Q109" s="483">
        <v>4.5335000000000001</v>
      </c>
      <c r="R109" s="485">
        <f t="shared" ref="R109" si="195">Y109*-1</f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139"/>
        <v>0</v>
      </c>
      <c r="Y109" s="475">
        <v>0</v>
      </c>
      <c r="Z109" s="475">
        <v>0</v>
      </c>
      <c r="AA109" s="475">
        <v>0</v>
      </c>
      <c r="AB109" s="475">
        <f t="shared" ref="AB109" si="196">SUM(Y109:AA109)</f>
        <v>0</v>
      </c>
      <c r="AC109" s="475">
        <f>X109+AB109</f>
        <v>0</v>
      </c>
      <c r="AD109" s="70">
        <f>ROUND((X109+Y109+Z109)*33.8%,0)</f>
        <v>0</v>
      </c>
      <c r="AE109" s="70">
        <f>ROUND(X109*2%,0)</f>
        <v>0</v>
      </c>
      <c r="AF109" s="475">
        <v>0</v>
      </c>
      <c r="AG109" s="475">
        <v>0</v>
      </c>
      <c r="AH109" s="475">
        <f t="shared" ref="AH109" si="197">SUM(AF109:AG109)</f>
        <v>0</v>
      </c>
      <c r="AI109" s="475">
        <f t="shared" ref="AI109" si="198">AC109+AD109+AE109+AH109</f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ref="AT109" si="199">SUM(AR109:AS109)</f>
        <v>0</v>
      </c>
      <c r="AU109" s="484">
        <f>I109+AI109</f>
        <v>29874463</v>
      </c>
      <c r="AV109" s="475">
        <f>J109+X109</f>
        <v>21928456</v>
      </c>
      <c r="AW109" s="475">
        <f>K109+AB109</f>
        <v>0</v>
      </c>
      <c r="AX109" s="475">
        <f>L109+AD109</f>
        <v>7411818</v>
      </c>
      <c r="AY109" s="475">
        <f>M109+AE109</f>
        <v>438569</v>
      </c>
      <c r="AZ109" s="475">
        <f>N109+AH109</f>
        <v>95620</v>
      </c>
      <c r="BA109" s="476">
        <f>O109+AT109</f>
        <v>40.7239</v>
      </c>
      <c r="BB109" s="476">
        <f>P109+AR109</f>
        <v>36.190399999999997</v>
      </c>
      <c r="BC109" s="478">
        <f>Q109+AS109</f>
        <v>4.5335000000000001</v>
      </c>
    </row>
    <row r="110" spans="1:55" s="234" customFormat="1" x14ac:dyDescent="0.2">
      <c r="A110" s="162">
        <v>19</v>
      </c>
      <c r="B110" s="18">
        <v>4473</v>
      </c>
      <c r="C110" s="18">
        <v>600075117</v>
      </c>
      <c r="D110" s="18">
        <v>62237021</v>
      </c>
      <c r="E110" s="171" t="s">
        <v>186</v>
      </c>
      <c r="F110" s="18"/>
      <c r="G110" s="161"/>
      <c r="H110" s="195"/>
      <c r="I110" s="529">
        <v>29874463</v>
      </c>
      <c r="J110" s="526">
        <v>21928456</v>
      </c>
      <c r="K110" s="526">
        <v>0</v>
      </c>
      <c r="L110" s="526">
        <v>7411818</v>
      </c>
      <c r="M110" s="526">
        <v>438569</v>
      </c>
      <c r="N110" s="526">
        <v>95620</v>
      </c>
      <c r="O110" s="527">
        <v>40.7239</v>
      </c>
      <c r="P110" s="527">
        <v>36.190399999999997</v>
      </c>
      <c r="Q110" s="531">
        <v>4.5335000000000001</v>
      </c>
      <c r="R110" s="529">
        <f t="shared" ref="R110:BC110" si="200">SUM(R109)</f>
        <v>0</v>
      </c>
      <c r="S110" s="526">
        <f t="shared" si="200"/>
        <v>0</v>
      </c>
      <c r="T110" s="526">
        <f t="shared" si="200"/>
        <v>0</v>
      </c>
      <c r="U110" s="526">
        <f t="shared" si="200"/>
        <v>0</v>
      </c>
      <c r="V110" s="526">
        <f t="shared" si="200"/>
        <v>0</v>
      </c>
      <c r="W110" s="526">
        <f t="shared" si="200"/>
        <v>0</v>
      </c>
      <c r="X110" s="526">
        <f t="shared" si="200"/>
        <v>0</v>
      </c>
      <c r="Y110" s="526">
        <f t="shared" si="200"/>
        <v>0</v>
      </c>
      <c r="Z110" s="526">
        <f t="shared" si="200"/>
        <v>0</v>
      </c>
      <c r="AA110" s="526">
        <f t="shared" si="200"/>
        <v>0</v>
      </c>
      <c r="AB110" s="526">
        <f t="shared" si="200"/>
        <v>0</v>
      </c>
      <c r="AC110" s="526">
        <f t="shared" si="200"/>
        <v>0</v>
      </c>
      <c r="AD110" s="526">
        <f t="shared" si="200"/>
        <v>0</v>
      </c>
      <c r="AE110" s="526">
        <f t="shared" si="200"/>
        <v>0</v>
      </c>
      <c r="AF110" s="526">
        <f t="shared" si="200"/>
        <v>0</v>
      </c>
      <c r="AG110" s="526">
        <f t="shared" si="200"/>
        <v>0</v>
      </c>
      <c r="AH110" s="526">
        <f t="shared" si="200"/>
        <v>0</v>
      </c>
      <c r="AI110" s="526">
        <f t="shared" si="200"/>
        <v>0</v>
      </c>
      <c r="AJ110" s="527">
        <f t="shared" si="200"/>
        <v>0</v>
      </c>
      <c r="AK110" s="527">
        <f t="shared" si="200"/>
        <v>0</v>
      </c>
      <c r="AL110" s="527">
        <f t="shared" si="200"/>
        <v>0</v>
      </c>
      <c r="AM110" s="527">
        <f t="shared" si="200"/>
        <v>0</v>
      </c>
      <c r="AN110" s="527">
        <f t="shared" si="200"/>
        <v>0</v>
      </c>
      <c r="AO110" s="527">
        <f t="shared" si="200"/>
        <v>0</v>
      </c>
      <c r="AP110" s="527">
        <f t="shared" si="200"/>
        <v>0</v>
      </c>
      <c r="AQ110" s="527">
        <f t="shared" si="200"/>
        <v>0</v>
      </c>
      <c r="AR110" s="527">
        <f t="shared" si="200"/>
        <v>0</v>
      </c>
      <c r="AS110" s="527">
        <f t="shared" si="200"/>
        <v>0</v>
      </c>
      <c r="AT110" s="40">
        <f t="shared" si="200"/>
        <v>0</v>
      </c>
      <c r="AU110" s="533">
        <f t="shared" si="200"/>
        <v>29874463</v>
      </c>
      <c r="AV110" s="526">
        <f t="shared" si="200"/>
        <v>21928456</v>
      </c>
      <c r="AW110" s="526">
        <f t="shared" si="200"/>
        <v>0</v>
      </c>
      <c r="AX110" s="526">
        <f t="shared" si="200"/>
        <v>7411818</v>
      </c>
      <c r="AY110" s="526">
        <f t="shared" si="200"/>
        <v>438569</v>
      </c>
      <c r="AZ110" s="526">
        <f t="shared" si="200"/>
        <v>95620</v>
      </c>
      <c r="BA110" s="527">
        <f t="shared" si="200"/>
        <v>40.7239</v>
      </c>
      <c r="BB110" s="527">
        <f t="shared" si="200"/>
        <v>36.190399999999997</v>
      </c>
      <c r="BC110" s="40">
        <f t="shared" si="200"/>
        <v>4.5335000000000001</v>
      </c>
    </row>
    <row r="111" spans="1:55" s="234" customFormat="1" x14ac:dyDescent="0.2">
      <c r="A111" s="221">
        <v>20</v>
      </c>
      <c r="B111" s="222">
        <v>4485</v>
      </c>
      <c r="C111" s="222">
        <v>600074102</v>
      </c>
      <c r="D111" s="222">
        <v>70695113</v>
      </c>
      <c r="E111" s="220" t="s">
        <v>187</v>
      </c>
      <c r="F111" s="222">
        <v>3111</v>
      </c>
      <c r="G111" s="172" t="s">
        <v>311</v>
      </c>
      <c r="H111" s="223" t="s">
        <v>277</v>
      </c>
      <c r="I111" s="477">
        <v>3179620</v>
      </c>
      <c r="J111" s="472">
        <v>2255243</v>
      </c>
      <c r="K111" s="472">
        <v>75000</v>
      </c>
      <c r="L111" s="472">
        <v>787622</v>
      </c>
      <c r="M111" s="472">
        <v>45105</v>
      </c>
      <c r="N111" s="472">
        <v>16650</v>
      </c>
      <c r="O111" s="473">
        <v>5.0198</v>
      </c>
      <c r="P111" s="474">
        <v>4</v>
      </c>
      <c r="Q111" s="483">
        <v>1.0198</v>
      </c>
      <c r="R111" s="485">
        <f t="shared" ref="R111:R113" si="201">Y111*-1</f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139"/>
        <v>0</v>
      </c>
      <c r="Y111" s="475">
        <v>0</v>
      </c>
      <c r="Z111" s="475">
        <v>0</v>
      </c>
      <c r="AA111" s="475">
        <v>0</v>
      </c>
      <c r="AB111" s="475">
        <f t="shared" ref="AB111:AB113" si="202">SUM(Y111:AA111)</f>
        <v>0</v>
      </c>
      <c r="AC111" s="475">
        <f>X111+AB111</f>
        <v>0</v>
      </c>
      <c r="AD111" s="70">
        <f>ROUND((X111+Y111+Z111)*33.8%,0)</f>
        <v>0</v>
      </c>
      <c r="AE111" s="70">
        <f>ROUND(X111*2%,0)</f>
        <v>0</v>
      </c>
      <c r="AF111" s="475">
        <v>0</v>
      </c>
      <c r="AG111" s="475">
        <v>0</v>
      </c>
      <c r="AH111" s="475">
        <f t="shared" ref="AH111:AH113" si="203">SUM(AF111:AG111)</f>
        <v>0</v>
      </c>
      <c r="AI111" s="475">
        <f t="shared" ref="AI111:AI113" si="204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ref="AT111:AT113" si="205">SUM(AR111:AS111)</f>
        <v>0</v>
      </c>
      <c r="AU111" s="484">
        <f>I111+AI111</f>
        <v>3179620</v>
      </c>
      <c r="AV111" s="475">
        <f>J111+X111</f>
        <v>2255243</v>
      </c>
      <c r="AW111" s="475">
        <f>K111+AB111</f>
        <v>75000</v>
      </c>
      <c r="AX111" s="475">
        <f t="shared" ref="AX111:AY113" si="206">L111+AD111</f>
        <v>787622</v>
      </c>
      <c r="AY111" s="475">
        <f t="shared" si="206"/>
        <v>45105</v>
      </c>
      <c r="AZ111" s="475">
        <f>N111+AH111</f>
        <v>16650</v>
      </c>
      <c r="BA111" s="476">
        <f>O111+AT111</f>
        <v>5.0198</v>
      </c>
      <c r="BB111" s="476">
        <f t="shared" ref="BB111:BC113" si="207">P111+AR111</f>
        <v>4</v>
      </c>
      <c r="BC111" s="478">
        <f t="shared" si="207"/>
        <v>1.0198</v>
      </c>
    </row>
    <row r="112" spans="1:55" s="234" customFormat="1" x14ac:dyDescent="0.2">
      <c r="A112" s="221">
        <v>20</v>
      </c>
      <c r="B112" s="222">
        <v>4485</v>
      </c>
      <c r="C112" s="222">
        <v>600074102</v>
      </c>
      <c r="D112" s="222">
        <v>70695113</v>
      </c>
      <c r="E112" s="220" t="s">
        <v>187</v>
      </c>
      <c r="F112" s="222">
        <v>3111</v>
      </c>
      <c r="G112" s="172" t="s">
        <v>312</v>
      </c>
      <c r="H112" s="223" t="s">
        <v>278</v>
      </c>
      <c r="I112" s="477">
        <v>705705</v>
      </c>
      <c r="J112" s="472">
        <v>519665</v>
      </c>
      <c r="K112" s="472">
        <v>0</v>
      </c>
      <c r="L112" s="472">
        <v>175647</v>
      </c>
      <c r="M112" s="472">
        <v>10393</v>
      </c>
      <c r="N112" s="472">
        <v>0</v>
      </c>
      <c r="O112" s="473">
        <v>1.5</v>
      </c>
      <c r="P112" s="474">
        <v>1.5</v>
      </c>
      <c r="Q112" s="483">
        <v>0</v>
      </c>
      <c r="R112" s="485">
        <f t="shared" si="201"/>
        <v>0</v>
      </c>
      <c r="S112" s="475">
        <v>57740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139"/>
        <v>57740</v>
      </c>
      <c r="Y112" s="475">
        <v>0</v>
      </c>
      <c r="Z112" s="475">
        <v>0</v>
      </c>
      <c r="AA112" s="475">
        <v>0</v>
      </c>
      <c r="AB112" s="475">
        <f t="shared" si="202"/>
        <v>0</v>
      </c>
      <c r="AC112" s="475">
        <f>X112+AB112</f>
        <v>57740</v>
      </c>
      <c r="AD112" s="70">
        <f>ROUND((X112+Y112+Z112)*33.8%,0)</f>
        <v>19516</v>
      </c>
      <c r="AE112" s="70">
        <f>ROUND(X112*2%,0)</f>
        <v>1155</v>
      </c>
      <c r="AF112" s="475">
        <v>3000</v>
      </c>
      <c r="AG112" s="475">
        <v>0</v>
      </c>
      <c r="AH112" s="475">
        <f t="shared" si="203"/>
        <v>3000</v>
      </c>
      <c r="AI112" s="475">
        <f t="shared" si="204"/>
        <v>81411</v>
      </c>
      <c r="AJ112" s="476">
        <v>0</v>
      </c>
      <c r="AK112" s="476">
        <v>0</v>
      </c>
      <c r="AL112" s="476">
        <v>0.16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0.16</v>
      </c>
      <c r="AS112" s="476">
        <f>AK112+AN112+AQ112</f>
        <v>0</v>
      </c>
      <c r="AT112" s="478">
        <f t="shared" si="205"/>
        <v>0.16</v>
      </c>
      <c r="AU112" s="484">
        <f>I112+AI112</f>
        <v>787116</v>
      </c>
      <c r="AV112" s="475">
        <f>J112+X112</f>
        <v>577405</v>
      </c>
      <c r="AW112" s="475">
        <f>K112+AB112</f>
        <v>0</v>
      </c>
      <c r="AX112" s="475">
        <f t="shared" si="206"/>
        <v>195163</v>
      </c>
      <c r="AY112" s="475">
        <f t="shared" si="206"/>
        <v>11548</v>
      </c>
      <c r="AZ112" s="475">
        <f>N112+AH112</f>
        <v>3000</v>
      </c>
      <c r="BA112" s="476">
        <f>O112+AT112</f>
        <v>1.66</v>
      </c>
      <c r="BB112" s="476">
        <f t="shared" si="207"/>
        <v>1.66</v>
      </c>
      <c r="BC112" s="478">
        <f t="shared" si="207"/>
        <v>0</v>
      </c>
    </row>
    <row r="113" spans="1:55" s="234" customFormat="1" x14ac:dyDescent="0.2">
      <c r="A113" s="221">
        <v>20</v>
      </c>
      <c r="B113" s="222">
        <v>4485</v>
      </c>
      <c r="C113" s="222">
        <v>600074102</v>
      </c>
      <c r="D113" s="222">
        <v>70695113</v>
      </c>
      <c r="E113" s="220" t="s">
        <v>187</v>
      </c>
      <c r="F113" s="222">
        <v>3141</v>
      </c>
      <c r="G113" s="172" t="s">
        <v>315</v>
      </c>
      <c r="H113" s="223" t="s">
        <v>278</v>
      </c>
      <c r="I113" s="477">
        <v>997506</v>
      </c>
      <c r="J113" s="472">
        <v>731533</v>
      </c>
      <c r="K113" s="472">
        <v>0</v>
      </c>
      <c r="L113" s="472">
        <v>247258</v>
      </c>
      <c r="M113" s="472">
        <v>14631</v>
      </c>
      <c r="N113" s="472">
        <v>4084</v>
      </c>
      <c r="O113" s="473">
        <v>2.2999999999999998</v>
      </c>
      <c r="P113" s="474">
        <v>0</v>
      </c>
      <c r="Q113" s="483">
        <v>2.2999999999999998</v>
      </c>
      <c r="R113" s="485">
        <f t="shared" si="201"/>
        <v>0</v>
      </c>
      <c r="S113" s="475">
        <v>0</v>
      </c>
      <c r="T113" s="475">
        <v>-5497</v>
      </c>
      <c r="U113" s="475">
        <v>0</v>
      </c>
      <c r="V113" s="475">
        <v>0</v>
      </c>
      <c r="W113" s="475">
        <v>0</v>
      </c>
      <c r="X113" s="475">
        <f t="shared" si="139"/>
        <v>-5497</v>
      </c>
      <c r="Y113" s="475">
        <v>0</v>
      </c>
      <c r="Z113" s="475">
        <v>0</v>
      </c>
      <c r="AA113" s="475">
        <v>0</v>
      </c>
      <c r="AB113" s="475">
        <f t="shared" si="202"/>
        <v>0</v>
      </c>
      <c r="AC113" s="475">
        <f>X113+AB113</f>
        <v>-5497</v>
      </c>
      <c r="AD113" s="70">
        <f>ROUND((X113+Y113+Z113)*33.8%,0)</f>
        <v>-1858</v>
      </c>
      <c r="AE113" s="70">
        <f>ROUND(X113*2%,0)</f>
        <v>-110</v>
      </c>
      <c r="AF113" s="475">
        <v>0</v>
      </c>
      <c r="AG113" s="475">
        <v>0</v>
      </c>
      <c r="AH113" s="475">
        <f t="shared" si="203"/>
        <v>0</v>
      </c>
      <c r="AI113" s="475">
        <f t="shared" si="204"/>
        <v>-7465</v>
      </c>
      <c r="AJ113" s="476">
        <v>0</v>
      </c>
      <c r="AK113" s="476">
        <v>0</v>
      </c>
      <c r="AL113" s="476">
        <v>0</v>
      </c>
      <c r="AM113" s="476">
        <v>0</v>
      </c>
      <c r="AN113" s="476">
        <v>-0.02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-0.02</v>
      </c>
      <c r="AT113" s="478">
        <f t="shared" si="205"/>
        <v>-0.02</v>
      </c>
      <c r="AU113" s="484">
        <f>I113+AI113</f>
        <v>990041</v>
      </c>
      <c r="AV113" s="475">
        <f>J113+X113</f>
        <v>726036</v>
      </c>
      <c r="AW113" s="475">
        <f>K113+AB113</f>
        <v>0</v>
      </c>
      <c r="AX113" s="475">
        <f t="shared" si="206"/>
        <v>245400</v>
      </c>
      <c r="AY113" s="475">
        <f t="shared" si="206"/>
        <v>14521</v>
      </c>
      <c r="AZ113" s="475">
        <f>N113+AH113</f>
        <v>4084</v>
      </c>
      <c r="BA113" s="476">
        <f>O113+AT113</f>
        <v>2.2799999999999998</v>
      </c>
      <c r="BB113" s="476">
        <f t="shared" si="207"/>
        <v>0</v>
      </c>
      <c r="BC113" s="478">
        <f t="shared" si="207"/>
        <v>2.2799999999999998</v>
      </c>
    </row>
    <row r="114" spans="1:55" s="234" customFormat="1" x14ac:dyDescent="0.2">
      <c r="A114" s="162">
        <v>20</v>
      </c>
      <c r="B114" s="18">
        <v>4485</v>
      </c>
      <c r="C114" s="18">
        <v>600074102</v>
      </c>
      <c r="D114" s="18">
        <v>70695113</v>
      </c>
      <c r="E114" s="171" t="s">
        <v>188</v>
      </c>
      <c r="F114" s="18"/>
      <c r="G114" s="161"/>
      <c r="H114" s="195"/>
      <c r="I114" s="529">
        <v>4882831</v>
      </c>
      <c r="J114" s="526">
        <v>3506441</v>
      </c>
      <c r="K114" s="526">
        <v>75000</v>
      </c>
      <c r="L114" s="526">
        <v>1210527</v>
      </c>
      <c r="M114" s="526">
        <v>70129</v>
      </c>
      <c r="N114" s="526">
        <v>20734</v>
      </c>
      <c r="O114" s="527">
        <v>8.8198000000000008</v>
      </c>
      <c r="P114" s="527">
        <v>5.5</v>
      </c>
      <c r="Q114" s="531">
        <v>3.3197999999999999</v>
      </c>
      <c r="R114" s="529">
        <f t="shared" ref="R114:BC114" si="208">SUM(R111:R113)</f>
        <v>0</v>
      </c>
      <c r="S114" s="526">
        <f t="shared" si="208"/>
        <v>57740</v>
      </c>
      <c r="T114" s="526">
        <f t="shared" si="208"/>
        <v>-5497</v>
      </c>
      <c r="U114" s="526">
        <f t="shared" si="208"/>
        <v>0</v>
      </c>
      <c r="V114" s="526">
        <f t="shared" si="208"/>
        <v>0</v>
      </c>
      <c r="W114" s="526">
        <f t="shared" si="208"/>
        <v>0</v>
      </c>
      <c r="X114" s="526">
        <f t="shared" si="208"/>
        <v>52243</v>
      </c>
      <c r="Y114" s="526">
        <f t="shared" si="208"/>
        <v>0</v>
      </c>
      <c r="Z114" s="526">
        <f t="shared" si="208"/>
        <v>0</v>
      </c>
      <c r="AA114" s="526">
        <f t="shared" si="208"/>
        <v>0</v>
      </c>
      <c r="AB114" s="526">
        <f t="shared" si="208"/>
        <v>0</v>
      </c>
      <c r="AC114" s="526">
        <f t="shared" si="208"/>
        <v>52243</v>
      </c>
      <c r="AD114" s="526">
        <f t="shared" si="208"/>
        <v>17658</v>
      </c>
      <c r="AE114" s="526">
        <f t="shared" si="208"/>
        <v>1045</v>
      </c>
      <c r="AF114" s="526">
        <f t="shared" si="208"/>
        <v>3000</v>
      </c>
      <c r="AG114" s="526">
        <f t="shared" si="208"/>
        <v>0</v>
      </c>
      <c r="AH114" s="526">
        <f t="shared" si="208"/>
        <v>3000</v>
      </c>
      <c r="AI114" s="526">
        <f t="shared" si="208"/>
        <v>73946</v>
      </c>
      <c r="AJ114" s="527">
        <f t="shared" si="208"/>
        <v>0</v>
      </c>
      <c r="AK114" s="527">
        <f t="shared" si="208"/>
        <v>0</v>
      </c>
      <c r="AL114" s="527">
        <f t="shared" si="208"/>
        <v>0.16</v>
      </c>
      <c r="AM114" s="527">
        <f t="shared" si="208"/>
        <v>0</v>
      </c>
      <c r="AN114" s="527">
        <f t="shared" si="208"/>
        <v>-0.02</v>
      </c>
      <c r="AO114" s="527">
        <f t="shared" si="208"/>
        <v>0</v>
      </c>
      <c r="AP114" s="527">
        <f t="shared" si="208"/>
        <v>0</v>
      </c>
      <c r="AQ114" s="527">
        <f t="shared" si="208"/>
        <v>0</v>
      </c>
      <c r="AR114" s="527">
        <f t="shared" si="208"/>
        <v>0.16</v>
      </c>
      <c r="AS114" s="527">
        <f t="shared" si="208"/>
        <v>-0.02</v>
      </c>
      <c r="AT114" s="40">
        <f t="shared" si="208"/>
        <v>0.14000000000000001</v>
      </c>
      <c r="AU114" s="533">
        <f t="shared" si="208"/>
        <v>4956777</v>
      </c>
      <c r="AV114" s="526">
        <f t="shared" si="208"/>
        <v>3558684</v>
      </c>
      <c r="AW114" s="526">
        <f t="shared" si="208"/>
        <v>75000</v>
      </c>
      <c r="AX114" s="526">
        <f t="shared" si="208"/>
        <v>1228185</v>
      </c>
      <c r="AY114" s="526">
        <f t="shared" si="208"/>
        <v>71174</v>
      </c>
      <c r="AZ114" s="526">
        <f t="shared" si="208"/>
        <v>23734</v>
      </c>
      <c r="BA114" s="527">
        <f t="shared" si="208"/>
        <v>8.9597999999999995</v>
      </c>
      <c r="BB114" s="527">
        <f t="shared" si="208"/>
        <v>5.66</v>
      </c>
      <c r="BC114" s="40">
        <f t="shared" si="208"/>
        <v>3.2997999999999998</v>
      </c>
    </row>
    <row r="115" spans="1:55" s="234" customFormat="1" x14ac:dyDescent="0.2">
      <c r="A115" s="221">
        <v>21</v>
      </c>
      <c r="B115" s="222">
        <v>4435</v>
      </c>
      <c r="C115" s="222">
        <v>650034295</v>
      </c>
      <c r="D115" s="222">
        <v>72744669</v>
      </c>
      <c r="E115" s="220" t="s">
        <v>189</v>
      </c>
      <c r="F115" s="222">
        <v>3111</v>
      </c>
      <c r="G115" s="172" t="s">
        <v>311</v>
      </c>
      <c r="H115" s="223" t="s">
        <v>277</v>
      </c>
      <c r="I115" s="477">
        <v>3901509</v>
      </c>
      <c r="J115" s="472">
        <v>2828163</v>
      </c>
      <c r="K115" s="472">
        <v>28000</v>
      </c>
      <c r="L115" s="472">
        <v>965383</v>
      </c>
      <c r="M115" s="472">
        <v>56563</v>
      </c>
      <c r="N115" s="472">
        <v>23400</v>
      </c>
      <c r="O115" s="473">
        <v>6.8827999999999996</v>
      </c>
      <c r="P115" s="474">
        <v>5.5</v>
      </c>
      <c r="Q115" s="483">
        <v>1.3828</v>
      </c>
      <c r="R115" s="485">
        <f t="shared" ref="R115:R120" si="209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139"/>
        <v>0</v>
      </c>
      <c r="Y115" s="475">
        <v>0</v>
      </c>
      <c r="Z115" s="475">
        <v>0</v>
      </c>
      <c r="AA115" s="475">
        <v>0</v>
      </c>
      <c r="AB115" s="475">
        <f t="shared" ref="AB115:AB120" si="210">SUM(Y115:AA115)</f>
        <v>0</v>
      </c>
      <c r="AC115" s="475">
        <f t="shared" ref="AC115:AC120" si="211">X115+AB115</f>
        <v>0</v>
      </c>
      <c r="AD115" s="70">
        <f t="shared" ref="AD115:AD120" si="212">ROUND((X115+Y115+Z115)*33.8%,0)</f>
        <v>0</v>
      </c>
      <c r="AE115" s="70">
        <f t="shared" ref="AE115:AE120" si="213">ROUND(X115*2%,0)</f>
        <v>0</v>
      </c>
      <c r="AF115" s="475">
        <v>0</v>
      </c>
      <c r="AG115" s="475">
        <v>0</v>
      </c>
      <c r="AH115" s="475">
        <f t="shared" ref="AH115:AH120" si="214">SUM(AF115:AG115)</f>
        <v>0</v>
      </c>
      <c r="AI115" s="475">
        <f t="shared" ref="AI115:AI120" si="215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 t="shared" ref="AR115:AR120" si="216">AJ115+AL115+AM115+AO115+AP115</f>
        <v>0</v>
      </c>
      <c r="AS115" s="476">
        <f t="shared" ref="AS115:AS120" si="217">AK115+AN115+AQ115</f>
        <v>0</v>
      </c>
      <c r="AT115" s="478">
        <f t="shared" ref="AT115:AT120" si="218">SUM(AR115:AS115)</f>
        <v>0</v>
      </c>
      <c r="AU115" s="484">
        <f t="shared" ref="AU115:AU120" si="219">I115+AI115</f>
        <v>3901509</v>
      </c>
      <c r="AV115" s="475">
        <f t="shared" ref="AV115:AV120" si="220">J115+X115</f>
        <v>2828163</v>
      </c>
      <c r="AW115" s="475">
        <f t="shared" ref="AW115:AW120" si="221">K115+AB115</f>
        <v>28000</v>
      </c>
      <c r="AX115" s="475">
        <f t="shared" ref="AX115:AY120" si="222">L115+AD115</f>
        <v>965383</v>
      </c>
      <c r="AY115" s="475">
        <f t="shared" si="222"/>
        <v>56563</v>
      </c>
      <c r="AZ115" s="475">
        <f t="shared" ref="AZ115:AZ120" si="223">N115+AH115</f>
        <v>23400</v>
      </c>
      <c r="BA115" s="476">
        <f t="shared" ref="BA115:BA120" si="224">O115+AT115</f>
        <v>6.8827999999999996</v>
      </c>
      <c r="BB115" s="476">
        <f t="shared" ref="BB115:BC120" si="225">P115+AR115</f>
        <v>5.5</v>
      </c>
      <c r="BC115" s="478">
        <f t="shared" si="225"/>
        <v>1.3828</v>
      </c>
    </row>
    <row r="116" spans="1:55" s="234" customFormat="1" x14ac:dyDescent="0.2">
      <c r="A116" s="221">
        <v>21</v>
      </c>
      <c r="B116" s="222">
        <v>4435</v>
      </c>
      <c r="C116" s="222">
        <v>650034295</v>
      </c>
      <c r="D116" s="222">
        <v>72744669</v>
      </c>
      <c r="E116" s="220" t="s">
        <v>189</v>
      </c>
      <c r="F116" s="222">
        <v>3117</v>
      </c>
      <c r="G116" s="172" t="s">
        <v>314</v>
      </c>
      <c r="H116" s="223" t="s">
        <v>277</v>
      </c>
      <c r="I116" s="477">
        <v>6188234</v>
      </c>
      <c r="J116" s="472">
        <v>4406320</v>
      </c>
      <c r="K116" s="472">
        <v>30000</v>
      </c>
      <c r="L116" s="472">
        <v>1499476</v>
      </c>
      <c r="M116" s="472">
        <v>88127</v>
      </c>
      <c r="N116" s="472">
        <v>164311</v>
      </c>
      <c r="O116" s="473">
        <v>8.980599999999999</v>
      </c>
      <c r="P116" s="474">
        <v>5.8029999999999999</v>
      </c>
      <c r="Q116" s="483">
        <v>3.1776</v>
      </c>
      <c r="R116" s="485">
        <f t="shared" si="209"/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139"/>
        <v>0</v>
      </c>
      <c r="Y116" s="475">
        <v>0</v>
      </c>
      <c r="Z116" s="475">
        <v>0</v>
      </c>
      <c r="AA116" s="475">
        <v>0</v>
      </c>
      <c r="AB116" s="475">
        <f t="shared" si="210"/>
        <v>0</v>
      </c>
      <c r="AC116" s="475">
        <f t="shared" si="211"/>
        <v>0</v>
      </c>
      <c r="AD116" s="70">
        <f t="shared" si="212"/>
        <v>0</v>
      </c>
      <c r="AE116" s="70">
        <f t="shared" si="213"/>
        <v>0</v>
      </c>
      <c r="AF116" s="475">
        <v>0</v>
      </c>
      <c r="AG116" s="475">
        <v>0</v>
      </c>
      <c r="AH116" s="475">
        <f t="shared" si="214"/>
        <v>0</v>
      </c>
      <c r="AI116" s="475">
        <f t="shared" si="215"/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476">
        <f t="shared" si="216"/>
        <v>0</v>
      </c>
      <c r="AS116" s="476">
        <f t="shared" si="217"/>
        <v>0</v>
      </c>
      <c r="AT116" s="478">
        <f t="shared" si="218"/>
        <v>0</v>
      </c>
      <c r="AU116" s="484">
        <f t="shared" si="219"/>
        <v>6188234</v>
      </c>
      <c r="AV116" s="475">
        <f t="shared" si="220"/>
        <v>4406320</v>
      </c>
      <c r="AW116" s="475">
        <f t="shared" si="221"/>
        <v>30000</v>
      </c>
      <c r="AX116" s="475">
        <f t="shared" si="222"/>
        <v>1499476</v>
      </c>
      <c r="AY116" s="475">
        <f t="shared" si="222"/>
        <v>88127</v>
      </c>
      <c r="AZ116" s="475">
        <f t="shared" si="223"/>
        <v>164311</v>
      </c>
      <c r="BA116" s="476">
        <f t="shared" si="224"/>
        <v>8.980599999999999</v>
      </c>
      <c r="BB116" s="476">
        <f t="shared" si="225"/>
        <v>5.8029999999999999</v>
      </c>
      <c r="BC116" s="478">
        <f t="shared" si="225"/>
        <v>3.1776</v>
      </c>
    </row>
    <row r="117" spans="1:55" s="234" customFormat="1" x14ac:dyDescent="0.2">
      <c r="A117" s="221">
        <v>21</v>
      </c>
      <c r="B117" s="222">
        <v>4435</v>
      </c>
      <c r="C117" s="222">
        <v>650034295</v>
      </c>
      <c r="D117" s="222">
        <v>72744669</v>
      </c>
      <c r="E117" s="220" t="s">
        <v>189</v>
      </c>
      <c r="F117" s="222">
        <v>3117</v>
      </c>
      <c r="G117" s="172" t="s">
        <v>312</v>
      </c>
      <c r="H117" s="223" t="s">
        <v>278</v>
      </c>
      <c r="I117" s="477">
        <v>453049</v>
      </c>
      <c r="J117" s="472">
        <v>333614</v>
      </c>
      <c r="K117" s="472">
        <v>0</v>
      </c>
      <c r="L117" s="472">
        <v>112762</v>
      </c>
      <c r="M117" s="472">
        <v>6673</v>
      </c>
      <c r="N117" s="472">
        <v>0</v>
      </c>
      <c r="O117" s="473">
        <v>0.96</v>
      </c>
      <c r="P117" s="474">
        <v>0.96</v>
      </c>
      <c r="Q117" s="483">
        <v>0</v>
      </c>
      <c r="R117" s="485">
        <f t="shared" si="209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139"/>
        <v>0</v>
      </c>
      <c r="Y117" s="475">
        <v>0</v>
      </c>
      <c r="Z117" s="475">
        <v>0</v>
      </c>
      <c r="AA117" s="475">
        <v>0</v>
      </c>
      <c r="AB117" s="475">
        <f t="shared" si="210"/>
        <v>0</v>
      </c>
      <c r="AC117" s="475">
        <f t="shared" si="211"/>
        <v>0</v>
      </c>
      <c r="AD117" s="70">
        <f t="shared" si="212"/>
        <v>0</v>
      </c>
      <c r="AE117" s="70">
        <f t="shared" si="213"/>
        <v>0</v>
      </c>
      <c r="AF117" s="475">
        <v>0</v>
      </c>
      <c r="AG117" s="475">
        <v>0</v>
      </c>
      <c r="AH117" s="475">
        <f t="shared" si="214"/>
        <v>0</v>
      </c>
      <c r="AI117" s="475">
        <f t="shared" si="215"/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si="216"/>
        <v>0</v>
      </c>
      <c r="AS117" s="476">
        <f t="shared" si="217"/>
        <v>0</v>
      </c>
      <c r="AT117" s="478">
        <f t="shared" si="218"/>
        <v>0</v>
      </c>
      <c r="AU117" s="484">
        <f t="shared" si="219"/>
        <v>453049</v>
      </c>
      <c r="AV117" s="475">
        <f t="shared" si="220"/>
        <v>333614</v>
      </c>
      <c r="AW117" s="475">
        <f t="shared" si="221"/>
        <v>0</v>
      </c>
      <c r="AX117" s="475">
        <f t="shared" si="222"/>
        <v>112762</v>
      </c>
      <c r="AY117" s="475">
        <f t="shared" si="222"/>
        <v>6673</v>
      </c>
      <c r="AZ117" s="475">
        <f t="shared" si="223"/>
        <v>0</v>
      </c>
      <c r="BA117" s="476">
        <f t="shared" si="224"/>
        <v>0.96</v>
      </c>
      <c r="BB117" s="476">
        <f t="shared" si="225"/>
        <v>0.96</v>
      </c>
      <c r="BC117" s="478">
        <f t="shared" si="225"/>
        <v>0</v>
      </c>
    </row>
    <row r="118" spans="1:55" s="234" customFormat="1" x14ac:dyDescent="0.2">
      <c r="A118" s="221">
        <v>21</v>
      </c>
      <c r="B118" s="222">
        <v>4435</v>
      </c>
      <c r="C118" s="222">
        <v>650034295</v>
      </c>
      <c r="D118" s="222">
        <v>72744669</v>
      </c>
      <c r="E118" s="215" t="s">
        <v>189</v>
      </c>
      <c r="F118" s="222">
        <v>3141</v>
      </c>
      <c r="G118" s="172" t="s">
        <v>315</v>
      </c>
      <c r="H118" s="223" t="s">
        <v>278</v>
      </c>
      <c r="I118" s="477">
        <v>1194556</v>
      </c>
      <c r="J118" s="472">
        <v>858155</v>
      </c>
      <c r="K118" s="472">
        <v>17000</v>
      </c>
      <c r="L118" s="472">
        <v>295802</v>
      </c>
      <c r="M118" s="472">
        <v>17163</v>
      </c>
      <c r="N118" s="472">
        <v>6436</v>
      </c>
      <c r="O118" s="473">
        <v>2.76</v>
      </c>
      <c r="P118" s="474">
        <v>0</v>
      </c>
      <c r="Q118" s="483">
        <v>2.76</v>
      </c>
      <c r="R118" s="485">
        <f t="shared" si="209"/>
        <v>0</v>
      </c>
      <c r="S118" s="475">
        <v>0</v>
      </c>
      <c r="T118" s="475">
        <v>25011</v>
      </c>
      <c r="U118" s="475">
        <v>0</v>
      </c>
      <c r="V118" s="475">
        <v>0</v>
      </c>
      <c r="W118" s="475">
        <v>0</v>
      </c>
      <c r="X118" s="475">
        <f t="shared" si="139"/>
        <v>25011</v>
      </c>
      <c r="Y118" s="475">
        <v>0</v>
      </c>
      <c r="Z118" s="475">
        <v>0</v>
      </c>
      <c r="AA118" s="475">
        <v>0</v>
      </c>
      <c r="AB118" s="475">
        <f t="shared" si="210"/>
        <v>0</v>
      </c>
      <c r="AC118" s="475">
        <f t="shared" si="211"/>
        <v>25011</v>
      </c>
      <c r="AD118" s="70">
        <f t="shared" si="212"/>
        <v>8454</v>
      </c>
      <c r="AE118" s="70">
        <f t="shared" si="213"/>
        <v>500</v>
      </c>
      <c r="AF118" s="475">
        <v>0</v>
      </c>
      <c r="AG118" s="475">
        <v>0</v>
      </c>
      <c r="AH118" s="475">
        <f t="shared" si="214"/>
        <v>0</v>
      </c>
      <c r="AI118" s="475">
        <f t="shared" si="215"/>
        <v>33965</v>
      </c>
      <c r="AJ118" s="476">
        <v>0</v>
      </c>
      <c r="AK118" s="476">
        <v>0</v>
      </c>
      <c r="AL118" s="476">
        <v>0</v>
      </c>
      <c r="AM118" s="476">
        <v>0</v>
      </c>
      <c r="AN118" s="476">
        <v>7.0000000000000007E-2</v>
      </c>
      <c r="AO118" s="476">
        <v>0</v>
      </c>
      <c r="AP118" s="476">
        <v>0</v>
      </c>
      <c r="AQ118" s="476">
        <v>0</v>
      </c>
      <c r="AR118" s="476">
        <f t="shared" si="216"/>
        <v>0</v>
      </c>
      <c r="AS118" s="476">
        <f t="shared" si="217"/>
        <v>7.0000000000000007E-2</v>
      </c>
      <c r="AT118" s="478">
        <f t="shared" si="218"/>
        <v>7.0000000000000007E-2</v>
      </c>
      <c r="AU118" s="484">
        <f t="shared" si="219"/>
        <v>1228521</v>
      </c>
      <c r="AV118" s="475">
        <f t="shared" si="220"/>
        <v>883166</v>
      </c>
      <c r="AW118" s="475">
        <f t="shared" si="221"/>
        <v>17000</v>
      </c>
      <c r="AX118" s="475">
        <f t="shared" si="222"/>
        <v>304256</v>
      </c>
      <c r="AY118" s="475">
        <f t="shared" si="222"/>
        <v>17663</v>
      </c>
      <c r="AZ118" s="475">
        <f t="shared" si="223"/>
        <v>6436</v>
      </c>
      <c r="BA118" s="476">
        <f t="shared" si="224"/>
        <v>2.8299999999999996</v>
      </c>
      <c r="BB118" s="476">
        <f t="shared" si="225"/>
        <v>0</v>
      </c>
      <c r="BC118" s="478">
        <f t="shared" si="225"/>
        <v>2.8299999999999996</v>
      </c>
    </row>
    <row r="119" spans="1:55" s="234" customFormat="1" x14ac:dyDescent="0.2">
      <c r="A119" s="221">
        <v>21</v>
      </c>
      <c r="B119" s="222">
        <v>4435</v>
      </c>
      <c r="C119" s="222">
        <v>650034295</v>
      </c>
      <c r="D119" s="222">
        <v>72744669</v>
      </c>
      <c r="E119" s="220" t="s">
        <v>189</v>
      </c>
      <c r="F119" s="222">
        <v>3143</v>
      </c>
      <c r="G119" s="172" t="s">
        <v>626</v>
      </c>
      <c r="H119" s="239" t="s">
        <v>277</v>
      </c>
      <c r="I119" s="477">
        <v>639412</v>
      </c>
      <c r="J119" s="472">
        <v>465922</v>
      </c>
      <c r="K119" s="472">
        <v>5000</v>
      </c>
      <c r="L119" s="472">
        <v>159172</v>
      </c>
      <c r="M119" s="472">
        <v>9318</v>
      </c>
      <c r="N119" s="472">
        <v>0</v>
      </c>
      <c r="O119" s="473">
        <v>0.9375</v>
      </c>
      <c r="P119" s="474">
        <v>0.9375</v>
      </c>
      <c r="Q119" s="483">
        <v>0</v>
      </c>
      <c r="R119" s="485">
        <f t="shared" si="209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139"/>
        <v>0</v>
      </c>
      <c r="Y119" s="475">
        <v>0</v>
      </c>
      <c r="Z119" s="475">
        <v>0</v>
      </c>
      <c r="AA119" s="475">
        <v>0</v>
      </c>
      <c r="AB119" s="475">
        <f t="shared" si="210"/>
        <v>0</v>
      </c>
      <c r="AC119" s="475">
        <f t="shared" si="211"/>
        <v>0</v>
      </c>
      <c r="AD119" s="70">
        <f t="shared" si="212"/>
        <v>0</v>
      </c>
      <c r="AE119" s="70">
        <f t="shared" si="213"/>
        <v>0</v>
      </c>
      <c r="AF119" s="475">
        <v>0</v>
      </c>
      <c r="AG119" s="475">
        <v>0</v>
      </c>
      <c r="AH119" s="475">
        <f t="shared" si="214"/>
        <v>0</v>
      </c>
      <c r="AI119" s="475">
        <f t="shared" si="215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 t="shared" si="216"/>
        <v>0</v>
      </c>
      <c r="AS119" s="476">
        <f t="shared" si="217"/>
        <v>0</v>
      </c>
      <c r="AT119" s="478">
        <f t="shared" si="218"/>
        <v>0</v>
      </c>
      <c r="AU119" s="484">
        <f t="shared" si="219"/>
        <v>639412</v>
      </c>
      <c r="AV119" s="475">
        <f t="shared" si="220"/>
        <v>465922</v>
      </c>
      <c r="AW119" s="475">
        <f t="shared" si="221"/>
        <v>5000</v>
      </c>
      <c r="AX119" s="475">
        <f t="shared" si="222"/>
        <v>159172</v>
      </c>
      <c r="AY119" s="475">
        <f t="shared" si="222"/>
        <v>9318</v>
      </c>
      <c r="AZ119" s="475">
        <f t="shared" si="223"/>
        <v>0</v>
      </c>
      <c r="BA119" s="476">
        <f t="shared" si="224"/>
        <v>0.9375</v>
      </c>
      <c r="BB119" s="476">
        <f t="shared" si="225"/>
        <v>0.9375</v>
      </c>
      <c r="BC119" s="478">
        <f t="shared" si="225"/>
        <v>0</v>
      </c>
    </row>
    <row r="120" spans="1:55" s="234" customFormat="1" x14ac:dyDescent="0.2">
      <c r="A120" s="221">
        <v>21</v>
      </c>
      <c r="B120" s="222">
        <v>4435</v>
      </c>
      <c r="C120" s="222">
        <v>650034295</v>
      </c>
      <c r="D120" s="222">
        <v>72744669</v>
      </c>
      <c r="E120" s="220" t="s">
        <v>189</v>
      </c>
      <c r="F120" s="222">
        <v>3143</v>
      </c>
      <c r="G120" s="172" t="s">
        <v>627</v>
      </c>
      <c r="H120" s="239" t="s">
        <v>278</v>
      </c>
      <c r="I120" s="477">
        <v>21168</v>
      </c>
      <c r="J120" s="472">
        <v>14969</v>
      </c>
      <c r="K120" s="472">
        <v>0</v>
      </c>
      <c r="L120" s="472">
        <v>5060</v>
      </c>
      <c r="M120" s="472">
        <v>299</v>
      </c>
      <c r="N120" s="472">
        <v>840</v>
      </c>
      <c r="O120" s="473">
        <v>0.06</v>
      </c>
      <c r="P120" s="474">
        <v>0</v>
      </c>
      <c r="Q120" s="483">
        <v>0.06</v>
      </c>
      <c r="R120" s="485">
        <f t="shared" si="209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139"/>
        <v>0</v>
      </c>
      <c r="Y120" s="475">
        <v>0</v>
      </c>
      <c r="Z120" s="475">
        <v>0</v>
      </c>
      <c r="AA120" s="475">
        <v>0</v>
      </c>
      <c r="AB120" s="475">
        <f t="shared" si="210"/>
        <v>0</v>
      </c>
      <c r="AC120" s="475">
        <f t="shared" si="211"/>
        <v>0</v>
      </c>
      <c r="AD120" s="70">
        <f t="shared" si="212"/>
        <v>0</v>
      </c>
      <c r="AE120" s="70">
        <f t="shared" si="213"/>
        <v>0</v>
      </c>
      <c r="AF120" s="475">
        <v>0</v>
      </c>
      <c r="AG120" s="475">
        <v>0</v>
      </c>
      <c r="AH120" s="475">
        <f t="shared" si="214"/>
        <v>0</v>
      </c>
      <c r="AI120" s="475">
        <f t="shared" si="215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 t="shared" si="216"/>
        <v>0</v>
      </c>
      <c r="AS120" s="476">
        <f t="shared" si="217"/>
        <v>0</v>
      </c>
      <c r="AT120" s="478">
        <f t="shared" si="218"/>
        <v>0</v>
      </c>
      <c r="AU120" s="484">
        <f t="shared" si="219"/>
        <v>21168</v>
      </c>
      <c r="AV120" s="475">
        <f t="shared" si="220"/>
        <v>14969</v>
      </c>
      <c r="AW120" s="475">
        <f t="shared" si="221"/>
        <v>0</v>
      </c>
      <c r="AX120" s="475">
        <f t="shared" si="222"/>
        <v>5060</v>
      </c>
      <c r="AY120" s="475">
        <f t="shared" si="222"/>
        <v>299</v>
      </c>
      <c r="AZ120" s="475">
        <f t="shared" si="223"/>
        <v>840</v>
      </c>
      <c r="BA120" s="476">
        <f t="shared" si="224"/>
        <v>0.06</v>
      </c>
      <c r="BB120" s="476">
        <f t="shared" si="225"/>
        <v>0</v>
      </c>
      <c r="BC120" s="478">
        <f t="shared" si="225"/>
        <v>0.06</v>
      </c>
    </row>
    <row r="121" spans="1:55" s="234" customFormat="1" x14ac:dyDescent="0.2">
      <c r="A121" s="162">
        <v>21</v>
      </c>
      <c r="B121" s="18">
        <v>4435</v>
      </c>
      <c r="C121" s="18">
        <v>650034295</v>
      </c>
      <c r="D121" s="18">
        <v>72744669</v>
      </c>
      <c r="E121" s="171" t="s">
        <v>190</v>
      </c>
      <c r="F121" s="18"/>
      <c r="G121" s="161"/>
      <c r="H121" s="195"/>
      <c r="I121" s="529">
        <v>12397928</v>
      </c>
      <c r="J121" s="526">
        <v>8907143</v>
      </c>
      <c r="K121" s="526">
        <v>80000</v>
      </c>
      <c r="L121" s="526">
        <v>3037655</v>
      </c>
      <c r="M121" s="526">
        <v>178143</v>
      </c>
      <c r="N121" s="526">
        <v>194987</v>
      </c>
      <c r="O121" s="527">
        <v>20.580899999999996</v>
      </c>
      <c r="P121" s="527">
        <v>13.200500000000002</v>
      </c>
      <c r="Q121" s="531">
        <v>7.380399999999999</v>
      </c>
      <c r="R121" s="529">
        <f t="shared" ref="R121:BC121" si="226">SUM(R115:R120)</f>
        <v>0</v>
      </c>
      <c r="S121" s="526">
        <f t="shared" si="226"/>
        <v>0</v>
      </c>
      <c r="T121" s="526">
        <f t="shared" si="226"/>
        <v>25011</v>
      </c>
      <c r="U121" s="526">
        <f t="shared" si="226"/>
        <v>0</v>
      </c>
      <c r="V121" s="526">
        <f t="shared" si="226"/>
        <v>0</v>
      </c>
      <c r="W121" s="526">
        <f t="shared" si="226"/>
        <v>0</v>
      </c>
      <c r="X121" s="526">
        <f t="shared" si="226"/>
        <v>25011</v>
      </c>
      <c r="Y121" s="526">
        <f t="shared" si="226"/>
        <v>0</v>
      </c>
      <c r="Z121" s="526">
        <f t="shared" si="226"/>
        <v>0</v>
      </c>
      <c r="AA121" s="526">
        <f t="shared" si="226"/>
        <v>0</v>
      </c>
      <c r="AB121" s="526">
        <f t="shared" si="226"/>
        <v>0</v>
      </c>
      <c r="AC121" s="526">
        <f t="shared" si="226"/>
        <v>25011</v>
      </c>
      <c r="AD121" s="526">
        <f t="shared" si="226"/>
        <v>8454</v>
      </c>
      <c r="AE121" s="526">
        <f t="shared" si="226"/>
        <v>500</v>
      </c>
      <c r="AF121" s="526">
        <f t="shared" si="226"/>
        <v>0</v>
      </c>
      <c r="AG121" s="526">
        <f t="shared" si="226"/>
        <v>0</v>
      </c>
      <c r="AH121" s="526">
        <f t="shared" si="226"/>
        <v>0</v>
      </c>
      <c r="AI121" s="526">
        <f t="shared" si="226"/>
        <v>33965</v>
      </c>
      <c r="AJ121" s="527">
        <f t="shared" si="226"/>
        <v>0</v>
      </c>
      <c r="AK121" s="527">
        <f t="shared" si="226"/>
        <v>0</v>
      </c>
      <c r="AL121" s="527">
        <f t="shared" si="226"/>
        <v>0</v>
      </c>
      <c r="AM121" s="527">
        <f t="shared" si="226"/>
        <v>0</v>
      </c>
      <c r="AN121" s="527">
        <f t="shared" si="226"/>
        <v>7.0000000000000007E-2</v>
      </c>
      <c r="AO121" s="527">
        <f t="shared" si="226"/>
        <v>0</v>
      </c>
      <c r="AP121" s="527">
        <f t="shared" si="226"/>
        <v>0</v>
      </c>
      <c r="AQ121" s="527">
        <f t="shared" si="226"/>
        <v>0</v>
      </c>
      <c r="AR121" s="527">
        <f t="shared" si="226"/>
        <v>0</v>
      </c>
      <c r="AS121" s="527">
        <f t="shared" si="226"/>
        <v>7.0000000000000007E-2</v>
      </c>
      <c r="AT121" s="40">
        <f t="shared" si="226"/>
        <v>7.0000000000000007E-2</v>
      </c>
      <c r="AU121" s="533">
        <f t="shared" si="226"/>
        <v>12431893</v>
      </c>
      <c r="AV121" s="526">
        <f t="shared" si="226"/>
        <v>8932154</v>
      </c>
      <c r="AW121" s="526">
        <f t="shared" si="226"/>
        <v>80000</v>
      </c>
      <c r="AX121" s="526">
        <f t="shared" si="226"/>
        <v>3046109</v>
      </c>
      <c r="AY121" s="526">
        <f t="shared" si="226"/>
        <v>178643</v>
      </c>
      <c r="AZ121" s="526">
        <f t="shared" si="226"/>
        <v>194987</v>
      </c>
      <c r="BA121" s="527">
        <f t="shared" si="226"/>
        <v>20.650899999999996</v>
      </c>
      <c r="BB121" s="527">
        <f t="shared" si="226"/>
        <v>13.200500000000002</v>
      </c>
      <c r="BC121" s="40">
        <f t="shared" si="226"/>
        <v>7.4503999999999992</v>
      </c>
    </row>
    <row r="122" spans="1:55" s="234" customFormat="1" x14ac:dyDescent="0.2">
      <c r="A122" s="221">
        <v>22</v>
      </c>
      <c r="B122" s="222">
        <v>4412</v>
      </c>
      <c r="C122" s="222">
        <v>600074447</v>
      </c>
      <c r="D122" s="222">
        <v>70698554</v>
      </c>
      <c r="E122" s="220" t="s">
        <v>191</v>
      </c>
      <c r="F122" s="222">
        <v>3111</v>
      </c>
      <c r="G122" s="172" t="s">
        <v>311</v>
      </c>
      <c r="H122" s="223" t="s">
        <v>277</v>
      </c>
      <c r="I122" s="477">
        <v>3680232</v>
      </c>
      <c r="J122" s="472">
        <v>2694464</v>
      </c>
      <c r="K122" s="472">
        <v>0</v>
      </c>
      <c r="L122" s="472">
        <v>910729</v>
      </c>
      <c r="M122" s="472">
        <v>53889</v>
      </c>
      <c r="N122" s="472">
        <v>21150</v>
      </c>
      <c r="O122" s="473">
        <v>5.6150000000000002</v>
      </c>
      <c r="P122" s="474">
        <v>4.1252000000000004</v>
      </c>
      <c r="Q122" s="483">
        <v>1.4897999999999998</v>
      </c>
      <c r="R122" s="485">
        <f t="shared" ref="R122:R124" si="227">Y122*-1</f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139"/>
        <v>0</v>
      </c>
      <c r="Y122" s="475">
        <v>0</v>
      </c>
      <c r="Z122" s="475">
        <v>0</v>
      </c>
      <c r="AA122" s="475">
        <v>0</v>
      </c>
      <c r="AB122" s="475">
        <f t="shared" ref="AB122:AB124" si="228">SUM(Y122:AA122)</f>
        <v>0</v>
      </c>
      <c r="AC122" s="475">
        <f>X122+AB122</f>
        <v>0</v>
      </c>
      <c r="AD122" s="70">
        <f>ROUND((X122+Y122+Z122)*33.8%,0)</f>
        <v>0</v>
      </c>
      <c r="AE122" s="70">
        <f>ROUND(X122*2%,0)</f>
        <v>0</v>
      </c>
      <c r="AF122" s="475">
        <v>0</v>
      </c>
      <c r="AG122" s="475">
        <v>0</v>
      </c>
      <c r="AH122" s="475">
        <f t="shared" ref="AH122:AH124" si="229">SUM(AF122:AG122)</f>
        <v>0</v>
      </c>
      <c r="AI122" s="475">
        <f t="shared" ref="AI122:AI124" si="230">AC122+AD122+AE122+AH122</f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>AJ122+AL122+AM122+AO122+AP122</f>
        <v>0</v>
      </c>
      <c r="AS122" s="476">
        <f>AK122+AN122+AQ122</f>
        <v>0</v>
      </c>
      <c r="AT122" s="478">
        <f t="shared" ref="AT122:AT124" si="231">SUM(AR122:AS122)</f>
        <v>0</v>
      </c>
      <c r="AU122" s="484">
        <f>I122+AI122</f>
        <v>3680232</v>
      </c>
      <c r="AV122" s="475">
        <f>J122+X122</f>
        <v>2694464</v>
      </c>
      <c r="AW122" s="475">
        <f>K122+AB122</f>
        <v>0</v>
      </c>
      <c r="AX122" s="475">
        <f t="shared" ref="AX122:AY124" si="232">L122+AD122</f>
        <v>910729</v>
      </c>
      <c r="AY122" s="475">
        <f t="shared" si="232"/>
        <v>53889</v>
      </c>
      <c r="AZ122" s="475">
        <f>N122+AH122</f>
        <v>21150</v>
      </c>
      <c r="BA122" s="476">
        <f>O122+AT122</f>
        <v>5.6150000000000002</v>
      </c>
      <c r="BB122" s="476">
        <f t="shared" ref="BB122:BC124" si="233">P122+AR122</f>
        <v>4.1252000000000004</v>
      </c>
      <c r="BC122" s="478">
        <f t="shared" si="233"/>
        <v>1.4897999999999998</v>
      </c>
    </row>
    <row r="123" spans="1:55" s="234" customFormat="1" x14ac:dyDescent="0.2">
      <c r="A123" s="221">
        <v>22</v>
      </c>
      <c r="B123" s="222">
        <v>4412</v>
      </c>
      <c r="C123" s="222">
        <v>600074447</v>
      </c>
      <c r="D123" s="222">
        <v>70698554</v>
      </c>
      <c r="E123" s="220" t="s">
        <v>191</v>
      </c>
      <c r="F123" s="222">
        <v>3111</v>
      </c>
      <c r="G123" s="172" t="s">
        <v>312</v>
      </c>
      <c r="H123" s="223" t="s">
        <v>278</v>
      </c>
      <c r="I123" s="477">
        <v>0</v>
      </c>
      <c r="J123" s="472">
        <v>0</v>
      </c>
      <c r="K123" s="472">
        <v>0</v>
      </c>
      <c r="L123" s="472">
        <v>0</v>
      </c>
      <c r="M123" s="472">
        <v>0</v>
      </c>
      <c r="N123" s="472">
        <v>0</v>
      </c>
      <c r="O123" s="473">
        <v>0</v>
      </c>
      <c r="P123" s="474">
        <v>0</v>
      </c>
      <c r="Q123" s="483">
        <v>0</v>
      </c>
      <c r="R123" s="485">
        <f t="shared" si="227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139"/>
        <v>0</v>
      </c>
      <c r="Y123" s="475">
        <v>0</v>
      </c>
      <c r="Z123" s="475">
        <v>0</v>
      </c>
      <c r="AA123" s="475">
        <v>0</v>
      </c>
      <c r="AB123" s="475">
        <f t="shared" si="228"/>
        <v>0</v>
      </c>
      <c r="AC123" s="475">
        <f>X123+AB123</f>
        <v>0</v>
      </c>
      <c r="AD123" s="70">
        <f>ROUND((X123+Y123+Z123)*33.8%,0)</f>
        <v>0</v>
      </c>
      <c r="AE123" s="70">
        <f>ROUND(X123*2%,0)</f>
        <v>0</v>
      </c>
      <c r="AF123" s="475">
        <v>0</v>
      </c>
      <c r="AG123" s="475">
        <v>0</v>
      </c>
      <c r="AH123" s="475">
        <f t="shared" si="229"/>
        <v>0</v>
      </c>
      <c r="AI123" s="475">
        <f t="shared" si="230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si="231"/>
        <v>0</v>
      </c>
      <c r="AU123" s="484">
        <f>I123+AI123</f>
        <v>0</v>
      </c>
      <c r="AV123" s="475">
        <f>J123+X123</f>
        <v>0</v>
      </c>
      <c r="AW123" s="475">
        <f>K123+AB123</f>
        <v>0</v>
      </c>
      <c r="AX123" s="475">
        <f t="shared" si="232"/>
        <v>0</v>
      </c>
      <c r="AY123" s="475">
        <f t="shared" si="232"/>
        <v>0</v>
      </c>
      <c r="AZ123" s="475">
        <f>N123+AH123</f>
        <v>0</v>
      </c>
      <c r="BA123" s="476">
        <f>O123+AT123</f>
        <v>0</v>
      </c>
      <c r="BB123" s="476">
        <f t="shared" si="233"/>
        <v>0</v>
      </c>
      <c r="BC123" s="478">
        <f t="shared" si="233"/>
        <v>0</v>
      </c>
    </row>
    <row r="124" spans="1:55" s="234" customFormat="1" x14ac:dyDescent="0.2">
      <c r="A124" s="221">
        <v>22</v>
      </c>
      <c r="B124" s="222">
        <v>4412</v>
      </c>
      <c r="C124" s="222">
        <v>600074447</v>
      </c>
      <c r="D124" s="222">
        <v>70698554</v>
      </c>
      <c r="E124" s="215" t="s">
        <v>191</v>
      </c>
      <c r="F124" s="222">
        <v>3141</v>
      </c>
      <c r="G124" s="172" t="s">
        <v>315</v>
      </c>
      <c r="H124" s="223" t="s">
        <v>278</v>
      </c>
      <c r="I124" s="477">
        <v>639668</v>
      </c>
      <c r="J124" s="472">
        <v>469115</v>
      </c>
      <c r="K124" s="472">
        <v>0</v>
      </c>
      <c r="L124" s="472">
        <v>158561</v>
      </c>
      <c r="M124" s="472">
        <v>9382</v>
      </c>
      <c r="N124" s="472">
        <v>2610</v>
      </c>
      <c r="O124" s="473">
        <v>1.48</v>
      </c>
      <c r="P124" s="474">
        <v>0</v>
      </c>
      <c r="Q124" s="483">
        <v>1.48</v>
      </c>
      <c r="R124" s="485">
        <f t="shared" si="227"/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139"/>
        <v>0</v>
      </c>
      <c r="Y124" s="475">
        <v>0</v>
      </c>
      <c r="Z124" s="475">
        <v>0</v>
      </c>
      <c r="AA124" s="475">
        <v>0</v>
      </c>
      <c r="AB124" s="475">
        <f t="shared" si="228"/>
        <v>0</v>
      </c>
      <c r="AC124" s="475">
        <f>X124+AB124</f>
        <v>0</v>
      </c>
      <c r="AD124" s="70">
        <f>ROUND((X124+Y124+Z124)*33.8%,0)</f>
        <v>0</v>
      </c>
      <c r="AE124" s="70">
        <f>ROUND(X124*2%,0)</f>
        <v>0</v>
      </c>
      <c r="AF124" s="475">
        <v>0</v>
      </c>
      <c r="AG124" s="475">
        <v>0</v>
      </c>
      <c r="AH124" s="475">
        <f t="shared" si="229"/>
        <v>0</v>
      </c>
      <c r="AI124" s="475">
        <f t="shared" si="230"/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231"/>
        <v>0</v>
      </c>
      <c r="AU124" s="484">
        <f>I124+AI124</f>
        <v>639668</v>
      </c>
      <c r="AV124" s="475">
        <f>J124+X124</f>
        <v>469115</v>
      </c>
      <c r="AW124" s="475">
        <f>K124+AB124</f>
        <v>0</v>
      </c>
      <c r="AX124" s="475">
        <f t="shared" si="232"/>
        <v>158561</v>
      </c>
      <c r="AY124" s="475">
        <f t="shared" si="232"/>
        <v>9382</v>
      </c>
      <c r="AZ124" s="475">
        <f>N124+AH124</f>
        <v>2610</v>
      </c>
      <c r="BA124" s="476">
        <f>O124+AT124</f>
        <v>1.48</v>
      </c>
      <c r="BB124" s="476">
        <f t="shared" si="233"/>
        <v>0</v>
      </c>
      <c r="BC124" s="478">
        <f t="shared" si="233"/>
        <v>1.48</v>
      </c>
    </row>
    <row r="125" spans="1:55" s="234" customFormat="1" x14ac:dyDescent="0.2">
      <c r="A125" s="162">
        <v>22</v>
      </c>
      <c r="B125" s="18">
        <v>4412</v>
      </c>
      <c r="C125" s="18">
        <v>600074447</v>
      </c>
      <c r="D125" s="18">
        <v>70698554</v>
      </c>
      <c r="E125" s="171" t="s">
        <v>192</v>
      </c>
      <c r="F125" s="18"/>
      <c r="G125" s="161"/>
      <c r="H125" s="195"/>
      <c r="I125" s="529">
        <v>4319900</v>
      </c>
      <c r="J125" s="526">
        <v>3163579</v>
      </c>
      <c r="K125" s="526">
        <v>0</v>
      </c>
      <c r="L125" s="526">
        <v>1069290</v>
      </c>
      <c r="M125" s="526">
        <v>63271</v>
      </c>
      <c r="N125" s="526">
        <v>23760</v>
      </c>
      <c r="O125" s="527">
        <v>7.0950000000000006</v>
      </c>
      <c r="P125" s="527">
        <v>4.1252000000000004</v>
      </c>
      <c r="Q125" s="531">
        <v>2.9697999999999998</v>
      </c>
      <c r="R125" s="529">
        <f t="shared" ref="R125:BC125" si="234">SUM(R122:R124)</f>
        <v>0</v>
      </c>
      <c r="S125" s="526">
        <f t="shared" si="234"/>
        <v>0</v>
      </c>
      <c r="T125" s="526">
        <f t="shared" si="234"/>
        <v>0</v>
      </c>
      <c r="U125" s="526">
        <f t="shared" si="234"/>
        <v>0</v>
      </c>
      <c r="V125" s="526">
        <f t="shared" si="234"/>
        <v>0</v>
      </c>
      <c r="W125" s="526">
        <f t="shared" si="234"/>
        <v>0</v>
      </c>
      <c r="X125" s="526">
        <f t="shared" si="234"/>
        <v>0</v>
      </c>
      <c r="Y125" s="526">
        <f t="shared" si="234"/>
        <v>0</v>
      </c>
      <c r="Z125" s="526">
        <f t="shared" si="234"/>
        <v>0</v>
      </c>
      <c r="AA125" s="526">
        <f t="shared" si="234"/>
        <v>0</v>
      </c>
      <c r="AB125" s="526">
        <f t="shared" si="234"/>
        <v>0</v>
      </c>
      <c r="AC125" s="526">
        <f t="shared" si="234"/>
        <v>0</v>
      </c>
      <c r="AD125" s="526">
        <f t="shared" si="234"/>
        <v>0</v>
      </c>
      <c r="AE125" s="526">
        <f t="shared" si="234"/>
        <v>0</v>
      </c>
      <c r="AF125" s="526">
        <f t="shared" si="234"/>
        <v>0</v>
      </c>
      <c r="AG125" s="526">
        <f t="shared" si="234"/>
        <v>0</v>
      </c>
      <c r="AH125" s="526">
        <f t="shared" si="234"/>
        <v>0</v>
      </c>
      <c r="AI125" s="526">
        <f t="shared" si="234"/>
        <v>0</v>
      </c>
      <c r="AJ125" s="527">
        <f t="shared" si="234"/>
        <v>0</v>
      </c>
      <c r="AK125" s="527">
        <f t="shared" si="234"/>
        <v>0</v>
      </c>
      <c r="AL125" s="527">
        <f t="shared" si="234"/>
        <v>0</v>
      </c>
      <c r="AM125" s="527">
        <f t="shared" si="234"/>
        <v>0</v>
      </c>
      <c r="AN125" s="527">
        <f t="shared" si="234"/>
        <v>0</v>
      </c>
      <c r="AO125" s="527">
        <f t="shared" si="234"/>
        <v>0</v>
      </c>
      <c r="AP125" s="527">
        <f t="shared" si="234"/>
        <v>0</v>
      </c>
      <c r="AQ125" s="527">
        <f t="shared" si="234"/>
        <v>0</v>
      </c>
      <c r="AR125" s="527">
        <f t="shared" si="234"/>
        <v>0</v>
      </c>
      <c r="AS125" s="527">
        <f t="shared" si="234"/>
        <v>0</v>
      </c>
      <c r="AT125" s="40">
        <f t="shared" si="234"/>
        <v>0</v>
      </c>
      <c r="AU125" s="533">
        <f t="shared" si="234"/>
        <v>4319900</v>
      </c>
      <c r="AV125" s="526">
        <f t="shared" si="234"/>
        <v>3163579</v>
      </c>
      <c r="AW125" s="526">
        <f t="shared" si="234"/>
        <v>0</v>
      </c>
      <c r="AX125" s="526">
        <f t="shared" si="234"/>
        <v>1069290</v>
      </c>
      <c r="AY125" s="526">
        <f t="shared" si="234"/>
        <v>63271</v>
      </c>
      <c r="AZ125" s="526">
        <f t="shared" si="234"/>
        <v>23760</v>
      </c>
      <c r="BA125" s="527">
        <f t="shared" si="234"/>
        <v>7.0950000000000006</v>
      </c>
      <c r="BB125" s="527">
        <f t="shared" si="234"/>
        <v>4.1252000000000004</v>
      </c>
      <c r="BC125" s="40">
        <f t="shared" si="234"/>
        <v>2.9697999999999998</v>
      </c>
    </row>
    <row r="126" spans="1:55" s="234" customFormat="1" x14ac:dyDescent="0.2">
      <c r="A126" s="221">
        <v>23</v>
      </c>
      <c r="B126" s="222">
        <v>4413</v>
      </c>
      <c r="C126" s="222">
        <v>600074455</v>
      </c>
      <c r="D126" s="222">
        <v>70695369</v>
      </c>
      <c r="E126" s="220" t="s">
        <v>193</v>
      </c>
      <c r="F126" s="222">
        <v>3111</v>
      </c>
      <c r="G126" s="172" t="s">
        <v>311</v>
      </c>
      <c r="H126" s="223" t="s">
        <v>277</v>
      </c>
      <c r="I126" s="477">
        <v>9020722</v>
      </c>
      <c r="J126" s="472">
        <v>6600238</v>
      </c>
      <c r="K126" s="472">
        <v>0</v>
      </c>
      <c r="L126" s="472">
        <v>2230880</v>
      </c>
      <c r="M126" s="472">
        <v>132004</v>
      </c>
      <c r="N126" s="472">
        <v>57600</v>
      </c>
      <c r="O126" s="473">
        <v>14.432600000000001</v>
      </c>
      <c r="P126" s="474">
        <v>10.8804</v>
      </c>
      <c r="Q126" s="483">
        <v>3.5522</v>
      </c>
      <c r="R126" s="485">
        <f t="shared" ref="R126:R130" si="235">Y126*-1</f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139"/>
        <v>0</v>
      </c>
      <c r="Y126" s="475">
        <v>0</v>
      </c>
      <c r="Z126" s="475">
        <v>0</v>
      </c>
      <c r="AA126" s="475">
        <v>0</v>
      </c>
      <c r="AB126" s="475">
        <f t="shared" ref="AB126:AB130" si="236">SUM(Y126:AA126)</f>
        <v>0</v>
      </c>
      <c r="AC126" s="475">
        <f>X126+AB126</f>
        <v>0</v>
      </c>
      <c r="AD126" s="70">
        <f>ROUND((X126+Y126+Z126)*33.8%,0)</f>
        <v>0</v>
      </c>
      <c r="AE126" s="70">
        <f>ROUND(X126*2%,0)</f>
        <v>0</v>
      </c>
      <c r="AF126" s="475">
        <v>0</v>
      </c>
      <c r="AG126" s="475">
        <v>0</v>
      </c>
      <c r="AH126" s="475">
        <f t="shared" ref="AH126:AH130" si="237">SUM(AF126:AG126)</f>
        <v>0</v>
      </c>
      <c r="AI126" s="475">
        <f t="shared" ref="AI126:AI130" si="238">AC126+AD126+AE126+AH126</f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ref="AT126:AT130" si="239">SUM(AR126:AS126)</f>
        <v>0</v>
      </c>
      <c r="AU126" s="484">
        <f>I126+AI126</f>
        <v>9020722</v>
      </c>
      <c r="AV126" s="475">
        <f>J126+X126</f>
        <v>6600238</v>
      </c>
      <c r="AW126" s="475">
        <f>K126+AB126</f>
        <v>0</v>
      </c>
      <c r="AX126" s="475">
        <f t="shared" ref="AX126:AY130" si="240">L126+AD126</f>
        <v>2230880</v>
      </c>
      <c r="AY126" s="475">
        <f t="shared" si="240"/>
        <v>132004</v>
      </c>
      <c r="AZ126" s="475">
        <f>N126+AH126</f>
        <v>57600</v>
      </c>
      <c r="BA126" s="476">
        <f>O126+AT126</f>
        <v>14.432600000000001</v>
      </c>
      <c r="BB126" s="476">
        <f t="shared" ref="BB126:BC130" si="241">P126+AR126</f>
        <v>10.8804</v>
      </c>
      <c r="BC126" s="478">
        <f t="shared" si="241"/>
        <v>3.5522</v>
      </c>
    </row>
    <row r="127" spans="1:55" s="234" customFormat="1" x14ac:dyDescent="0.2">
      <c r="A127" s="221">
        <v>23</v>
      </c>
      <c r="B127" s="222">
        <v>4413</v>
      </c>
      <c r="C127" s="222">
        <v>600074455</v>
      </c>
      <c r="D127" s="222">
        <v>70695369</v>
      </c>
      <c r="E127" s="220" t="s">
        <v>193</v>
      </c>
      <c r="F127" s="222">
        <v>3111</v>
      </c>
      <c r="G127" s="172" t="s">
        <v>312</v>
      </c>
      <c r="H127" s="223" t="s">
        <v>278</v>
      </c>
      <c r="I127" s="477">
        <v>1492821</v>
      </c>
      <c r="J127" s="472">
        <v>1097070</v>
      </c>
      <c r="K127" s="472">
        <v>0</v>
      </c>
      <c r="L127" s="472">
        <v>370810</v>
      </c>
      <c r="M127" s="472">
        <v>21941</v>
      </c>
      <c r="N127" s="472">
        <v>3000</v>
      </c>
      <c r="O127" s="473">
        <v>3.16</v>
      </c>
      <c r="P127" s="474">
        <v>3.16</v>
      </c>
      <c r="Q127" s="483">
        <v>0</v>
      </c>
      <c r="R127" s="485">
        <f t="shared" si="235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139"/>
        <v>0</v>
      </c>
      <c r="Y127" s="475">
        <v>0</v>
      </c>
      <c r="Z127" s="475">
        <v>0</v>
      </c>
      <c r="AA127" s="475">
        <v>0</v>
      </c>
      <c r="AB127" s="475">
        <f t="shared" si="236"/>
        <v>0</v>
      </c>
      <c r="AC127" s="475">
        <f>X127+AB127</f>
        <v>0</v>
      </c>
      <c r="AD127" s="70">
        <f>ROUND((X127+Y127+Z127)*33.8%,0)</f>
        <v>0</v>
      </c>
      <c r="AE127" s="70">
        <f>ROUND(X127*2%,0)</f>
        <v>0</v>
      </c>
      <c r="AF127" s="475">
        <v>0</v>
      </c>
      <c r="AG127" s="475">
        <v>0</v>
      </c>
      <c r="AH127" s="475">
        <f t="shared" si="237"/>
        <v>0</v>
      </c>
      <c r="AI127" s="475">
        <f t="shared" si="238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0</v>
      </c>
      <c r="AS127" s="476">
        <f>AK127+AN127+AQ127</f>
        <v>0</v>
      </c>
      <c r="AT127" s="478">
        <f t="shared" si="239"/>
        <v>0</v>
      </c>
      <c r="AU127" s="484">
        <f>I127+AI127</f>
        <v>1492821</v>
      </c>
      <c r="AV127" s="475">
        <f>J127+X127</f>
        <v>1097070</v>
      </c>
      <c r="AW127" s="475">
        <f>K127+AB127</f>
        <v>0</v>
      </c>
      <c r="AX127" s="475">
        <f t="shared" si="240"/>
        <v>370810</v>
      </c>
      <c r="AY127" s="475">
        <f t="shared" si="240"/>
        <v>21941</v>
      </c>
      <c r="AZ127" s="475">
        <f>N127+AH127</f>
        <v>3000</v>
      </c>
      <c r="BA127" s="476">
        <f>O127+AT127</f>
        <v>3.16</v>
      </c>
      <c r="BB127" s="476">
        <f t="shared" si="241"/>
        <v>3.16</v>
      </c>
      <c r="BC127" s="478">
        <f t="shared" si="241"/>
        <v>0</v>
      </c>
    </row>
    <row r="128" spans="1:55" s="234" customFormat="1" x14ac:dyDescent="0.2">
      <c r="A128" s="221">
        <v>23</v>
      </c>
      <c r="B128" s="222">
        <v>4413</v>
      </c>
      <c r="C128" s="222">
        <v>600074455</v>
      </c>
      <c r="D128" s="222">
        <v>70695369</v>
      </c>
      <c r="E128" s="220" t="s">
        <v>193</v>
      </c>
      <c r="F128" s="222">
        <v>3141</v>
      </c>
      <c r="G128" s="172" t="s">
        <v>315</v>
      </c>
      <c r="H128" s="223" t="s">
        <v>278</v>
      </c>
      <c r="I128" s="477">
        <v>1762433</v>
      </c>
      <c r="J128" s="472">
        <v>1290768</v>
      </c>
      <c r="K128" s="472">
        <v>0</v>
      </c>
      <c r="L128" s="472">
        <v>436280</v>
      </c>
      <c r="M128" s="472">
        <v>25815</v>
      </c>
      <c r="N128" s="472">
        <v>9570</v>
      </c>
      <c r="O128" s="473">
        <v>4.07</v>
      </c>
      <c r="P128" s="474">
        <v>0</v>
      </c>
      <c r="Q128" s="483">
        <v>4.07</v>
      </c>
      <c r="R128" s="485">
        <f t="shared" si="235"/>
        <v>0</v>
      </c>
      <c r="S128" s="475">
        <v>0</v>
      </c>
      <c r="T128" s="475">
        <v>-8406</v>
      </c>
      <c r="U128" s="475">
        <v>0</v>
      </c>
      <c r="V128" s="475">
        <v>0</v>
      </c>
      <c r="W128" s="475">
        <v>0</v>
      </c>
      <c r="X128" s="475">
        <f t="shared" si="139"/>
        <v>-8406</v>
      </c>
      <c r="Y128" s="475">
        <v>0</v>
      </c>
      <c r="Z128" s="475">
        <v>0</v>
      </c>
      <c r="AA128" s="475">
        <v>0</v>
      </c>
      <c r="AB128" s="475">
        <f t="shared" si="236"/>
        <v>0</v>
      </c>
      <c r="AC128" s="475">
        <f>X128+AB128</f>
        <v>-8406</v>
      </c>
      <c r="AD128" s="70">
        <f>ROUND((X128+Y128+Z128)*33.8%,0)</f>
        <v>-2841</v>
      </c>
      <c r="AE128" s="70">
        <f>ROUND(X128*2%,0)</f>
        <v>-168</v>
      </c>
      <c r="AF128" s="475">
        <v>0</v>
      </c>
      <c r="AG128" s="475">
        <v>0</v>
      </c>
      <c r="AH128" s="475">
        <f t="shared" si="237"/>
        <v>0</v>
      </c>
      <c r="AI128" s="475">
        <f t="shared" si="238"/>
        <v>-11415</v>
      </c>
      <c r="AJ128" s="476">
        <v>0</v>
      </c>
      <c r="AK128" s="476">
        <v>0</v>
      </c>
      <c r="AL128" s="476">
        <v>0</v>
      </c>
      <c r="AM128" s="476">
        <v>0</v>
      </c>
      <c r="AN128" s="476">
        <v>-0.03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-0.03</v>
      </c>
      <c r="AT128" s="478">
        <f t="shared" si="239"/>
        <v>-0.03</v>
      </c>
      <c r="AU128" s="484">
        <f>I128+AI128</f>
        <v>1751018</v>
      </c>
      <c r="AV128" s="475">
        <f>J128+X128</f>
        <v>1282362</v>
      </c>
      <c r="AW128" s="475">
        <f>K128+AB128</f>
        <v>0</v>
      </c>
      <c r="AX128" s="475">
        <f t="shared" si="240"/>
        <v>433439</v>
      </c>
      <c r="AY128" s="475">
        <f t="shared" si="240"/>
        <v>25647</v>
      </c>
      <c r="AZ128" s="475">
        <f>N128+AH128</f>
        <v>9570</v>
      </c>
      <c r="BA128" s="476">
        <f>O128+AT128</f>
        <v>4.04</v>
      </c>
      <c r="BB128" s="476">
        <f t="shared" si="241"/>
        <v>0</v>
      </c>
      <c r="BC128" s="478">
        <f t="shared" si="241"/>
        <v>4.04</v>
      </c>
    </row>
    <row r="129" spans="1:55" s="234" customFormat="1" x14ac:dyDescent="0.2">
      <c r="A129" s="221">
        <v>23</v>
      </c>
      <c r="B129" s="222">
        <v>4413</v>
      </c>
      <c r="C129" s="222">
        <v>600074455</v>
      </c>
      <c r="D129" s="222">
        <v>70695369</v>
      </c>
      <c r="E129" s="220" t="s">
        <v>193</v>
      </c>
      <c r="F129" s="222">
        <v>3143</v>
      </c>
      <c r="G129" s="172" t="s">
        <v>626</v>
      </c>
      <c r="H129" s="239" t="s">
        <v>277</v>
      </c>
      <c r="I129" s="477">
        <v>1180825</v>
      </c>
      <c r="J129" s="472">
        <v>869532</v>
      </c>
      <c r="K129" s="472">
        <v>0</v>
      </c>
      <c r="L129" s="472">
        <v>293902</v>
      </c>
      <c r="M129" s="472">
        <v>17391</v>
      </c>
      <c r="N129" s="472">
        <v>0</v>
      </c>
      <c r="O129" s="473">
        <v>2</v>
      </c>
      <c r="P129" s="474">
        <v>2</v>
      </c>
      <c r="Q129" s="483">
        <v>0</v>
      </c>
      <c r="R129" s="485">
        <f t="shared" si="235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139"/>
        <v>0</v>
      </c>
      <c r="Y129" s="475">
        <v>0</v>
      </c>
      <c r="Z129" s="475">
        <v>0</v>
      </c>
      <c r="AA129" s="475">
        <v>0</v>
      </c>
      <c r="AB129" s="475">
        <f t="shared" si="236"/>
        <v>0</v>
      </c>
      <c r="AC129" s="475">
        <f>X129+AB129</f>
        <v>0</v>
      </c>
      <c r="AD129" s="70">
        <f>ROUND((X129+Y129+Z129)*33.8%,0)</f>
        <v>0</v>
      </c>
      <c r="AE129" s="70">
        <f>ROUND(X129*2%,0)</f>
        <v>0</v>
      </c>
      <c r="AF129" s="475">
        <v>0</v>
      </c>
      <c r="AG129" s="475">
        <v>0</v>
      </c>
      <c r="AH129" s="475">
        <f t="shared" si="237"/>
        <v>0</v>
      </c>
      <c r="AI129" s="475">
        <f t="shared" si="238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239"/>
        <v>0</v>
      </c>
      <c r="AU129" s="484">
        <f>I129+AI129</f>
        <v>1180825</v>
      </c>
      <c r="AV129" s="475">
        <f>J129+X129</f>
        <v>869532</v>
      </c>
      <c r="AW129" s="475">
        <f>K129+AB129</f>
        <v>0</v>
      </c>
      <c r="AX129" s="475">
        <f t="shared" si="240"/>
        <v>293902</v>
      </c>
      <c r="AY129" s="475">
        <f t="shared" si="240"/>
        <v>17391</v>
      </c>
      <c r="AZ129" s="475">
        <f>N129+AH129</f>
        <v>0</v>
      </c>
      <c r="BA129" s="476">
        <f>O129+AT129</f>
        <v>2</v>
      </c>
      <c r="BB129" s="476">
        <f t="shared" si="241"/>
        <v>2</v>
      </c>
      <c r="BC129" s="478">
        <f t="shared" si="241"/>
        <v>0</v>
      </c>
    </row>
    <row r="130" spans="1:55" s="234" customFormat="1" x14ac:dyDescent="0.2">
      <c r="A130" s="221">
        <v>23</v>
      </c>
      <c r="B130" s="222">
        <v>4413</v>
      </c>
      <c r="C130" s="222">
        <v>600074455</v>
      </c>
      <c r="D130" s="222">
        <v>70695369</v>
      </c>
      <c r="E130" s="220" t="s">
        <v>193</v>
      </c>
      <c r="F130" s="222">
        <v>3143</v>
      </c>
      <c r="G130" s="172" t="s">
        <v>627</v>
      </c>
      <c r="H130" s="239" t="s">
        <v>278</v>
      </c>
      <c r="I130" s="477">
        <v>26459</v>
      </c>
      <c r="J130" s="472">
        <v>18711</v>
      </c>
      <c r="K130" s="472">
        <v>0</v>
      </c>
      <c r="L130" s="472">
        <v>6324</v>
      </c>
      <c r="M130" s="472">
        <v>374</v>
      </c>
      <c r="N130" s="472">
        <v>1050</v>
      </c>
      <c r="O130" s="473">
        <v>7.0000000000000007E-2</v>
      </c>
      <c r="P130" s="474">
        <v>0</v>
      </c>
      <c r="Q130" s="483">
        <v>7.0000000000000007E-2</v>
      </c>
      <c r="R130" s="485">
        <f t="shared" si="235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139"/>
        <v>0</v>
      </c>
      <c r="Y130" s="475">
        <v>0</v>
      </c>
      <c r="Z130" s="475">
        <v>0</v>
      </c>
      <c r="AA130" s="475">
        <v>0</v>
      </c>
      <c r="AB130" s="475">
        <f t="shared" si="236"/>
        <v>0</v>
      </c>
      <c r="AC130" s="475">
        <f>X130+AB130</f>
        <v>0</v>
      </c>
      <c r="AD130" s="70">
        <f>ROUND((X130+Y130+Z130)*33.8%,0)</f>
        <v>0</v>
      </c>
      <c r="AE130" s="70">
        <f>ROUND(X130*2%,0)</f>
        <v>0</v>
      </c>
      <c r="AF130" s="475">
        <v>0</v>
      </c>
      <c r="AG130" s="475">
        <v>0</v>
      </c>
      <c r="AH130" s="475">
        <f t="shared" si="237"/>
        <v>0</v>
      </c>
      <c r="AI130" s="475">
        <f t="shared" si="238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>AJ130+AL130+AM130+AO130+AP130</f>
        <v>0</v>
      </c>
      <c r="AS130" s="476">
        <f>AK130+AN130+AQ130</f>
        <v>0</v>
      </c>
      <c r="AT130" s="478">
        <f t="shared" si="239"/>
        <v>0</v>
      </c>
      <c r="AU130" s="484">
        <f>I130+AI130</f>
        <v>26459</v>
      </c>
      <c r="AV130" s="475">
        <f>J130+X130</f>
        <v>18711</v>
      </c>
      <c r="AW130" s="475">
        <f>K130+AB130</f>
        <v>0</v>
      </c>
      <c r="AX130" s="475">
        <f t="shared" si="240"/>
        <v>6324</v>
      </c>
      <c r="AY130" s="475">
        <f t="shared" si="240"/>
        <v>374</v>
      </c>
      <c r="AZ130" s="475">
        <f>N130+AH130</f>
        <v>1050</v>
      </c>
      <c r="BA130" s="476">
        <f>O130+AT130</f>
        <v>7.0000000000000007E-2</v>
      </c>
      <c r="BB130" s="476">
        <f t="shared" si="241"/>
        <v>0</v>
      </c>
      <c r="BC130" s="478">
        <f t="shared" si="241"/>
        <v>7.0000000000000007E-2</v>
      </c>
    </row>
    <row r="131" spans="1:55" s="234" customFormat="1" x14ac:dyDescent="0.2">
      <c r="A131" s="162">
        <v>23</v>
      </c>
      <c r="B131" s="18">
        <v>4413</v>
      </c>
      <c r="C131" s="18">
        <v>600074455</v>
      </c>
      <c r="D131" s="18">
        <v>70695369</v>
      </c>
      <c r="E131" s="171" t="s">
        <v>194</v>
      </c>
      <c r="F131" s="18"/>
      <c r="G131" s="161"/>
      <c r="H131" s="195"/>
      <c r="I131" s="529">
        <v>13483260</v>
      </c>
      <c r="J131" s="526">
        <v>9876319</v>
      </c>
      <c r="K131" s="526">
        <v>0</v>
      </c>
      <c r="L131" s="526">
        <v>3338196</v>
      </c>
      <c r="M131" s="526">
        <v>197525</v>
      </c>
      <c r="N131" s="526">
        <v>71220</v>
      </c>
      <c r="O131" s="527">
        <v>23.732600000000001</v>
      </c>
      <c r="P131" s="527">
        <v>16.040399999999998</v>
      </c>
      <c r="Q131" s="531">
        <v>7.6922000000000006</v>
      </c>
      <c r="R131" s="529">
        <f t="shared" ref="R131:BC131" si="242">SUM(R126:R130)</f>
        <v>0</v>
      </c>
      <c r="S131" s="526">
        <f t="shared" si="242"/>
        <v>0</v>
      </c>
      <c r="T131" s="526">
        <f t="shared" si="242"/>
        <v>-8406</v>
      </c>
      <c r="U131" s="526">
        <f t="shared" si="242"/>
        <v>0</v>
      </c>
      <c r="V131" s="526">
        <f t="shared" si="242"/>
        <v>0</v>
      </c>
      <c r="W131" s="526">
        <f t="shared" si="242"/>
        <v>0</v>
      </c>
      <c r="X131" s="526">
        <f t="shared" si="242"/>
        <v>-8406</v>
      </c>
      <c r="Y131" s="526">
        <f t="shared" si="242"/>
        <v>0</v>
      </c>
      <c r="Z131" s="526">
        <f t="shared" si="242"/>
        <v>0</v>
      </c>
      <c r="AA131" s="526">
        <f t="shared" si="242"/>
        <v>0</v>
      </c>
      <c r="AB131" s="526">
        <f t="shared" si="242"/>
        <v>0</v>
      </c>
      <c r="AC131" s="526">
        <f t="shared" si="242"/>
        <v>-8406</v>
      </c>
      <c r="AD131" s="526">
        <f t="shared" si="242"/>
        <v>-2841</v>
      </c>
      <c r="AE131" s="526">
        <f t="shared" si="242"/>
        <v>-168</v>
      </c>
      <c r="AF131" s="526">
        <f t="shared" si="242"/>
        <v>0</v>
      </c>
      <c r="AG131" s="526">
        <f t="shared" si="242"/>
        <v>0</v>
      </c>
      <c r="AH131" s="526">
        <f t="shared" si="242"/>
        <v>0</v>
      </c>
      <c r="AI131" s="526">
        <f t="shared" si="242"/>
        <v>-11415</v>
      </c>
      <c r="AJ131" s="527">
        <f t="shared" si="242"/>
        <v>0</v>
      </c>
      <c r="AK131" s="527">
        <f t="shared" si="242"/>
        <v>0</v>
      </c>
      <c r="AL131" s="527">
        <f t="shared" si="242"/>
        <v>0</v>
      </c>
      <c r="AM131" s="527">
        <f t="shared" si="242"/>
        <v>0</v>
      </c>
      <c r="AN131" s="527">
        <f t="shared" si="242"/>
        <v>-0.03</v>
      </c>
      <c r="AO131" s="527">
        <f t="shared" si="242"/>
        <v>0</v>
      </c>
      <c r="AP131" s="527">
        <f t="shared" si="242"/>
        <v>0</v>
      </c>
      <c r="AQ131" s="527">
        <f t="shared" si="242"/>
        <v>0</v>
      </c>
      <c r="AR131" s="527">
        <f t="shared" si="242"/>
        <v>0</v>
      </c>
      <c r="AS131" s="527">
        <f t="shared" si="242"/>
        <v>-0.03</v>
      </c>
      <c r="AT131" s="40">
        <f t="shared" si="242"/>
        <v>-0.03</v>
      </c>
      <c r="AU131" s="533">
        <f t="shared" si="242"/>
        <v>13471845</v>
      </c>
      <c r="AV131" s="526">
        <f t="shared" si="242"/>
        <v>9867913</v>
      </c>
      <c r="AW131" s="526">
        <f t="shared" si="242"/>
        <v>0</v>
      </c>
      <c r="AX131" s="526">
        <f t="shared" si="242"/>
        <v>3335355</v>
      </c>
      <c r="AY131" s="526">
        <f t="shared" si="242"/>
        <v>197357</v>
      </c>
      <c r="AZ131" s="526">
        <f t="shared" si="242"/>
        <v>71220</v>
      </c>
      <c r="BA131" s="527">
        <f t="shared" si="242"/>
        <v>23.7026</v>
      </c>
      <c r="BB131" s="527">
        <f t="shared" si="242"/>
        <v>16.040399999999998</v>
      </c>
      <c r="BC131" s="40">
        <f t="shared" si="242"/>
        <v>7.6622000000000003</v>
      </c>
    </row>
    <row r="132" spans="1:55" s="234" customFormat="1" x14ac:dyDescent="0.2">
      <c r="A132" s="221">
        <v>24</v>
      </c>
      <c r="B132" s="222">
        <v>4429</v>
      </c>
      <c r="C132" s="222">
        <v>600074595</v>
      </c>
      <c r="D132" s="222">
        <v>70698520</v>
      </c>
      <c r="E132" s="220" t="s">
        <v>195</v>
      </c>
      <c r="F132" s="222">
        <v>3111</v>
      </c>
      <c r="G132" s="172" t="s">
        <v>311</v>
      </c>
      <c r="H132" s="223" t="s">
        <v>277</v>
      </c>
      <c r="I132" s="477">
        <v>1525811</v>
      </c>
      <c r="J132" s="472">
        <v>1103474</v>
      </c>
      <c r="K132" s="472">
        <v>13000</v>
      </c>
      <c r="L132" s="472">
        <v>377368</v>
      </c>
      <c r="M132" s="472">
        <v>22069</v>
      </c>
      <c r="N132" s="472">
        <v>9900</v>
      </c>
      <c r="O132" s="473">
        <v>2.4709000000000003</v>
      </c>
      <c r="P132" s="474">
        <v>1.96</v>
      </c>
      <c r="Q132" s="483">
        <v>0.51090000000000002</v>
      </c>
      <c r="R132" s="485">
        <f t="shared" ref="R132:R137" si="243">Y132*-1</f>
        <v>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 t="shared" si="139"/>
        <v>0</v>
      </c>
      <c r="Y132" s="475">
        <v>0</v>
      </c>
      <c r="Z132" s="475">
        <v>0</v>
      </c>
      <c r="AA132" s="475">
        <v>0</v>
      </c>
      <c r="AB132" s="475">
        <f t="shared" ref="AB132:AB137" si="244">SUM(Y132:AA132)</f>
        <v>0</v>
      </c>
      <c r="AC132" s="475">
        <f t="shared" ref="AC132:AC137" si="245">X132+AB132</f>
        <v>0</v>
      </c>
      <c r="AD132" s="70">
        <f t="shared" ref="AD132:AD137" si="246">ROUND((X132+Y132+Z132)*33.8%,0)</f>
        <v>0</v>
      </c>
      <c r="AE132" s="70">
        <f t="shared" ref="AE132:AE137" si="247">ROUND(X132*2%,0)</f>
        <v>0</v>
      </c>
      <c r="AF132" s="475">
        <v>0</v>
      </c>
      <c r="AG132" s="475">
        <v>0</v>
      </c>
      <c r="AH132" s="475">
        <f t="shared" ref="AH132:AH137" si="248">SUM(AF132:AG132)</f>
        <v>0</v>
      </c>
      <c r="AI132" s="475">
        <f t="shared" ref="AI132:AI137" si="249">AC132+AD132+AE132+AH132</f>
        <v>0</v>
      </c>
      <c r="AJ132" s="476">
        <v>0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476">
        <f t="shared" ref="AR132:AR137" si="250">AJ132+AL132+AM132+AO132+AP132</f>
        <v>0</v>
      </c>
      <c r="AS132" s="476">
        <f t="shared" ref="AS132:AS137" si="251">AK132+AN132+AQ132</f>
        <v>0</v>
      </c>
      <c r="AT132" s="478">
        <f t="shared" ref="AT132:AT137" si="252">SUM(AR132:AS132)</f>
        <v>0</v>
      </c>
      <c r="AU132" s="484">
        <f t="shared" ref="AU132:AU137" si="253">I132+AI132</f>
        <v>1525811</v>
      </c>
      <c r="AV132" s="475">
        <f t="shared" ref="AV132:AV137" si="254">J132+X132</f>
        <v>1103474</v>
      </c>
      <c r="AW132" s="475">
        <f t="shared" ref="AW132:AW137" si="255">K132+AB132</f>
        <v>13000</v>
      </c>
      <c r="AX132" s="475">
        <f t="shared" ref="AX132:AY137" si="256">L132+AD132</f>
        <v>377368</v>
      </c>
      <c r="AY132" s="475">
        <f t="shared" si="256"/>
        <v>22069</v>
      </c>
      <c r="AZ132" s="475">
        <f t="shared" ref="AZ132:AZ137" si="257">N132+AH132</f>
        <v>9900</v>
      </c>
      <c r="BA132" s="476">
        <f t="shared" ref="BA132:BA137" si="258">O132+AT132</f>
        <v>2.4709000000000003</v>
      </c>
      <c r="BB132" s="476">
        <f t="shared" ref="BB132:BC137" si="259">P132+AR132</f>
        <v>1.96</v>
      </c>
      <c r="BC132" s="478">
        <f t="shared" si="259"/>
        <v>0.51090000000000002</v>
      </c>
    </row>
    <row r="133" spans="1:55" s="234" customFormat="1" x14ac:dyDescent="0.2">
      <c r="A133" s="221">
        <v>24</v>
      </c>
      <c r="B133" s="222">
        <v>4429</v>
      </c>
      <c r="C133" s="222">
        <v>600074595</v>
      </c>
      <c r="D133" s="222">
        <v>70698520</v>
      </c>
      <c r="E133" s="220" t="s">
        <v>195</v>
      </c>
      <c r="F133" s="222">
        <v>3117</v>
      </c>
      <c r="G133" s="172" t="s">
        <v>314</v>
      </c>
      <c r="H133" s="223" t="s">
        <v>277</v>
      </c>
      <c r="I133" s="477">
        <v>3285538</v>
      </c>
      <c r="J133" s="472">
        <v>2360980</v>
      </c>
      <c r="K133" s="472">
        <v>12000</v>
      </c>
      <c r="L133" s="472">
        <v>802068</v>
      </c>
      <c r="M133" s="472">
        <v>47220</v>
      </c>
      <c r="N133" s="472">
        <v>63270</v>
      </c>
      <c r="O133" s="473">
        <v>4.9421999999999997</v>
      </c>
      <c r="P133" s="474">
        <v>3.5454000000000003</v>
      </c>
      <c r="Q133" s="483">
        <v>1.3968</v>
      </c>
      <c r="R133" s="485">
        <f t="shared" si="243"/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si="139"/>
        <v>0</v>
      </c>
      <c r="Y133" s="475">
        <v>0</v>
      </c>
      <c r="Z133" s="475">
        <v>0</v>
      </c>
      <c r="AA133" s="475">
        <v>0</v>
      </c>
      <c r="AB133" s="475">
        <f t="shared" si="244"/>
        <v>0</v>
      </c>
      <c r="AC133" s="475">
        <f t="shared" si="245"/>
        <v>0</v>
      </c>
      <c r="AD133" s="70">
        <f t="shared" si="246"/>
        <v>0</v>
      </c>
      <c r="AE133" s="70">
        <f t="shared" si="247"/>
        <v>0</v>
      </c>
      <c r="AF133" s="475">
        <v>0</v>
      </c>
      <c r="AG133" s="475">
        <v>0</v>
      </c>
      <c r="AH133" s="475">
        <f t="shared" si="248"/>
        <v>0</v>
      </c>
      <c r="AI133" s="475">
        <f t="shared" si="249"/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 t="shared" si="250"/>
        <v>0</v>
      </c>
      <c r="AS133" s="476">
        <f t="shared" si="251"/>
        <v>0</v>
      </c>
      <c r="AT133" s="478">
        <f t="shared" si="252"/>
        <v>0</v>
      </c>
      <c r="AU133" s="484">
        <f t="shared" si="253"/>
        <v>3285538</v>
      </c>
      <c r="AV133" s="475">
        <f t="shared" si="254"/>
        <v>2360980</v>
      </c>
      <c r="AW133" s="475">
        <f t="shared" si="255"/>
        <v>12000</v>
      </c>
      <c r="AX133" s="475">
        <f t="shared" si="256"/>
        <v>802068</v>
      </c>
      <c r="AY133" s="475">
        <f t="shared" si="256"/>
        <v>47220</v>
      </c>
      <c r="AZ133" s="475">
        <f t="shared" si="257"/>
        <v>63270</v>
      </c>
      <c r="BA133" s="476">
        <f t="shared" si="258"/>
        <v>4.9421999999999997</v>
      </c>
      <c r="BB133" s="476">
        <f t="shared" si="259"/>
        <v>3.5454000000000003</v>
      </c>
      <c r="BC133" s="478">
        <f t="shared" si="259"/>
        <v>1.3968</v>
      </c>
    </row>
    <row r="134" spans="1:55" s="234" customFormat="1" x14ac:dyDescent="0.2">
      <c r="A134" s="221">
        <v>24</v>
      </c>
      <c r="B134" s="222">
        <v>4429</v>
      </c>
      <c r="C134" s="222">
        <v>600074595</v>
      </c>
      <c r="D134" s="222">
        <v>70698520</v>
      </c>
      <c r="E134" s="220" t="s">
        <v>195</v>
      </c>
      <c r="F134" s="222">
        <v>3117</v>
      </c>
      <c r="G134" s="172" t="s">
        <v>312</v>
      </c>
      <c r="H134" s="223" t="s">
        <v>278</v>
      </c>
      <c r="I134" s="477">
        <v>1207596</v>
      </c>
      <c r="J134" s="472">
        <v>889246</v>
      </c>
      <c r="K134" s="472">
        <v>0</v>
      </c>
      <c r="L134" s="472">
        <v>300565</v>
      </c>
      <c r="M134" s="472">
        <v>17785</v>
      </c>
      <c r="N134" s="472">
        <v>0</v>
      </c>
      <c r="O134" s="473">
        <v>2.5499999999999998</v>
      </c>
      <c r="P134" s="474">
        <v>2.5499999999999998</v>
      </c>
      <c r="Q134" s="483">
        <v>0</v>
      </c>
      <c r="R134" s="485">
        <f t="shared" si="243"/>
        <v>0</v>
      </c>
      <c r="S134" s="475">
        <v>-65453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139"/>
        <v>-65453</v>
      </c>
      <c r="Y134" s="475">
        <v>0</v>
      </c>
      <c r="Z134" s="475">
        <v>0</v>
      </c>
      <c r="AA134" s="475">
        <v>0</v>
      </c>
      <c r="AB134" s="475">
        <f t="shared" si="244"/>
        <v>0</v>
      </c>
      <c r="AC134" s="475">
        <f t="shared" si="245"/>
        <v>-65453</v>
      </c>
      <c r="AD134" s="70">
        <f t="shared" si="246"/>
        <v>-22123</v>
      </c>
      <c r="AE134" s="70">
        <f t="shared" si="247"/>
        <v>-1309</v>
      </c>
      <c r="AF134" s="475">
        <v>0</v>
      </c>
      <c r="AG134" s="475">
        <v>0</v>
      </c>
      <c r="AH134" s="475">
        <f t="shared" si="248"/>
        <v>0</v>
      </c>
      <c r="AI134" s="475">
        <f t="shared" si="249"/>
        <v>-88885</v>
      </c>
      <c r="AJ134" s="476">
        <v>0</v>
      </c>
      <c r="AK134" s="476">
        <v>0</v>
      </c>
      <c r="AL134" s="476">
        <v>-0.19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 t="shared" si="250"/>
        <v>-0.19</v>
      </c>
      <c r="AS134" s="476">
        <f t="shared" si="251"/>
        <v>0</v>
      </c>
      <c r="AT134" s="478">
        <f t="shared" si="252"/>
        <v>-0.19</v>
      </c>
      <c r="AU134" s="484">
        <f t="shared" si="253"/>
        <v>1118711</v>
      </c>
      <c r="AV134" s="475">
        <f t="shared" si="254"/>
        <v>823793</v>
      </c>
      <c r="AW134" s="475">
        <f t="shared" si="255"/>
        <v>0</v>
      </c>
      <c r="AX134" s="475">
        <f t="shared" si="256"/>
        <v>278442</v>
      </c>
      <c r="AY134" s="475">
        <f t="shared" si="256"/>
        <v>16476</v>
      </c>
      <c r="AZ134" s="475">
        <f t="shared" si="257"/>
        <v>0</v>
      </c>
      <c r="BA134" s="476">
        <f t="shared" si="258"/>
        <v>2.36</v>
      </c>
      <c r="BB134" s="476">
        <f t="shared" si="259"/>
        <v>2.36</v>
      </c>
      <c r="BC134" s="478">
        <f t="shared" si="259"/>
        <v>0</v>
      </c>
    </row>
    <row r="135" spans="1:55" s="234" customFormat="1" x14ac:dyDescent="0.2">
      <c r="A135" s="221">
        <v>24</v>
      </c>
      <c r="B135" s="222">
        <v>4429</v>
      </c>
      <c r="C135" s="222">
        <v>600074595</v>
      </c>
      <c r="D135" s="222">
        <v>70698520</v>
      </c>
      <c r="E135" s="220" t="s">
        <v>195</v>
      </c>
      <c r="F135" s="222">
        <v>3141</v>
      </c>
      <c r="G135" s="172" t="s">
        <v>315</v>
      </c>
      <c r="H135" s="223" t="s">
        <v>278</v>
      </c>
      <c r="I135" s="477">
        <v>665827</v>
      </c>
      <c r="J135" s="472">
        <v>488335</v>
      </c>
      <c r="K135" s="472">
        <v>0</v>
      </c>
      <c r="L135" s="472">
        <v>165057</v>
      </c>
      <c r="M135" s="472">
        <v>9767</v>
      </c>
      <c r="N135" s="472">
        <v>2668</v>
      </c>
      <c r="O135" s="473">
        <v>1.54</v>
      </c>
      <c r="P135" s="474">
        <v>0</v>
      </c>
      <c r="Q135" s="483">
        <v>1.54</v>
      </c>
      <c r="R135" s="485">
        <f t="shared" si="243"/>
        <v>0</v>
      </c>
      <c r="S135" s="475">
        <v>0</v>
      </c>
      <c r="T135" s="475">
        <v>4891</v>
      </c>
      <c r="U135" s="475">
        <v>0</v>
      </c>
      <c r="V135" s="475">
        <v>0</v>
      </c>
      <c r="W135" s="475">
        <v>0</v>
      </c>
      <c r="X135" s="475">
        <f t="shared" si="139"/>
        <v>4891</v>
      </c>
      <c r="Y135" s="475">
        <v>0</v>
      </c>
      <c r="Z135" s="475">
        <v>0</v>
      </c>
      <c r="AA135" s="475">
        <v>0</v>
      </c>
      <c r="AB135" s="475">
        <f t="shared" si="244"/>
        <v>0</v>
      </c>
      <c r="AC135" s="475">
        <f t="shared" si="245"/>
        <v>4891</v>
      </c>
      <c r="AD135" s="70">
        <f t="shared" si="246"/>
        <v>1653</v>
      </c>
      <c r="AE135" s="70">
        <f t="shared" si="247"/>
        <v>98</v>
      </c>
      <c r="AF135" s="475">
        <v>0</v>
      </c>
      <c r="AG135" s="475">
        <v>0</v>
      </c>
      <c r="AH135" s="475">
        <f t="shared" si="248"/>
        <v>0</v>
      </c>
      <c r="AI135" s="475">
        <f t="shared" si="249"/>
        <v>6642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0.02</v>
      </c>
      <c r="AO135" s="476">
        <v>0</v>
      </c>
      <c r="AP135" s="476">
        <v>0</v>
      </c>
      <c r="AQ135" s="476">
        <v>0</v>
      </c>
      <c r="AR135" s="476">
        <f t="shared" si="250"/>
        <v>0</v>
      </c>
      <c r="AS135" s="476">
        <f t="shared" si="251"/>
        <v>0.02</v>
      </c>
      <c r="AT135" s="478">
        <f t="shared" si="252"/>
        <v>0.02</v>
      </c>
      <c r="AU135" s="484">
        <f t="shared" si="253"/>
        <v>672469</v>
      </c>
      <c r="AV135" s="475">
        <f t="shared" si="254"/>
        <v>493226</v>
      </c>
      <c r="AW135" s="475">
        <f t="shared" si="255"/>
        <v>0</v>
      </c>
      <c r="AX135" s="475">
        <f t="shared" si="256"/>
        <v>166710</v>
      </c>
      <c r="AY135" s="475">
        <f t="shared" si="256"/>
        <v>9865</v>
      </c>
      <c r="AZ135" s="475">
        <f t="shared" si="257"/>
        <v>2668</v>
      </c>
      <c r="BA135" s="476">
        <f t="shared" si="258"/>
        <v>1.56</v>
      </c>
      <c r="BB135" s="476">
        <f t="shared" si="259"/>
        <v>0</v>
      </c>
      <c r="BC135" s="478">
        <f t="shared" si="259"/>
        <v>1.56</v>
      </c>
    </row>
    <row r="136" spans="1:55" s="234" customFormat="1" x14ac:dyDescent="0.2">
      <c r="A136" s="221">
        <v>24</v>
      </c>
      <c r="B136" s="222">
        <v>4429</v>
      </c>
      <c r="C136" s="222">
        <v>600074595</v>
      </c>
      <c r="D136" s="222">
        <v>70698520</v>
      </c>
      <c r="E136" s="220" t="s">
        <v>195</v>
      </c>
      <c r="F136" s="222">
        <v>3143</v>
      </c>
      <c r="G136" s="172" t="s">
        <v>626</v>
      </c>
      <c r="H136" s="239" t="s">
        <v>277</v>
      </c>
      <c r="I136" s="477">
        <v>850896</v>
      </c>
      <c r="J136" s="472">
        <v>626580</v>
      </c>
      <c r="K136" s="472">
        <v>0</v>
      </c>
      <c r="L136" s="472">
        <v>211784</v>
      </c>
      <c r="M136" s="472">
        <v>12532</v>
      </c>
      <c r="N136" s="472">
        <v>0</v>
      </c>
      <c r="O136" s="473">
        <v>1.431</v>
      </c>
      <c r="P136" s="474">
        <v>1.431</v>
      </c>
      <c r="Q136" s="483">
        <v>0</v>
      </c>
      <c r="R136" s="485">
        <f t="shared" si="243"/>
        <v>0</v>
      </c>
      <c r="S136" s="475">
        <v>0</v>
      </c>
      <c r="T136" s="475">
        <v>49451</v>
      </c>
      <c r="U136" s="475">
        <v>0</v>
      </c>
      <c r="V136" s="475">
        <v>0</v>
      </c>
      <c r="W136" s="475">
        <v>0</v>
      </c>
      <c r="X136" s="475">
        <f t="shared" si="139"/>
        <v>49451</v>
      </c>
      <c r="Y136" s="475">
        <v>0</v>
      </c>
      <c r="Z136" s="475">
        <v>0</v>
      </c>
      <c r="AA136" s="475">
        <v>0</v>
      </c>
      <c r="AB136" s="475">
        <f t="shared" si="244"/>
        <v>0</v>
      </c>
      <c r="AC136" s="475">
        <f t="shared" si="245"/>
        <v>49451</v>
      </c>
      <c r="AD136" s="70">
        <f t="shared" si="246"/>
        <v>16714</v>
      </c>
      <c r="AE136" s="70">
        <f t="shared" si="247"/>
        <v>989</v>
      </c>
      <c r="AF136" s="475">
        <v>0</v>
      </c>
      <c r="AG136" s="475">
        <v>0</v>
      </c>
      <c r="AH136" s="475">
        <f t="shared" si="248"/>
        <v>0</v>
      </c>
      <c r="AI136" s="475">
        <f t="shared" si="249"/>
        <v>67154</v>
      </c>
      <c r="AJ136" s="476">
        <v>0</v>
      </c>
      <c r="AK136" s="476">
        <v>0</v>
      </c>
      <c r="AL136" s="476">
        <v>0</v>
      </c>
      <c r="AM136" s="476">
        <v>0.11</v>
      </c>
      <c r="AN136" s="476">
        <v>0</v>
      </c>
      <c r="AO136" s="476">
        <v>0</v>
      </c>
      <c r="AP136" s="476">
        <v>0</v>
      </c>
      <c r="AQ136" s="476">
        <v>0</v>
      </c>
      <c r="AR136" s="476">
        <f t="shared" si="250"/>
        <v>0.11</v>
      </c>
      <c r="AS136" s="476">
        <f t="shared" si="251"/>
        <v>0</v>
      </c>
      <c r="AT136" s="478">
        <f t="shared" si="252"/>
        <v>0.11</v>
      </c>
      <c r="AU136" s="484">
        <f t="shared" si="253"/>
        <v>918050</v>
      </c>
      <c r="AV136" s="475">
        <f t="shared" si="254"/>
        <v>676031</v>
      </c>
      <c r="AW136" s="475">
        <f t="shared" si="255"/>
        <v>0</v>
      </c>
      <c r="AX136" s="475">
        <f t="shared" si="256"/>
        <v>228498</v>
      </c>
      <c r="AY136" s="475">
        <f t="shared" si="256"/>
        <v>13521</v>
      </c>
      <c r="AZ136" s="475">
        <f t="shared" si="257"/>
        <v>0</v>
      </c>
      <c r="BA136" s="476">
        <f t="shared" si="258"/>
        <v>1.5410000000000001</v>
      </c>
      <c r="BB136" s="476">
        <f t="shared" si="259"/>
        <v>1.5410000000000001</v>
      </c>
      <c r="BC136" s="478">
        <f t="shared" si="259"/>
        <v>0</v>
      </c>
    </row>
    <row r="137" spans="1:55" s="234" customFormat="1" x14ac:dyDescent="0.2">
      <c r="A137" s="221">
        <v>24</v>
      </c>
      <c r="B137" s="222">
        <v>4429</v>
      </c>
      <c r="C137" s="222">
        <v>600074595</v>
      </c>
      <c r="D137" s="222">
        <v>70698520</v>
      </c>
      <c r="E137" s="220" t="s">
        <v>195</v>
      </c>
      <c r="F137" s="222">
        <v>3143</v>
      </c>
      <c r="G137" s="172" t="s">
        <v>627</v>
      </c>
      <c r="H137" s="239" t="s">
        <v>278</v>
      </c>
      <c r="I137" s="477">
        <v>20412</v>
      </c>
      <c r="J137" s="472">
        <v>14434</v>
      </c>
      <c r="K137" s="472">
        <v>0</v>
      </c>
      <c r="L137" s="472">
        <v>4879</v>
      </c>
      <c r="M137" s="472">
        <v>289</v>
      </c>
      <c r="N137" s="472">
        <v>810</v>
      </c>
      <c r="O137" s="473">
        <v>0.06</v>
      </c>
      <c r="P137" s="474">
        <v>0</v>
      </c>
      <c r="Q137" s="483">
        <v>0.06</v>
      </c>
      <c r="R137" s="485">
        <f t="shared" si="243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139"/>
        <v>0</v>
      </c>
      <c r="Y137" s="475">
        <v>0</v>
      </c>
      <c r="Z137" s="475">
        <v>0</v>
      </c>
      <c r="AA137" s="475">
        <v>0</v>
      </c>
      <c r="AB137" s="475">
        <f t="shared" si="244"/>
        <v>0</v>
      </c>
      <c r="AC137" s="475">
        <f t="shared" si="245"/>
        <v>0</v>
      </c>
      <c r="AD137" s="70">
        <f t="shared" si="246"/>
        <v>0</v>
      </c>
      <c r="AE137" s="70">
        <f t="shared" si="247"/>
        <v>0</v>
      </c>
      <c r="AF137" s="475">
        <v>0</v>
      </c>
      <c r="AG137" s="475">
        <v>0</v>
      </c>
      <c r="AH137" s="475">
        <f t="shared" si="248"/>
        <v>0</v>
      </c>
      <c r="AI137" s="475">
        <f t="shared" si="249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 t="shared" si="250"/>
        <v>0</v>
      </c>
      <c r="AS137" s="476">
        <f t="shared" si="251"/>
        <v>0</v>
      </c>
      <c r="AT137" s="478">
        <f t="shared" si="252"/>
        <v>0</v>
      </c>
      <c r="AU137" s="484">
        <f t="shared" si="253"/>
        <v>20412</v>
      </c>
      <c r="AV137" s="475">
        <f t="shared" si="254"/>
        <v>14434</v>
      </c>
      <c r="AW137" s="475">
        <f t="shared" si="255"/>
        <v>0</v>
      </c>
      <c r="AX137" s="475">
        <f t="shared" si="256"/>
        <v>4879</v>
      </c>
      <c r="AY137" s="475">
        <f t="shared" si="256"/>
        <v>289</v>
      </c>
      <c r="AZ137" s="475">
        <f t="shared" si="257"/>
        <v>810</v>
      </c>
      <c r="BA137" s="476">
        <f t="shared" si="258"/>
        <v>0.06</v>
      </c>
      <c r="BB137" s="476">
        <f t="shared" si="259"/>
        <v>0</v>
      </c>
      <c r="BC137" s="478">
        <f t="shared" si="259"/>
        <v>0.06</v>
      </c>
    </row>
    <row r="138" spans="1:55" s="234" customFormat="1" x14ac:dyDescent="0.2">
      <c r="A138" s="162">
        <v>24</v>
      </c>
      <c r="B138" s="18">
        <v>4429</v>
      </c>
      <c r="C138" s="18">
        <v>600074595</v>
      </c>
      <c r="D138" s="18">
        <v>70698520</v>
      </c>
      <c r="E138" s="171" t="s">
        <v>196</v>
      </c>
      <c r="F138" s="18"/>
      <c r="G138" s="161"/>
      <c r="H138" s="195"/>
      <c r="I138" s="529">
        <v>7556080</v>
      </c>
      <c r="J138" s="526">
        <v>5483049</v>
      </c>
      <c r="K138" s="526">
        <v>25000</v>
      </c>
      <c r="L138" s="526">
        <v>1861721</v>
      </c>
      <c r="M138" s="526">
        <v>109662</v>
      </c>
      <c r="N138" s="526">
        <v>76648</v>
      </c>
      <c r="O138" s="527">
        <v>12.994100000000001</v>
      </c>
      <c r="P138" s="527">
        <v>9.4863999999999997</v>
      </c>
      <c r="Q138" s="531">
        <v>3.5077000000000003</v>
      </c>
      <c r="R138" s="529">
        <f t="shared" ref="R138:BC138" si="260">SUM(R132:R137)</f>
        <v>0</v>
      </c>
      <c r="S138" s="526">
        <f t="shared" si="260"/>
        <v>-65453</v>
      </c>
      <c r="T138" s="526">
        <f t="shared" si="260"/>
        <v>54342</v>
      </c>
      <c r="U138" s="526">
        <f t="shared" si="260"/>
        <v>0</v>
      </c>
      <c r="V138" s="526">
        <f t="shared" si="260"/>
        <v>0</v>
      </c>
      <c r="W138" s="526">
        <f t="shared" si="260"/>
        <v>0</v>
      </c>
      <c r="X138" s="526">
        <f t="shared" si="260"/>
        <v>-11111</v>
      </c>
      <c r="Y138" s="526">
        <f t="shared" si="260"/>
        <v>0</v>
      </c>
      <c r="Z138" s="526">
        <f t="shared" si="260"/>
        <v>0</v>
      </c>
      <c r="AA138" s="526">
        <f t="shared" si="260"/>
        <v>0</v>
      </c>
      <c r="AB138" s="526">
        <f t="shared" si="260"/>
        <v>0</v>
      </c>
      <c r="AC138" s="526">
        <f t="shared" si="260"/>
        <v>-11111</v>
      </c>
      <c r="AD138" s="526">
        <f t="shared" si="260"/>
        <v>-3756</v>
      </c>
      <c r="AE138" s="526">
        <f t="shared" si="260"/>
        <v>-222</v>
      </c>
      <c r="AF138" s="526">
        <f t="shared" si="260"/>
        <v>0</v>
      </c>
      <c r="AG138" s="526">
        <f t="shared" si="260"/>
        <v>0</v>
      </c>
      <c r="AH138" s="526">
        <f t="shared" si="260"/>
        <v>0</v>
      </c>
      <c r="AI138" s="526">
        <f t="shared" si="260"/>
        <v>-15089</v>
      </c>
      <c r="AJ138" s="527">
        <f t="shared" si="260"/>
        <v>0</v>
      </c>
      <c r="AK138" s="527">
        <f t="shared" si="260"/>
        <v>0</v>
      </c>
      <c r="AL138" s="527">
        <f t="shared" si="260"/>
        <v>-0.19</v>
      </c>
      <c r="AM138" s="527">
        <f t="shared" si="260"/>
        <v>0.11</v>
      </c>
      <c r="AN138" s="527">
        <f t="shared" si="260"/>
        <v>0.02</v>
      </c>
      <c r="AO138" s="527">
        <f t="shared" si="260"/>
        <v>0</v>
      </c>
      <c r="AP138" s="527">
        <f t="shared" si="260"/>
        <v>0</v>
      </c>
      <c r="AQ138" s="527">
        <f t="shared" si="260"/>
        <v>0</v>
      </c>
      <c r="AR138" s="527">
        <f t="shared" si="260"/>
        <v>-0.08</v>
      </c>
      <c r="AS138" s="527">
        <f t="shared" si="260"/>
        <v>0.02</v>
      </c>
      <c r="AT138" s="40">
        <f t="shared" si="260"/>
        <v>-6.0000000000000012E-2</v>
      </c>
      <c r="AU138" s="533">
        <f t="shared" si="260"/>
        <v>7540991</v>
      </c>
      <c r="AV138" s="526">
        <f t="shared" si="260"/>
        <v>5471938</v>
      </c>
      <c r="AW138" s="526">
        <f t="shared" si="260"/>
        <v>25000</v>
      </c>
      <c r="AX138" s="526">
        <f t="shared" si="260"/>
        <v>1857965</v>
      </c>
      <c r="AY138" s="526">
        <f t="shared" si="260"/>
        <v>109440</v>
      </c>
      <c r="AZ138" s="526">
        <f t="shared" si="260"/>
        <v>76648</v>
      </c>
      <c r="BA138" s="527">
        <f t="shared" si="260"/>
        <v>12.934100000000001</v>
      </c>
      <c r="BB138" s="527">
        <f t="shared" si="260"/>
        <v>9.4063999999999997</v>
      </c>
      <c r="BC138" s="40">
        <f t="shared" si="260"/>
        <v>3.5277000000000003</v>
      </c>
    </row>
    <row r="139" spans="1:55" s="234" customFormat="1" x14ac:dyDescent="0.2">
      <c r="A139" s="221">
        <v>25</v>
      </c>
      <c r="B139" s="222">
        <v>4452</v>
      </c>
      <c r="C139" s="222">
        <v>600074919</v>
      </c>
      <c r="D139" s="222">
        <v>70698511</v>
      </c>
      <c r="E139" s="220" t="s">
        <v>197</v>
      </c>
      <c r="F139" s="222">
        <v>3113</v>
      </c>
      <c r="G139" s="172" t="s">
        <v>314</v>
      </c>
      <c r="H139" s="223" t="s">
        <v>277</v>
      </c>
      <c r="I139" s="477">
        <v>32608829</v>
      </c>
      <c r="J139" s="472">
        <v>23456950</v>
      </c>
      <c r="K139" s="472">
        <v>30000</v>
      </c>
      <c r="L139" s="472">
        <v>7938590</v>
      </c>
      <c r="M139" s="472">
        <v>469139</v>
      </c>
      <c r="N139" s="472">
        <v>714150</v>
      </c>
      <c r="O139" s="473">
        <v>39.677299999999995</v>
      </c>
      <c r="P139" s="474">
        <v>30.114699999999999</v>
      </c>
      <c r="Q139" s="483">
        <v>9.5625999999999998</v>
      </c>
      <c r="R139" s="485">
        <f t="shared" ref="R139:R144" si="261">Y139*-1</f>
        <v>0</v>
      </c>
      <c r="S139" s="475">
        <v>0</v>
      </c>
      <c r="T139" s="475">
        <v>-328129</v>
      </c>
      <c r="U139" s="475">
        <v>-19246</v>
      </c>
      <c r="V139" s="475">
        <v>0</v>
      </c>
      <c r="W139" s="475">
        <v>0</v>
      </c>
      <c r="X139" s="475">
        <f t="shared" si="139"/>
        <v>-347375</v>
      </c>
      <c r="Y139" s="475">
        <v>0</v>
      </c>
      <c r="Z139" s="475">
        <v>0</v>
      </c>
      <c r="AA139" s="475">
        <v>0</v>
      </c>
      <c r="AB139" s="475">
        <f t="shared" ref="AB139:AB144" si="262">SUM(Y139:AA139)</f>
        <v>0</v>
      </c>
      <c r="AC139" s="475">
        <f t="shared" ref="AC139:AC144" si="263">X139+AB139</f>
        <v>-347375</v>
      </c>
      <c r="AD139" s="70">
        <f t="shared" ref="AD139:AD144" si="264">ROUND((X139+Y139+Z139)*33.8%,0)</f>
        <v>-117413</v>
      </c>
      <c r="AE139" s="70">
        <f t="shared" ref="AE139:AE144" si="265">ROUND(X139*2%,0)</f>
        <v>-6948</v>
      </c>
      <c r="AF139" s="475">
        <v>0</v>
      </c>
      <c r="AG139" s="475">
        <v>0</v>
      </c>
      <c r="AH139" s="475">
        <f t="shared" ref="AH139:AH144" si="266">SUM(AF139:AG139)</f>
        <v>0</v>
      </c>
      <c r="AI139" s="475">
        <f t="shared" ref="AI139:AI144" si="267">AC139+AD139+AE139+AH139</f>
        <v>-471736</v>
      </c>
      <c r="AJ139" s="476">
        <v>0</v>
      </c>
      <c r="AK139" s="476">
        <v>0</v>
      </c>
      <c r="AL139" s="476">
        <v>0</v>
      </c>
      <c r="AM139" s="476">
        <v>-0.48</v>
      </c>
      <c r="AN139" s="476">
        <v>0</v>
      </c>
      <c r="AO139" s="476">
        <v>0</v>
      </c>
      <c r="AP139" s="476">
        <v>0</v>
      </c>
      <c r="AQ139" s="476">
        <v>0</v>
      </c>
      <c r="AR139" s="476">
        <f t="shared" ref="AR139:AR144" si="268">AJ139+AL139+AM139+AO139+AP139</f>
        <v>-0.48</v>
      </c>
      <c r="AS139" s="476">
        <f t="shared" ref="AS139:AS144" si="269">AK139+AN139+AQ139</f>
        <v>0</v>
      </c>
      <c r="AT139" s="478">
        <f t="shared" ref="AT139:AT144" si="270">SUM(AR139:AS139)</f>
        <v>-0.48</v>
      </c>
      <c r="AU139" s="484">
        <f t="shared" ref="AU139:AU144" si="271">I139+AI139</f>
        <v>32137093</v>
      </c>
      <c r="AV139" s="475">
        <f t="shared" ref="AV139:AV144" si="272">J139+X139</f>
        <v>23109575</v>
      </c>
      <c r="AW139" s="475">
        <f t="shared" ref="AW139:AW144" si="273">K139+AB139</f>
        <v>30000</v>
      </c>
      <c r="AX139" s="475">
        <f t="shared" ref="AX139:AY144" si="274">L139+AD139</f>
        <v>7821177</v>
      </c>
      <c r="AY139" s="475">
        <f t="shared" si="274"/>
        <v>462191</v>
      </c>
      <c r="AZ139" s="475">
        <f t="shared" ref="AZ139:AZ144" si="275">N139+AH139</f>
        <v>714150</v>
      </c>
      <c r="BA139" s="476">
        <f t="shared" ref="BA139:BA144" si="276">O139+AT139</f>
        <v>39.197299999999998</v>
      </c>
      <c r="BB139" s="476">
        <f t="shared" ref="BB139:BC144" si="277">P139+AR139</f>
        <v>29.634699999999999</v>
      </c>
      <c r="BC139" s="478">
        <f t="shared" si="277"/>
        <v>9.5625999999999998</v>
      </c>
    </row>
    <row r="140" spans="1:55" s="234" customFormat="1" x14ac:dyDescent="0.2">
      <c r="A140" s="221">
        <v>25</v>
      </c>
      <c r="B140" s="222">
        <v>4452</v>
      </c>
      <c r="C140" s="222">
        <v>600074919</v>
      </c>
      <c r="D140" s="222">
        <v>70698511</v>
      </c>
      <c r="E140" s="220" t="s">
        <v>197</v>
      </c>
      <c r="F140" s="222">
        <v>3113</v>
      </c>
      <c r="G140" s="172" t="s">
        <v>313</v>
      </c>
      <c r="H140" s="223" t="s">
        <v>277</v>
      </c>
      <c r="I140" s="477">
        <v>257639</v>
      </c>
      <c r="J140" s="472">
        <v>189720</v>
      </c>
      <c r="K140" s="472">
        <v>0</v>
      </c>
      <c r="L140" s="472">
        <v>64125</v>
      </c>
      <c r="M140" s="472">
        <v>3794</v>
      </c>
      <c r="N140" s="472">
        <v>0</v>
      </c>
      <c r="O140" s="473">
        <v>0.5</v>
      </c>
      <c r="P140" s="474">
        <v>0.5</v>
      </c>
      <c r="Q140" s="483">
        <v>0</v>
      </c>
      <c r="R140" s="485">
        <f t="shared" si="261"/>
        <v>0</v>
      </c>
      <c r="S140" s="475">
        <v>0</v>
      </c>
      <c r="T140" s="475">
        <v>63240</v>
      </c>
      <c r="U140" s="475">
        <v>0</v>
      </c>
      <c r="V140" s="475">
        <v>0</v>
      </c>
      <c r="W140" s="475">
        <v>0</v>
      </c>
      <c r="X140" s="475">
        <f t="shared" si="139"/>
        <v>63240</v>
      </c>
      <c r="Y140" s="475">
        <v>0</v>
      </c>
      <c r="Z140" s="475">
        <v>0</v>
      </c>
      <c r="AA140" s="475">
        <v>0</v>
      </c>
      <c r="AB140" s="475">
        <f t="shared" si="262"/>
        <v>0</v>
      </c>
      <c r="AC140" s="475">
        <f t="shared" si="263"/>
        <v>63240</v>
      </c>
      <c r="AD140" s="70">
        <f t="shared" si="264"/>
        <v>21375</v>
      </c>
      <c r="AE140" s="70">
        <f t="shared" si="265"/>
        <v>1265</v>
      </c>
      <c r="AF140" s="475">
        <v>0</v>
      </c>
      <c r="AG140" s="475">
        <v>0</v>
      </c>
      <c r="AH140" s="475">
        <f t="shared" si="266"/>
        <v>0</v>
      </c>
      <c r="AI140" s="475">
        <f t="shared" si="267"/>
        <v>85880</v>
      </c>
      <c r="AJ140" s="476">
        <v>0</v>
      </c>
      <c r="AK140" s="476">
        <v>0</v>
      </c>
      <c r="AL140" s="476">
        <v>0</v>
      </c>
      <c r="AM140" s="476">
        <v>0.17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si="268"/>
        <v>0.17</v>
      </c>
      <c r="AS140" s="476">
        <f t="shared" si="269"/>
        <v>0</v>
      </c>
      <c r="AT140" s="478">
        <f t="shared" si="270"/>
        <v>0.17</v>
      </c>
      <c r="AU140" s="484">
        <f t="shared" si="271"/>
        <v>343519</v>
      </c>
      <c r="AV140" s="475">
        <f t="shared" si="272"/>
        <v>252960</v>
      </c>
      <c r="AW140" s="475">
        <f t="shared" si="273"/>
        <v>0</v>
      </c>
      <c r="AX140" s="475">
        <f t="shared" si="274"/>
        <v>85500</v>
      </c>
      <c r="AY140" s="475">
        <f t="shared" si="274"/>
        <v>5059</v>
      </c>
      <c r="AZ140" s="475">
        <f t="shared" si="275"/>
        <v>0</v>
      </c>
      <c r="BA140" s="476">
        <f t="shared" si="276"/>
        <v>0.67</v>
      </c>
      <c r="BB140" s="476">
        <f t="shared" si="277"/>
        <v>0.67</v>
      </c>
      <c r="BC140" s="478">
        <f t="shared" si="277"/>
        <v>0</v>
      </c>
    </row>
    <row r="141" spans="1:55" s="234" customFormat="1" x14ac:dyDescent="0.2">
      <c r="A141" s="221">
        <v>25</v>
      </c>
      <c r="B141" s="222">
        <v>4452</v>
      </c>
      <c r="C141" s="222">
        <v>600074919</v>
      </c>
      <c r="D141" s="222">
        <v>70698511</v>
      </c>
      <c r="E141" s="220" t="s">
        <v>197</v>
      </c>
      <c r="F141" s="222">
        <v>3113</v>
      </c>
      <c r="G141" s="172" t="s">
        <v>312</v>
      </c>
      <c r="H141" s="223" t="s">
        <v>278</v>
      </c>
      <c r="I141" s="477">
        <v>1576997</v>
      </c>
      <c r="J141" s="472">
        <v>1159239</v>
      </c>
      <c r="K141" s="472">
        <v>0</v>
      </c>
      <c r="L141" s="472">
        <v>391823</v>
      </c>
      <c r="M141" s="472">
        <v>23185</v>
      </c>
      <c r="N141" s="472">
        <v>2750</v>
      </c>
      <c r="O141" s="473">
        <v>3.23</v>
      </c>
      <c r="P141" s="474">
        <v>3.23</v>
      </c>
      <c r="Q141" s="483">
        <v>0</v>
      </c>
      <c r="R141" s="485">
        <f t="shared" si="261"/>
        <v>0</v>
      </c>
      <c r="S141" s="475">
        <v>-71337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ref="X141:X204" si="278">SUM(R141:W141)</f>
        <v>-71337</v>
      </c>
      <c r="Y141" s="475">
        <v>0</v>
      </c>
      <c r="Z141" s="475">
        <v>0</v>
      </c>
      <c r="AA141" s="475">
        <v>0</v>
      </c>
      <c r="AB141" s="475">
        <f t="shared" si="262"/>
        <v>0</v>
      </c>
      <c r="AC141" s="475">
        <f t="shared" si="263"/>
        <v>-71337</v>
      </c>
      <c r="AD141" s="70">
        <f t="shared" si="264"/>
        <v>-24112</v>
      </c>
      <c r="AE141" s="70">
        <f t="shared" si="265"/>
        <v>-1427</v>
      </c>
      <c r="AF141" s="475">
        <v>0</v>
      </c>
      <c r="AG141" s="475">
        <v>0</v>
      </c>
      <c r="AH141" s="475">
        <f t="shared" si="266"/>
        <v>0</v>
      </c>
      <c r="AI141" s="475">
        <f t="shared" si="267"/>
        <v>-96876</v>
      </c>
      <c r="AJ141" s="476">
        <v>0</v>
      </c>
      <c r="AK141" s="476">
        <v>0</v>
      </c>
      <c r="AL141" s="476">
        <v>-0.16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 t="shared" si="268"/>
        <v>-0.16</v>
      </c>
      <c r="AS141" s="476">
        <f t="shared" si="269"/>
        <v>0</v>
      </c>
      <c r="AT141" s="478">
        <f t="shared" si="270"/>
        <v>-0.16</v>
      </c>
      <c r="AU141" s="484">
        <f t="shared" si="271"/>
        <v>1480121</v>
      </c>
      <c r="AV141" s="475">
        <f t="shared" si="272"/>
        <v>1087902</v>
      </c>
      <c r="AW141" s="475">
        <f t="shared" si="273"/>
        <v>0</v>
      </c>
      <c r="AX141" s="475">
        <f t="shared" si="274"/>
        <v>367711</v>
      </c>
      <c r="AY141" s="475">
        <f t="shared" si="274"/>
        <v>21758</v>
      </c>
      <c r="AZ141" s="475">
        <f t="shared" si="275"/>
        <v>2750</v>
      </c>
      <c r="BA141" s="476">
        <f t="shared" si="276"/>
        <v>3.07</v>
      </c>
      <c r="BB141" s="476">
        <f t="shared" si="277"/>
        <v>3.07</v>
      </c>
      <c r="BC141" s="478">
        <f t="shared" si="277"/>
        <v>0</v>
      </c>
    </row>
    <row r="142" spans="1:55" s="234" customFormat="1" x14ac:dyDescent="0.2">
      <c r="A142" s="221">
        <v>25</v>
      </c>
      <c r="B142" s="222">
        <v>4452</v>
      </c>
      <c r="C142" s="222">
        <v>600074919</v>
      </c>
      <c r="D142" s="222">
        <v>70698511</v>
      </c>
      <c r="E142" s="220" t="s">
        <v>197</v>
      </c>
      <c r="F142" s="222">
        <v>3141</v>
      </c>
      <c r="G142" s="172" t="s">
        <v>315</v>
      </c>
      <c r="H142" s="223" t="s">
        <v>278</v>
      </c>
      <c r="I142" s="477">
        <v>2085241</v>
      </c>
      <c r="J142" s="472">
        <v>1522753</v>
      </c>
      <c r="K142" s="472">
        <v>0</v>
      </c>
      <c r="L142" s="472">
        <v>514691</v>
      </c>
      <c r="M142" s="472">
        <v>30455</v>
      </c>
      <c r="N142" s="472">
        <v>17342</v>
      </c>
      <c r="O142" s="473">
        <v>4.8</v>
      </c>
      <c r="P142" s="474">
        <v>0</v>
      </c>
      <c r="Q142" s="483">
        <v>4.8</v>
      </c>
      <c r="R142" s="485">
        <f t="shared" si="261"/>
        <v>0</v>
      </c>
      <c r="S142" s="475">
        <v>0</v>
      </c>
      <c r="T142" s="475">
        <v>-39607</v>
      </c>
      <c r="U142" s="475">
        <v>0</v>
      </c>
      <c r="V142" s="475">
        <v>0</v>
      </c>
      <c r="W142" s="475">
        <v>0</v>
      </c>
      <c r="X142" s="475">
        <f t="shared" si="278"/>
        <v>-39607</v>
      </c>
      <c r="Y142" s="475">
        <v>0</v>
      </c>
      <c r="Z142" s="475">
        <v>0</v>
      </c>
      <c r="AA142" s="475">
        <v>0</v>
      </c>
      <c r="AB142" s="475">
        <f t="shared" si="262"/>
        <v>0</v>
      </c>
      <c r="AC142" s="475">
        <f t="shared" si="263"/>
        <v>-39607</v>
      </c>
      <c r="AD142" s="70">
        <f t="shared" si="264"/>
        <v>-13387</v>
      </c>
      <c r="AE142" s="70">
        <f t="shared" si="265"/>
        <v>-792</v>
      </c>
      <c r="AF142" s="475">
        <v>0</v>
      </c>
      <c r="AG142" s="475">
        <v>0</v>
      </c>
      <c r="AH142" s="475">
        <f t="shared" si="266"/>
        <v>0</v>
      </c>
      <c r="AI142" s="475">
        <f t="shared" si="267"/>
        <v>-53786</v>
      </c>
      <c r="AJ142" s="476">
        <v>0</v>
      </c>
      <c r="AK142" s="476">
        <v>0</v>
      </c>
      <c r="AL142" s="476">
        <v>0</v>
      </c>
      <c r="AM142" s="476">
        <v>0</v>
      </c>
      <c r="AN142" s="476">
        <v>-0.13</v>
      </c>
      <c r="AO142" s="476">
        <v>0</v>
      </c>
      <c r="AP142" s="476">
        <v>0</v>
      </c>
      <c r="AQ142" s="476">
        <v>0</v>
      </c>
      <c r="AR142" s="476">
        <f t="shared" si="268"/>
        <v>0</v>
      </c>
      <c r="AS142" s="476">
        <f t="shared" si="269"/>
        <v>-0.13</v>
      </c>
      <c r="AT142" s="478">
        <f t="shared" si="270"/>
        <v>-0.13</v>
      </c>
      <c r="AU142" s="484">
        <f t="shared" si="271"/>
        <v>2031455</v>
      </c>
      <c r="AV142" s="475">
        <f t="shared" si="272"/>
        <v>1483146</v>
      </c>
      <c r="AW142" s="475">
        <f t="shared" si="273"/>
        <v>0</v>
      </c>
      <c r="AX142" s="475">
        <f t="shared" si="274"/>
        <v>501304</v>
      </c>
      <c r="AY142" s="475">
        <f t="shared" si="274"/>
        <v>29663</v>
      </c>
      <c r="AZ142" s="475">
        <f t="shared" si="275"/>
        <v>17342</v>
      </c>
      <c r="BA142" s="476">
        <f t="shared" si="276"/>
        <v>4.67</v>
      </c>
      <c r="BB142" s="476">
        <f t="shared" si="277"/>
        <v>0</v>
      </c>
      <c r="BC142" s="478">
        <f t="shared" si="277"/>
        <v>4.67</v>
      </c>
    </row>
    <row r="143" spans="1:55" s="234" customFormat="1" x14ac:dyDescent="0.2">
      <c r="A143" s="221">
        <v>25</v>
      </c>
      <c r="B143" s="222">
        <v>4452</v>
      </c>
      <c r="C143" s="222">
        <v>600074919</v>
      </c>
      <c r="D143" s="222">
        <v>70698511</v>
      </c>
      <c r="E143" s="215" t="s">
        <v>197</v>
      </c>
      <c r="F143" s="222">
        <v>3143</v>
      </c>
      <c r="G143" s="172" t="s">
        <v>626</v>
      </c>
      <c r="H143" s="239" t="s">
        <v>277</v>
      </c>
      <c r="I143" s="477">
        <v>1674675</v>
      </c>
      <c r="J143" s="472">
        <v>1233192</v>
      </c>
      <c r="K143" s="472">
        <v>0</v>
      </c>
      <c r="L143" s="472">
        <v>416819</v>
      </c>
      <c r="M143" s="472">
        <v>24664</v>
      </c>
      <c r="N143" s="472">
        <v>0</v>
      </c>
      <c r="O143" s="473">
        <v>2.4784999999999999</v>
      </c>
      <c r="P143" s="474">
        <v>2.4784999999999999</v>
      </c>
      <c r="Q143" s="483">
        <v>0</v>
      </c>
      <c r="R143" s="485">
        <f t="shared" si="261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278"/>
        <v>0</v>
      </c>
      <c r="Y143" s="475">
        <v>0</v>
      </c>
      <c r="Z143" s="475">
        <v>0</v>
      </c>
      <c r="AA143" s="475">
        <v>0</v>
      </c>
      <c r="AB143" s="475">
        <f t="shared" si="262"/>
        <v>0</v>
      </c>
      <c r="AC143" s="475">
        <f t="shared" si="263"/>
        <v>0</v>
      </c>
      <c r="AD143" s="70">
        <f t="shared" si="264"/>
        <v>0</v>
      </c>
      <c r="AE143" s="70">
        <f t="shared" si="265"/>
        <v>0</v>
      </c>
      <c r="AF143" s="475">
        <v>0</v>
      </c>
      <c r="AG143" s="475">
        <v>0</v>
      </c>
      <c r="AH143" s="475">
        <f t="shared" si="266"/>
        <v>0</v>
      </c>
      <c r="AI143" s="475">
        <f t="shared" si="267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268"/>
        <v>0</v>
      </c>
      <c r="AS143" s="476">
        <f t="shared" si="269"/>
        <v>0</v>
      </c>
      <c r="AT143" s="478">
        <f t="shared" si="270"/>
        <v>0</v>
      </c>
      <c r="AU143" s="484">
        <f t="shared" si="271"/>
        <v>1674675</v>
      </c>
      <c r="AV143" s="475">
        <f t="shared" si="272"/>
        <v>1233192</v>
      </c>
      <c r="AW143" s="475">
        <f t="shared" si="273"/>
        <v>0</v>
      </c>
      <c r="AX143" s="475">
        <f t="shared" si="274"/>
        <v>416819</v>
      </c>
      <c r="AY143" s="475">
        <f t="shared" si="274"/>
        <v>24664</v>
      </c>
      <c r="AZ143" s="475">
        <f t="shared" si="275"/>
        <v>0</v>
      </c>
      <c r="BA143" s="476">
        <f t="shared" si="276"/>
        <v>2.4784999999999999</v>
      </c>
      <c r="BB143" s="476">
        <f t="shared" si="277"/>
        <v>2.4784999999999999</v>
      </c>
      <c r="BC143" s="478">
        <f t="shared" si="277"/>
        <v>0</v>
      </c>
    </row>
    <row r="144" spans="1:55" s="234" customFormat="1" x14ac:dyDescent="0.2">
      <c r="A144" s="221">
        <v>25</v>
      </c>
      <c r="B144" s="222">
        <v>4452</v>
      </c>
      <c r="C144" s="222">
        <v>600074919</v>
      </c>
      <c r="D144" s="222">
        <v>70698511</v>
      </c>
      <c r="E144" s="215" t="s">
        <v>197</v>
      </c>
      <c r="F144" s="222">
        <v>3143</v>
      </c>
      <c r="G144" s="172" t="s">
        <v>627</v>
      </c>
      <c r="H144" s="239" t="s">
        <v>278</v>
      </c>
      <c r="I144" s="477">
        <v>67284</v>
      </c>
      <c r="J144" s="472">
        <v>47580</v>
      </c>
      <c r="K144" s="472">
        <v>0</v>
      </c>
      <c r="L144" s="472">
        <v>16082</v>
      </c>
      <c r="M144" s="472">
        <v>952</v>
      </c>
      <c r="N144" s="472">
        <v>2670</v>
      </c>
      <c r="O144" s="473">
        <v>0.19</v>
      </c>
      <c r="P144" s="474">
        <v>0</v>
      </c>
      <c r="Q144" s="483">
        <v>0.19</v>
      </c>
      <c r="R144" s="485">
        <f t="shared" si="261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278"/>
        <v>0</v>
      </c>
      <c r="Y144" s="475">
        <v>0</v>
      </c>
      <c r="Z144" s="475">
        <v>0</v>
      </c>
      <c r="AA144" s="475">
        <v>0</v>
      </c>
      <c r="AB144" s="475">
        <f t="shared" si="262"/>
        <v>0</v>
      </c>
      <c r="AC144" s="475">
        <f t="shared" si="263"/>
        <v>0</v>
      </c>
      <c r="AD144" s="70">
        <f t="shared" si="264"/>
        <v>0</v>
      </c>
      <c r="AE144" s="70">
        <f t="shared" si="265"/>
        <v>0</v>
      </c>
      <c r="AF144" s="475">
        <v>0</v>
      </c>
      <c r="AG144" s="475">
        <v>0</v>
      </c>
      <c r="AH144" s="475">
        <f t="shared" si="266"/>
        <v>0</v>
      </c>
      <c r="AI144" s="475">
        <f t="shared" si="267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 t="shared" si="268"/>
        <v>0</v>
      </c>
      <c r="AS144" s="476">
        <f t="shared" si="269"/>
        <v>0</v>
      </c>
      <c r="AT144" s="478">
        <f t="shared" si="270"/>
        <v>0</v>
      </c>
      <c r="AU144" s="484">
        <f t="shared" si="271"/>
        <v>67284</v>
      </c>
      <c r="AV144" s="475">
        <f t="shared" si="272"/>
        <v>47580</v>
      </c>
      <c r="AW144" s="475">
        <f t="shared" si="273"/>
        <v>0</v>
      </c>
      <c r="AX144" s="475">
        <f t="shared" si="274"/>
        <v>16082</v>
      </c>
      <c r="AY144" s="475">
        <f t="shared" si="274"/>
        <v>952</v>
      </c>
      <c r="AZ144" s="475">
        <f t="shared" si="275"/>
        <v>2670</v>
      </c>
      <c r="BA144" s="476">
        <f t="shared" si="276"/>
        <v>0.19</v>
      </c>
      <c r="BB144" s="476">
        <f t="shared" si="277"/>
        <v>0</v>
      </c>
      <c r="BC144" s="478">
        <f t="shared" si="277"/>
        <v>0.19</v>
      </c>
    </row>
    <row r="145" spans="1:55" s="234" customFormat="1" x14ac:dyDescent="0.2">
      <c r="A145" s="162">
        <v>25</v>
      </c>
      <c r="B145" s="18">
        <v>4452</v>
      </c>
      <c r="C145" s="18">
        <v>600074919</v>
      </c>
      <c r="D145" s="18">
        <v>70698511</v>
      </c>
      <c r="E145" s="171" t="s">
        <v>198</v>
      </c>
      <c r="F145" s="18"/>
      <c r="G145" s="161"/>
      <c r="H145" s="195"/>
      <c r="I145" s="529">
        <v>38270665</v>
      </c>
      <c r="J145" s="526">
        <v>27609434</v>
      </c>
      <c r="K145" s="526">
        <v>30000</v>
      </c>
      <c r="L145" s="526">
        <v>9342130</v>
      </c>
      <c r="M145" s="526">
        <v>552189</v>
      </c>
      <c r="N145" s="526">
        <v>736912</v>
      </c>
      <c r="O145" s="527">
        <v>50.875799999999984</v>
      </c>
      <c r="P145" s="527">
        <v>36.323199999999993</v>
      </c>
      <c r="Q145" s="531">
        <v>14.5526</v>
      </c>
      <c r="R145" s="529">
        <f t="shared" ref="R145:BC145" si="279">SUM(R139:R144)</f>
        <v>0</v>
      </c>
      <c r="S145" s="526">
        <f t="shared" si="279"/>
        <v>-71337</v>
      </c>
      <c r="T145" s="526">
        <f t="shared" si="279"/>
        <v>-304496</v>
      </c>
      <c r="U145" s="526">
        <f t="shared" si="279"/>
        <v>-19246</v>
      </c>
      <c r="V145" s="526">
        <f t="shared" si="279"/>
        <v>0</v>
      </c>
      <c r="W145" s="526">
        <f t="shared" si="279"/>
        <v>0</v>
      </c>
      <c r="X145" s="526">
        <f t="shared" si="279"/>
        <v>-395079</v>
      </c>
      <c r="Y145" s="526">
        <f t="shared" si="279"/>
        <v>0</v>
      </c>
      <c r="Z145" s="526">
        <f t="shared" si="279"/>
        <v>0</v>
      </c>
      <c r="AA145" s="526">
        <f t="shared" si="279"/>
        <v>0</v>
      </c>
      <c r="AB145" s="526">
        <f t="shared" si="279"/>
        <v>0</v>
      </c>
      <c r="AC145" s="526">
        <f t="shared" si="279"/>
        <v>-395079</v>
      </c>
      <c r="AD145" s="526">
        <f t="shared" si="279"/>
        <v>-133537</v>
      </c>
      <c r="AE145" s="526">
        <f t="shared" si="279"/>
        <v>-7902</v>
      </c>
      <c r="AF145" s="526">
        <f t="shared" si="279"/>
        <v>0</v>
      </c>
      <c r="AG145" s="526">
        <f t="shared" si="279"/>
        <v>0</v>
      </c>
      <c r="AH145" s="526">
        <f t="shared" si="279"/>
        <v>0</v>
      </c>
      <c r="AI145" s="526">
        <f t="shared" si="279"/>
        <v>-536518</v>
      </c>
      <c r="AJ145" s="527">
        <f t="shared" si="279"/>
        <v>0</v>
      </c>
      <c r="AK145" s="527">
        <f t="shared" si="279"/>
        <v>0</v>
      </c>
      <c r="AL145" s="527">
        <f t="shared" si="279"/>
        <v>-0.16</v>
      </c>
      <c r="AM145" s="527">
        <f t="shared" si="279"/>
        <v>-0.30999999999999994</v>
      </c>
      <c r="AN145" s="527">
        <f t="shared" si="279"/>
        <v>-0.13</v>
      </c>
      <c r="AO145" s="527">
        <f t="shared" si="279"/>
        <v>0</v>
      </c>
      <c r="AP145" s="527">
        <f t="shared" si="279"/>
        <v>0</v>
      </c>
      <c r="AQ145" s="527">
        <f t="shared" si="279"/>
        <v>0</v>
      </c>
      <c r="AR145" s="527">
        <f t="shared" si="279"/>
        <v>-0.47</v>
      </c>
      <c r="AS145" s="527">
        <f t="shared" si="279"/>
        <v>-0.13</v>
      </c>
      <c r="AT145" s="40">
        <f t="shared" si="279"/>
        <v>-0.6</v>
      </c>
      <c r="AU145" s="533">
        <f t="shared" si="279"/>
        <v>37734147</v>
      </c>
      <c r="AV145" s="526">
        <f t="shared" si="279"/>
        <v>27214355</v>
      </c>
      <c r="AW145" s="526">
        <f t="shared" si="279"/>
        <v>30000</v>
      </c>
      <c r="AX145" s="526">
        <f t="shared" si="279"/>
        <v>9208593</v>
      </c>
      <c r="AY145" s="526">
        <f t="shared" si="279"/>
        <v>544287</v>
      </c>
      <c r="AZ145" s="526">
        <f t="shared" si="279"/>
        <v>736912</v>
      </c>
      <c r="BA145" s="527">
        <f t="shared" si="279"/>
        <v>50.275799999999997</v>
      </c>
      <c r="BB145" s="527">
        <f t="shared" si="279"/>
        <v>35.853199999999994</v>
      </c>
      <c r="BC145" s="40">
        <f t="shared" si="279"/>
        <v>14.422599999999999</v>
      </c>
    </row>
    <row r="146" spans="1:55" s="234" customFormat="1" x14ac:dyDescent="0.2">
      <c r="A146" s="221">
        <v>26</v>
      </c>
      <c r="B146" s="222">
        <v>4468</v>
      </c>
      <c r="C146" s="222">
        <v>600075052</v>
      </c>
      <c r="D146" s="222">
        <v>70698546</v>
      </c>
      <c r="E146" s="220" t="s">
        <v>199</v>
      </c>
      <c r="F146" s="222">
        <v>3231</v>
      </c>
      <c r="G146" s="172" t="s">
        <v>316</v>
      </c>
      <c r="H146" s="223" t="s">
        <v>277</v>
      </c>
      <c r="I146" s="477">
        <v>6575515</v>
      </c>
      <c r="J146" s="472">
        <v>4731571</v>
      </c>
      <c r="K146" s="472">
        <v>96000</v>
      </c>
      <c r="L146" s="472">
        <v>1631719</v>
      </c>
      <c r="M146" s="472">
        <v>94630</v>
      </c>
      <c r="N146" s="472">
        <v>21595</v>
      </c>
      <c r="O146" s="473">
        <v>8.7020999999999997</v>
      </c>
      <c r="P146" s="474">
        <v>7.8466999999999993</v>
      </c>
      <c r="Q146" s="483">
        <v>0.85540000000000005</v>
      </c>
      <c r="R146" s="485">
        <f t="shared" ref="R146" si="280">Y146*-1</f>
        <v>0</v>
      </c>
      <c r="S146" s="475">
        <v>0</v>
      </c>
      <c r="T146" s="475">
        <v>233004</v>
      </c>
      <c r="U146" s="475">
        <v>0</v>
      </c>
      <c r="V146" s="475">
        <v>0</v>
      </c>
      <c r="W146" s="475">
        <v>0</v>
      </c>
      <c r="X146" s="475">
        <f t="shared" si="278"/>
        <v>233004</v>
      </c>
      <c r="Y146" s="475">
        <v>0</v>
      </c>
      <c r="Z146" s="475">
        <v>0</v>
      </c>
      <c r="AA146" s="475">
        <v>0</v>
      </c>
      <c r="AB146" s="475">
        <f t="shared" ref="AB146" si="281">SUM(Y146:AA146)</f>
        <v>0</v>
      </c>
      <c r="AC146" s="475">
        <f>X146+AB146</f>
        <v>233004</v>
      </c>
      <c r="AD146" s="70">
        <f>ROUND((X146+Y146+Z146)*33.8%,0)</f>
        <v>78755</v>
      </c>
      <c r="AE146" s="70">
        <f>ROUND(X146*2%,0)</f>
        <v>4660</v>
      </c>
      <c r="AF146" s="475">
        <v>0</v>
      </c>
      <c r="AG146" s="475">
        <v>0</v>
      </c>
      <c r="AH146" s="475">
        <f t="shared" ref="AH146" si="282">SUM(AF146:AG146)</f>
        <v>0</v>
      </c>
      <c r="AI146" s="475">
        <f t="shared" ref="AI146" si="283">AC146+AD146+AE146+AH146</f>
        <v>316419</v>
      </c>
      <c r="AJ146" s="476">
        <v>0</v>
      </c>
      <c r="AK146" s="476">
        <v>0</v>
      </c>
      <c r="AL146" s="476">
        <v>0</v>
      </c>
      <c r="AM146" s="476">
        <v>0.41</v>
      </c>
      <c r="AN146" s="476">
        <v>0</v>
      </c>
      <c r="AO146" s="476">
        <v>0</v>
      </c>
      <c r="AP146" s="476">
        <v>0</v>
      </c>
      <c r="AQ146" s="476">
        <v>0</v>
      </c>
      <c r="AR146" s="476">
        <f>AJ146+AL146+AM146+AO146+AP146</f>
        <v>0.41</v>
      </c>
      <c r="AS146" s="476">
        <f>AK146+AN146+AQ146</f>
        <v>0</v>
      </c>
      <c r="AT146" s="478">
        <f t="shared" ref="AT146" si="284">SUM(AR146:AS146)</f>
        <v>0.41</v>
      </c>
      <c r="AU146" s="484">
        <f>I146+AI146</f>
        <v>6891934</v>
      </c>
      <c r="AV146" s="475">
        <f>J146+X146</f>
        <v>4964575</v>
      </c>
      <c r="AW146" s="475">
        <f>K146+AB146</f>
        <v>96000</v>
      </c>
      <c r="AX146" s="475">
        <f>L146+AD146</f>
        <v>1710474</v>
      </c>
      <c r="AY146" s="475">
        <f>M146+AE146</f>
        <v>99290</v>
      </c>
      <c r="AZ146" s="475">
        <f>N146+AH146</f>
        <v>21595</v>
      </c>
      <c r="BA146" s="476">
        <f>O146+AT146</f>
        <v>9.1120999999999999</v>
      </c>
      <c r="BB146" s="476">
        <f>P146+AR146</f>
        <v>8.2566999999999986</v>
      </c>
      <c r="BC146" s="478">
        <f>Q146+AS146</f>
        <v>0.85540000000000005</v>
      </c>
    </row>
    <row r="147" spans="1:55" s="234" customFormat="1" x14ac:dyDescent="0.2">
      <c r="A147" s="162">
        <v>26</v>
      </c>
      <c r="B147" s="18">
        <v>4468</v>
      </c>
      <c r="C147" s="18">
        <v>600075052</v>
      </c>
      <c r="D147" s="18">
        <v>70698546</v>
      </c>
      <c r="E147" s="171" t="s">
        <v>200</v>
      </c>
      <c r="F147" s="18"/>
      <c r="G147" s="161"/>
      <c r="H147" s="195"/>
      <c r="I147" s="529">
        <v>6575515</v>
      </c>
      <c r="J147" s="526">
        <v>4731571</v>
      </c>
      <c r="K147" s="526">
        <v>96000</v>
      </c>
      <c r="L147" s="526">
        <v>1631719</v>
      </c>
      <c r="M147" s="526">
        <v>94630</v>
      </c>
      <c r="N147" s="526">
        <v>21595</v>
      </c>
      <c r="O147" s="527">
        <v>8.7020999999999997</v>
      </c>
      <c r="P147" s="527">
        <v>7.8466999999999993</v>
      </c>
      <c r="Q147" s="531">
        <v>0.85540000000000005</v>
      </c>
      <c r="R147" s="529">
        <f t="shared" ref="R147:BC147" si="285">SUM(R146)</f>
        <v>0</v>
      </c>
      <c r="S147" s="526">
        <f t="shared" si="285"/>
        <v>0</v>
      </c>
      <c r="T147" s="526">
        <f t="shared" si="285"/>
        <v>233004</v>
      </c>
      <c r="U147" s="526">
        <f t="shared" si="285"/>
        <v>0</v>
      </c>
      <c r="V147" s="526">
        <f t="shared" si="285"/>
        <v>0</v>
      </c>
      <c r="W147" s="526">
        <f t="shared" si="285"/>
        <v>0</v>
      </c>
      <c r="X147" s="526">
        <f t="shared" si="285"/>
        <v>233004</v>
      </c>
      <c r="Y147" s="526">
        <f t="shared" si="285"/>
        <v>0</v>
      </c>
      <c r="Z147" s="526">
        <f t="shared" si="285"/>
        <v>0</v>
      </c>
      <c r="AA147" s="526">
        <f t="shared" si="285"/>
        <v>0</v>
      </c>
      <c r="AB147" s="526">
        <f t="shared" si="285"/>
        <v>0</v>
      </c>
      <c r="AC147" s="526">
        <f t="shared" si="285"/>
        <v>233004</v>
      </c>
      <c r="AD147" s="526">
        <f t="shared" si="285"/>
        <v>78755</v>
      </c>
      <c r="AE147" s="526">
        <f t="shared" si="285"/>
        <v>4660</v>
      </c>
      <c r="AF147" s="526">
        <f t="shared" si="285"/>
        <v>0</v>
      </c>
      <c r="AG147" s="526">
        <f t="shared" si="285"/>
        <v>0</v>
      </c>
      <c r="AH147" s="526">
        <f t="shared" si="285"/>
        <v>0</v>
      </c>
      <c r="AI147" s="526">
        <f t="shared" si="285"/>
        <v>316419</v>
      </c>
      <c r="AJ147" s="527">
        <f t="shared" si="285"/>
        <v>0</v>
      </c>
      <c r="AK147" s="527">
        <f t="shared" si="285"/>
        <v>0</v>
      </c>
      <c r="AL147" s="527">
        <f t="shared" si="285"/>
        <v>0</v>
      </c>
      <c r="AM147" s="527">
        <f t="shared" si="285"/>
        <v>0.41</v>
      </c>
      <c r="AN147" s="527">
        <f t="shared" si="285"/>
        <v>0</v>
      </c>
      <c r="AO147" s="527">
        <f t="shared" si="285"/>
        <v>0</v>
      </c>
      <c r="AP147" s="527">
        <f t="shared" si="285"/>
        <v>0</v>
      </c>
      <c r="AQ147" s="527">
        <f t="shared" si="285"/>
        <v>0</v>
      </c>
      <c r="AR147" s="527">
        <f t="shared" si="285"/>
        <v>0.41</v>
      </c>
      <c r="AS147" s="527">
        <f t="shared" si="285"/>
        <v>0</v>
      </c>
      <c r="AT147" s="40">
        <f t="shared" si="285"/>
        <v>0.41</v>
      </c>
      <c r="AU147" s="533">
        <f t="shared" si="285"/>
        <v>6891934</v>
      </c>
      <c r="AV147" s="526">
        <f t="shared" si="285"/>
        <v>4964575</v>
      </c>
      <c r="AW147" s="526">
        <f t="shared" si="285"/>
        <v>96000</v>
      </c>
      <c r="AX147" s="526">
        <f t="shared" si="285"/>
        <v>1710474</v>
      </c>
      <c r="AY147" s="526">
        <f t="shared" si="285"/>
        <v>99290</v>
      </c>
      <c r="AZ147" s="526">
        <f t="shared" si="285"/>
        <v>21595</v>
      </c>
      <c r="BA147" s="527">
        <f t="shared" si="285"/>
        <v>9.1120999999999999</v>
      </c>
      <c r="BB147" s="527">
        <f t="shared" si="285"/>
        <v>8.2566999999999986</v>
      </c>
      <c r="BC147" s="40">
        <f t="shared" si="285"/>
        <v>0.85540000000000005</v>
      </c>
    </row>
    <row r="148" spans="1:55" s="234" customFormat="1" x14ac:dyDescent="0.2">
      <c r="A148" s="221">
        <v>27</v>
      </c>
      <c r="B148" s="222">
        <v>4414</v>
      </c>
      <c r="C148" s="222">
        <v>600074307</v>
      </c>
      <c r="D148" s="222">
        <v>70695831</v>
      </c>
      <c r="E148" s="220" t="s">
        <v>201</v>
      </c>
      <c r="F148" s="222">
        <v>3111</v>
      </c>
      <c r="G148" s="172" t="s">
        <v>311</v>
      </c>
      <c r="H148" s="223" t="s">
        <v>277</v>
      </c>
      <c r="I148" s="477">
        <v>5308947</v>
      </c>
      <c r="J148" s="472">
        <v>3860233</v>
      </c>
      <c r="K148" s="472">
        <v>25000</v>
      </c>
      <c r="L148" s="472">
        <v>1313209</v>
      </c>
      <c r="M148" s="472">
        <v>77205</v>
      </c>
      <c r="N148" s="472">
        <v>33300</v>
      </c>
      <c r="O148" s="473">
        <v>8.270500000000002</v>
      </c>
      <c r="P148" s="474">
        <v>6.1363000000000003</v>
      </c>
      <c r="Q148" s="483">
        <v>2.1342000000000008</v>
      </c>
      <c r="R148" s="485">
        <f t="shared" ref="R148:R150" si="286">Y148*-1</f>
        <v>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 t="shared" si="278"/>
        <v>0</v>
      </c>
      <c r="Y148" s="475">
        <v>0</v>
      </c>
      <c r="Z148" s="475">
        <v>0</v>
      </c>
      <c r="AA148" s="475">
        <v>0</v>
      </c>
      <c r="AB148" s="475">
        <f t="shared" ref="AB148:AB150" si="287">SUM(Y148:AA148)</f>
        <v>0</v>
      </c>
      <c r="AC148" s="475">
        <f>X148+AB148</f>
        <v>0</v>
      </c>
      <c r="AD148" s="70">
        <f>ROUND((X148+Y148+Z148)*33.8%,0)</f>
        <v>0</v>
      </c>
      <c r="AE148" s="70">
        <f>ROUND(X148*2%,0)</f>
        <v>0</v>
      </c>
      <c r="AF148" s="475">
        <v>0</v>
      </c>
      <c r="AG148" s="475">
        <v>0</v>
      </c>
      <c r="AH148" s="475">
        <f t="shared" ref="AH148:AH150" si="288">SUM(AF148:AG148)</f>
        <v>0</v>
      </c>
      <c r="AI148" s="475">
        <f t="shared" ref="AI148:AI150" si="289">AC148+AD148+AE148+AH148</f>
        <v>0</v>
      </c>
      <c r="AJ148" s="476">
        <v>0</v>
      </c>
      <c r="AK148" s="476">
        <v>0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476">
        <f>AJ148+AL148+AM148+AO148+AP148</f>
        <v>0</v>
      </c>
      <c r="AS148" s="476">
        <f>AK148+AN148+AQ148</f>
        <v>0</v>
      </c>
      <c r="AT148" s="478">
        <f t="shared" ref="AT148:AT150" si="290">SUM(AR148:AS148)</f>
        <v>0</v>
      </c>
      <c r="AU148" s="484">
        <f>I148+AI148</f>
        <v>5308947</v>
      </c>
      <c r="AV148" s="475">
        <f>J148+X148</f>
        <v>3860233</v>
      </c>
      <c r="AW148" s="475">
        <f>K148+AB148</f>
        <v>25000</v>
      </c>
      <c r="AX148" s="475">
        <f t="shared" ref="AX148:AY150" si="291">L148+AD148</f>
        <v>1313209</v>
      </c>
      <c r="AY148" s="475">
        <f t="shared" si="291"/>
        <v>77205</v>
      </c>
      <c r="AZ148" s="475">
        <f>N148+AH148</f>
        <v>33300</v>
      </c>
      <c r="BA148" s="476">
        <f>O148+AT148</f>
        <v>8.270500000000002</v>
      </c>
      <c r="BB148" s="476">
        <f t="shared" ref="BB148:BC150" si="292">P148+AR148</f>
        <v>6.1363000000000003</v>
      </c>
      <c r="BC148" s="478">
        <f t="shared" si="292"/>
        <v>2.1342000000000008</v>
      </c>
    </row>
    <row r="149" spans="1:55" s="234" customFormat="1" x14ac:dyDescent="0.2">
      <c r="A149" s="221">
        <v>27</v>
      </c>
      <c r="B149" s="222">
        <v>4414</v>
      </c>
      <c r="C149" s="222">
        <v>600074307</v>
      </c>
      <c r="D149" s="222">
        <v>70695831</v>
      </c>
      <c r="E149" s="220" t="s">
        <v>201</v>
      </c>
      <c r="F149" s="222">
        <v>3111</v>
      </c>
      <c r="G149" s="172" t="s">
        <v>312</v>
      </c>
      <c r="H149" s="223" t="s">
        <v>278</v>
      </c>
      <c r="I149" s="477">
        <v>703464</v>
      </c>
      <c r="J149" s="472">
        <v>515805</v>
      </c>
      <c r="K149" s="472">
        <v>0</v>
      </c>
      <c r="L149" s="472">
        <v>174342</v>
      </c>
      <c r="M149" s="472">
        <v>10317</v>
      </c>
      <c r="N149" s="472">
        <v>3000</v>
      </c>
      <c r="O149" s="473">
        <v>1.67</v>
      </c>
      <c r="P149" s="474">
        <v>1.67</v>
      </c>
      <c r="Q149" s="483">
        <v>0</v>
      </c>
      <c r="R149" s="485">
        <f t="shared" si="286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278"/>
        <v>0</v>
      </c>
      <c r="Y149" s="475">
        <v>0</v>
      </c>
      <c r="Z149" s="475">
        <v>0</v>
      </c>
      <c r="AA149" s="475">
        <v>0</v>
      </c>
      <c r="AB149" s="475">
        <f t="shared" si="287"/>
        <v>0</v>
      </c>
      <c r="AC149" s="475">
        <f>X149+AB149</f>
        <v>0</v>
      </c>
      <c r="AD149" s="70">
        <f>ROUND((X149+Y149+Z149)*33.8%,0)</f>
        <v>0</v>
      </c>
      <c r="AE149" s="70">
        <f>ROUND(X149*2%,0)</f>
        <v>0</v>
      </c>
      <c r="AF149" s="475">
        <v>0</v>
      </c>
      <c r="AG149" s="475">
        <v>0</v>
      </c>
      <c r="AH149" s="475">
        <f t="shared" si="288"/>
        <v>0</v>
      </c>
      <c r="AI149" s="475">
        <f t="shared" si="289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>AJ149+AL149+AM149+AO149+AP149</f>
        <v>0</v>
      </c>
      <c r="AS149" s="476">
        <f>AK149+AN149+AQ149</f>
        <v>0</v>
      </c>
      <c r="AT149" s="478">
        <f t="shared" si="290"/>
        <v>0</v>
      </c>
      <c r="AU149" s="484">
        <f>I149+AI149</f>
        <v>703464</v>
      </c>
      <c r="AV149" s="475">
        <f>J149+X149</f>
        <v>515805</v>
      </c>
      <c r="AW149" s="475">
        <f>K149+AB149</f>
        <v>0</v>
      </c>
      <c r="AX149" s="475">
        <f t="shared" si="291"/>
        <v>174342</v>
      </c>
      <c r="AY149" s="475">
        <f t="shared" si="291"/>
        <v>10317</v>
      </c>
      <c r="AZ149" s="475">
        <f>N149+AH149</f>
        <v>3000</v>
      </c>
      <c r="BA149" s="476">
        <f>O149+AT149</f>
        <v>1.67</v>
      </c>
      <c r="BB149" s="476">
        <f t="shared" si="292"/>
        <v>1.67</v>
      </c>
      <c r="BC149" s="478">
        <f t="shared" si="292"/>
        <v>0</v>
      </c>
    </row>
    <row r="150" spans="1:55" s="234" customFormat="1" x14ac:dyDescent="0.2">
      <c r="A150" s="221">
        <v>27</v>
      </c>
      <c r="B150" s="222">
        <v>4414</v>
      </c>
      <c r="C150" s="222">
        <v>600074307</v>
      </c>
      <c r="D150" s="222">
        <v>70695831</v>
      </c>
      <c r="E150" s="215" t="s">
        <v>201</v>
      </c>
      <c r="F150" s="222">
        <v>3141</v>
      </c>
      <c r="G150" s="172" t="s">
        <v>315</v>
      </c>
      <c r="H150" s="223" t="s">
        <v>278</v>
      </c>
      <c r="I150" s="477">
        <v>356189</v>
      </c>
      <c r="J150" s="472">
        <v>248424</v>
      </c>
      <c r="K150" s="472">
        <v>12000</v>
      </c>
      <c r="L150" s="472">
        <v>88023</v>
      </c>
      <c r="M150" s="472">
        <v>4968</v>
      </c>
      <c r="N150" s="472">
        <v>2774</v>
      </c>
      <c r="O150" s="473">
        <v>0.77999999999999992</v>
      </c>
      <c r="P150" s="474">
        <v>0</v>
      </c>
      <c r="Q150" s="483">
        <v>0.77999999999999992</v>
      </c>
      <c r="R150" s="485">
        <f t="shared" si="286"/>
        <v>0</v>
      </c>
      <c r="S150" s="475">
        <v>0</v>
      </c>
      <c r="T150" s="475">
        <v>-1613</v>
      </c>
      <c r="U150" s="475">
        <v>0</v>
      </c>
      <c r="V150" s="475">
        <v>0</v>
      </c>
      <c r="W150" s="475">
        <v>0</v>
      </c>
      <c r="X150" s="475">
        <f t="shared" si="278"/>
        <v>-1613</v>
      </c>
      <c r="Y150" s="475">
        <v>0</v>
      </c>
      <c r="Z150" s="475">
        <v>0</v>
      </c>
      <c r="AA150" s="475">
        <v>0</v>
      </c>
      <c r="AB150" s="475">
        <f t="shared" si="287"/>
        <v>0</v>
      </c>
      <c r="AC150" s="475">
        <f>X150+AB150</f>
        <v>-1613</v>
      </c>
      <c r="AD150" s="70">
        <f>ROUND((X150+Y150+Z150)*33.8%,0)</f>
        <v>-545</v>
      </c>
      <c r="AE150" s="70">
        <f>ROUND(X150*2%,0)</f>
        <v>-32</v>
      </c>
      <c r="AF150" s="475">
        <v>0</v>
      </c>
      <c r="AG150" s="475">
        <v>0</v>
      </c>
      <c r="AH150" s="475">
        <f t="shared" si="288"/>
        <v>0</v>
      </c>
      <c r="AI150" s="475">
        <f t="shared" si="289"/>
        <v>-2190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>AJ150+AL150+AM150+AO150+AP150</f>
        <v>0</v>
      </c>
      <c r="AS150" s="476">
        <f>AK150+AN150+AQ150</f>
        <v>0</v>
      </c>
      <c r="AT150" s="478">
        <f t="shared" si="290"/>
        <v>0</v>
      </c>
      <c r="AU150" s="484">
        <f>I150+AI150</f>
        <v>353999</v>
      </c>
      <c r="AV150" s="475">
        <f>J150+X150</f>
        <v>246811</v>
      </c>
      <c r="AW150" s="475">
        <f>K150+AB150</f>
        <v>12000</v>
      </c>
      <c r="AX150" s="475">
        <f t="shared" si="291"/>
        <v>87478</v>
      </c>
      <c r="AY150" s="475">
        <f t="shared" si="291"/>
        <v>4936</v>
      </c>
      <c r="AZ150" s="475">
        <f>N150+AH150</f>
        <v>2774</v>
      </c>
      <c r="BA150" s="476">
        <f>O150+AT150</f>
        <v>0.77999999999999992</v>
      </c>
      <c r="BB150" s="476">
        <f t="shared" si="292"/>
        <v>0</v>
      </c>
      <c r="BC150" s="478">
        <f t="shared" si="292"/>
        <v>0.77999999999999992</v>
      </c>
    </row>
    <row r="151" spans="1:55" s="234" customFormat="1" x14ac:dyDescent="0.2">
      <c r="A151" s="162">
        <v>27</v>
      </c>
      <c r="B151" s="18">
        <v>4414</v>
      </c>
      <c r="C151" s="18">
        <v>600074307</v>
      </c>
      <c r="D151" s="18">
        <v>70695831</v>
      </c>
      <c r="E151" s="171" t="s">
        <v>202</v>
      </c>
      <c r="F151" s="18"/>
      <c r="G151" s="161"/>
      <c r="H151" s="195"/>
      <c r="I151" s="529">
        <v>6368600</v>
      </c>
      <c r="J151" s="526">
        <v>4624462</v>
      </c>
      <c r="K151" s="526">
        <v>37000</v>
      </c>
      <c r="L151" s="526">
        <v>1575574</v>
      </c>
      <c r="M151" s="526">
        <v>92490</v>
      </c>
      <c r="N151" s="526">
        <v>39074</v>
      </c>
      <c r="O151" s="527">
        <v>10.720500000000001</v>
      </c>
      <c r="P151" s="527">
        <v>7.8063000000000002</v>
      </c>
      <c r="Q151" s="531">
        <v>2.9142000000000006</v>
      </c>
      <c r="R151" s="529">
        <f t="shared" ref="R151:BC151" si="293">SUM(R148:R150)</f>
        <v>0</v>
      </c>
      <c r="S151" s="526">
        <f t="shared" si="293"/>
        <v>0</v>
      </c>
      <c r="T151" s="526">
        <f t="shared" si="293"/>
        <v>-1613</v>
      </c>
      <c r="U151" s="526">
        <f t="shared" si="293"/>
        <v>0</v>
      </c>
      <c r="V151" s="526">
        <f t="shared" si="293"/>
        <v>0</v>
      </c>
      <c r="W151" s="526">
        <f t="shared" si="293"/>
        <v>0</v>
      </c>
      <c r="X151" s="526">
        <f t="shared" si="293"/>
        <v>-1613</v>
      </c>
      <c r="Y151" s="526">
        <f t="shared" si="293"/>
        <v>0</v>
      </c>
      <c r="Z151" s="526">
        <f t="shared" si="293"/>
        <v>0</v>
      </c>
      <c r="AA151" s="526">
        <f t="shared" si="293"/>
        <v>0</v>
      </c>
      <c r="AB151" s="526">
        <f t="shared" si="293"/>
        <v>0</v>
      </c>
      <c r="AC151" s="526">
        <f t="shared" si="293"/>
        <v>-1613</v>
      </c>
      <c r="AD151" s="526">
        <f t="shared" si="293"/>
        <v>-545</v>
      </c>
      <c r="AE151" s="526">
        <f t="shared" si="293"/>
        <v>-32</v>
      </c>
      <c r="AF151" s="526">
        <f t="shared" si="293"/>
        <v>0</v>
      </c>
      <c r="AG151" s="526">
        <f t="shared" si="293"/>
        <v>0</v>
      </c>
      <c r="AH151" s="526">
        <f t="shared" si="293"/>
        <v>0</v>
      </c>
      <c r="AI151" s="526">
        <f t="shared" si="293"/>
        <v>-2190</v>
      </c>
      <c r="AJ151" s="527">
        <f t="shared" si="293"/>
        <v>0</v>
      </c>
      <c r="AK151" s="527">
        <f t="shared" si="293"/>
        <v>0</v>
      </c>
      <c r="AL151" s="527">
        <f t="shared" si="293"/>
        <v>0</v>
      </c>
      <c r="AM151" s="527">
        <f t="shared" si="293"/>
        <v>0</v>
      </c>
      <c r="AN151" s="527">
        <f t="shared" si="293"/>
        <v>0</v>
      </c>
      <c r="AO151" s="527">
        <f t="shared" si="293"/>
        <v>0</v>
      </c>
      <c r="AP151" s="527">
        <f t="shared" si="293"/>
        <v>0</v>
      </c>
      <c r="AQ151" s="527">
        <f t="shared" si="293"/>
        <v>0</v>
      </c>
      <c r="AR151" s="527">
        <f t="shared" si="293"/>
        <v>0</v>
      </c>
      <c r="AS151" s="527">
        <f t="shared" si="293"/>
        <v>0</v>
      </c>
      <c r="AT151" s="40">
        <f t="shared" si="293"/>
        <v>0</v>
      </c>
      <c r="AU151" s="533">
        <f t="shared" si="293"/>
        <v>6366410</v>
      </c>
      <c r="AV151" s="526">
        <f t="shared" si="293"/>
        <v>4622849</v>
      </c>
      <c r="AW151" s="526">
        <f t="shared" si="293"/>
        <v>37000</v>
      </c>
      <c r="AX151" s="526">
        <f t="shared" si="293"/>
        <v>1575029</v>
      </c>
      <c r="AY151" s="526">
        <f t="shared" si="293"/>
        <v>92458</v>
      </c>
      <c r="AZ151" s="526">
        <f t="shared" si="293"/>
        <v>39074</v>
      </c>
      <c r="BA151" s="527">
        <f t="shared" si="293"/>
        <v>10.720500000000001</v>
      </c>
      <c r="BB151" s="527">
        <f t="shared" si="293"/>
        <v>7.8063000000000002</v>
      </c>
      <c r="BC151" s="40">
        <f t="shared" si="293"/>
        <v>2.9142000000000006</v>
      </c>
    </row>
    <row r="152" spans="1:55" s="234" customFormat="1" x14ac:dyDescent="0.2">
      <c r="A152" s="221">
        <v>28</v>
      </c>
      <c r="B152" s="222">
        <v>4444</v>
      </c>
      <c r="C152" s="222">
        <v>600074731</v>
      </c>
      <c r="D152" s="222">
        <v>48282979</v>
      </c>
      <c r="E152" s="220" t="s">
        <v>203</v>
      </c>
      <c r="F152" s="222">
        <v>3113</v>
      </c>
      <c r="G152" s="172" t="s">
        <v>314</v>
      </c>
      <c r="H152" s="223" t="s">
        <v>277</v>
      </c>
      <c r="I152" s="477">
        <v>14266233</v>
      </c>
      <c r="J152" s="472">
        <v>10241753</v>
      </c>
      <c r="K152" s="472">
        <v>37760</v>
      </c>
      <c r="L152" s="472">
        <v>3474475</v>
      </c>
      <c r="M152" s="472">
        <v>204835</v>
      </c>
      <c r="N152" s="472">
        <v>307410</v>
      </c>
      <c r="O152" s="473">
        <v>18.903900000000004</v>
      </c>
      <c r="P152" s="474">
        <v>14.1363</v>
      </c>
      <c r="Q152" s="483">
        <v>4.7675999999999998</v>
      </c>
      <c r="R152" s="485">
        <f t="shared" ref="R152:R157" si="294">Y152*-1</f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si="278"/>
        <v>0</v>
      </c>
      <c r="Y152" s="475">
        <v>0</v>
      </c>
      <c r="Z152" s="475">
        <v>0</v>
      </c>
      <c r="AA152" s="475">
        <v>0</v>
      </c>
      <c r="AB152" s="475">
        <f t="shared" ref="AB152:AB157" si="295">SUM(Y152:AA152)</f>
        <v>0</v>
      </c>
      <c r="AC152" s="475">
        <f t="shared" ref="AC152:AC157" si="296">X152+AB152</f>
        <v>0</v>
      </c>
      <c r="AD152" s="70">
        <f t="shared" ref="AD152:AD157" si="297">ROUND((X152+Y152+Z152)*33.8%,0)</f>
        <v>0</v>
      </c>
      <c r="AE152" s="70">
        <f t="shared" ref="AE152:AE157" si="298">ROUND(X152*2%,0)</f>
        <v>0</v>
      </c>
      <c r="AF152" s="475">
        <v>0</v>
      </c>
      <c r="AG152" s="475">
        <v>0</v>
      </c>
      <c r="AH152" s="475">
        <f t="shared" ref="AH152:AH157" si="299">SUM(AF152:AG152)</f>
        <v>0</v>
      </c>
      <c r="AI152" s="475">
        <f t="shared" ref="AI152:AI157" si="300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 t="shared" ref="AR152:AR157" si="301">AJ152+AL152+AM152+AO152+AP152</f>
        <v>0</v>
      </c>
      <c r="AS152" s="476">
        <f t="shared" ref="AS152:AS157" si="302">AK152+AN152+AQ152</f>
        <v>0</v>
      </c>
      <c r="AT152" s="478">
        <f t="shared" ref="AT152:AT157" si="303">SUM(AR152:AS152)</f>
        <v>0</v>
      </c>
      <c r="AU152" s="484">
        <f t="shared" ref="AU152:AU157" si="304">I152+AI152</f>
        <v>14266233</v>
      </c>
      <c r="AV152" s="475">
        <f t="shared" ref="AV152:AV157" si="305">J152+X152</f>
        <v>10241753</v>
      </c>
      <c r="AW152" s="475">
        <f t="shared" ref="AW152:AW157" si="306">K152+AB152</f>
        <v>37760</v>
      </c>
      <c r="AX152" s="475">
        <f t="shared" ref="AX152:AY157" si="307">L152+AD152</f>
        <v>3474475</v>
      </c>
      <c r="AY152" s="475">
        <f t="shared" si="307"/>
        <v>204835</v>
      </c>
      <c r="AZ152" s="475">
        <f t="shared" ref="AZ152:AZ157" si="308">N152+AH152</f>
        <v>307410</v>
      </c>
      <c r="BA152" s="476">
        <f t="shared" ref="BA152:BA157" si="309">O152+AT152</f>
        <v>18.903900000000004</v>
      </c>
      <c r="BB152" s="476">
        <f t="shared" ref="BB152:BC157" si="310">P152+AR152</f>
        <v>14.1363</v>
      </c>
      <c r="BC152" s="478">
        <f t="shared" si="310"/>
        <v>4.7675999999999998</v>
      </c>
    </row>
    <row r="153" spans="1:55" s="234" customFormat="1" x14ac:dyDescent="0.2">
      <c r="A153" s="221">
        <v>28</v>
      </c>
      <c r="B153" s="222">
        <v>4444</v>
      </c>
      <c r="C153" s="222">
        <v>600074731</v>
      </c>
      <c r="D153" s="222">
        <v>48282979</v>
      </c>
      <c r="E153" s="220" t="s">
        <v>203</v>
      </c>
      <c r="F153" s="222">
        <v>3113</v>
      </c>
      <c r="G153" s="172" t="s">
        <v>319</v>
      </c>
      <c r="H153" s="223" t="s">
        <v>278</v>
      </c>
      <c r="I153" s="477">
        <v>3124909</v>
      </c>
      <c r="J153" s="472">
        <v>2300007</v>
      </c>
      <c r="K153" s="472">
        <v>0</v>
      </c>
      <c r="L153" s="472">
        <v>777402</v>
      </c>
      <c r="M153" s="472">
        <v>46000</v>
      </c>
      <c r="N153" s="472">
        <v>1500</v>
      </c>
      <c r="O153" s="473">
        <v>6.64</v>
      </c>
      <c r="P153" s="474">
        <v>6.64</v>
      </c>
      <c r="Q153" s="483">
        <v>0</v>
      </c>
      <c r="R153" s="485">
        <f t="shared" si="294"/>
        <v>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278"/>
        <v>0</v>
      </c>
      <c r="Y153" s="475">
        <v>0</v>
      </c>
      <c r="Z153" s="475">
        <v>0</v>
      </c>
      <c r="AA153" s="475">
        <v>0</v>
      </c>
      <c r="AB153" s="475">
        <f t="shared" si="295"/>
        <v>0</v>
      </c>
      <c r="AC153" s="475">
        <f t="shared" si="296"/>
        <v>0</v>
      </c>
      <c r="AD153" s="70">
        <f t="shared" si="297"/>
        <v>0</v>
      </c>
      <c r="AE153" s="70">
        <f t="shared" si="298"/>
        <v>0</v>
      </c>
      <c r="AF153" s="475">
        <v>0</v>
      </c>
      <c r="AG153" s="475">
        <v>0</v>
      </c>
      <c r="AH153" s="475">
        <f t="shared" si="299"/>
        <v>0</v>
      </c>
      <c r="AI153" s="475">
        <f t="shared" si="300"/>
        <v>0</v>
      </c>
      <c r="AJ153" s="476">
        <v>0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476">
        <f t="shared" si="301"/>
        <v>0</v>
      </c>
      <c r="AS153" s="476">
        <f t="shared" si="302"/>
        <v>0</v>
      </c>
      <c r="AT153" s="478">
        <f t="shared" si="303"/>
        <v>0</v>
      </c>
      <c r="AU153" s="484">
        <f t="shared" si="304"/>
        <v>3124909</v>
      </c>
      <c r="AV153" s="475">
        <f t="shared" si="305"/>
        <v>2300007</v>
      </c>
      <c r="AW153" s="475">
        <f t="shared" si="306"/>
        <v>0</v>
      </c>
      <c r="AX153" s="475">
        <f t="shared" si="307"/>
        <v>777402</v>
      </c>
      <c r="AY153" s="475">
        <f t="shared" si="307"/>
        <v>46000</v>
      </c>
      <c r="AZ153" s="475">
        <f t="shared" si="308"/>
        <v>1500</v>
      </c>
      <c r="BA153" s="476">
        <f t="shared" si="309"/>
        <v>6.64</v>
      </c>
      <c r="BB153" s="476">
        <f t="shared" si="310"/>
        <v>6.64</v>
      </c>
      <c r="BC153" s="478">
        <f t="shared" si="310"/>
        <v>0</v>
      </c>
    </row>
    <row r="154" spans="1:55" s="234" customFormat="1" x14ac:dyDescent="0.2">
      <c r="A154" s="221">
        <v>28</v>
      </c>
      <c r="B154" s="222">
        <v>4444</v>
      </c>
      <c r="C154" s="222">
        <v>600074731</v>
      </c>
      <c r="D154" s="222">
        <v>48282979</v>
      </c>
      <c r="E154" s="220" t="s">
        <v>203</v>
      </c>
      <c r="F154" s="222">
        <v>3141</v>
      </c>
      <c r="G154" s="172" t="s">
        <v>315</v>
      </c>
      <c r="H154" s="223" t="s">
        <v>278</v>
      </c>
      <c r="I154" s="477">
        <v>2315154</v>
      </c>
      <c r="J154" s="472">
        <v>1656729</v>
      </c>
      <c r="K154" s="472">
        <v>37000</v>
      </c>
      <c r="L154" s="472">
        <v>572480</v>
      </c>
      <c r="M154" s="472">
        <v>33135</v>
      </c>
      <c r="N154" s="472">
        <v>15810</v>
      </c>
      <c r="O154" s="473">
        <v>5.19</v>
      </c>
      <c r="P154" s="474">
        <v>0</v>
      </c>
      <c r="Q154" s="483">
        <v>5.19</v>
      </c>
      <c r="R154" s="485">
        <f t="shared" si="294"/>
        <v>0</v>
      </c>
      <c r="S154" s="475">
        <v>0</v>
      </c>
      <c r="T154" s="475">
        <v>8555</v>
      </c>
      <c r="U154" s="475">
        <v>0</v>
      </c>
      <c r="V154" s="475">
        <v>0</v>
      </c>
      <c r="W154" s="475">
        <v>0</v>
      </c>
      <c r="X154" s="475">
        <f t="shared" si="278"/>
        <v>8555</v>
      </c>
      <c r="Y154" s="475">
        <v>0</v>
      </c>
      <c r="Z154" s="475">
        <v>0</v>
      </c>
      <c r="AA154" s="475">
        <v>0</v>
      </c>
      <c r="AB154" s="475">
        <f t="shared" si="295"/>
        <v>0</v>
      </c>
      <c r="AC154" s="475">
        <f t="shared" si="296"/>
        <v>8555</v>
      </c>
      <c r="AD154" s="70">
        <f t="shared" si="297"/>
        <v>2892</v>
      </c>
      <c r="AE154" s="70">
        <f t="shared" si="298"/>
        <v>171</v>
      </c>
      <c r="AF154" s="475">
        <v>0</v>
      </c>
      <c r="AG154" s="475">
        <v>0</v>
      </c>
      <c r="AH154" s="475">
        <f t="shared" si="299"/>
        <v>0</v>
      </c>
      <c r="AI154" s="475">
        <f t="shared" si="300"/>
        <v>11618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0.03</v>
      </c>
      <c r="AO154" s="476">
        <v>0</v>
      </c>
      <c r="AP154" s="476">
        <v>0</v>
      </c>
      <c r="AQ154" s="476">
        <v>0</v>
      </c>
      <c r="AR154" s="476">
        <f t="shared" si="301"/>
        <v>0</v>
      </c>
      <c r="AS154" s="476">
        <f t="shared" si="302"/>
        <v>0.03</v>
      </c>
      <c r="AT154" s="478">
        <f t="shared" si="303"/>
        <v>0.03</v>
      </c>
      <c r="AU154" s="484">
        <f t="shared" si="304"/>
        <v>2326772</v>
      </c>
      <c r="AV154" s="475">
        <f t="shared" si="305"/>
        <v>1665284</v>
      </c>
      <c r="AW154" s="475">
        <f t="shared" si="306"/>
        <v>37000</v>
      </c>
      <c r="AX154" s="475">
        <f t="shared" si="307"/>
        <v>575372</v>
      </c>
      <c r="AY154" s="475">
        <f t="shared" si="307"/>
        <v>33306</v>
      </c>
      <c r="AZ154" s="475">
        <f t="shared" si="308"/>
        <v>15810</v>
      </c>
      <c r="BA154" s="476">
        <f t="shared" si="309"/>
        <v>5.2200000000000006</v>
      </c>
      <c r="BB154" s="476">
        <f t="shared" si="310"/>
        <v>0</v>
      </c>
      <c r="BC154" s="478">
        <f t="shared" si="310"/>
        <v>5.2200000000000006</v>
      </c>
    </row>
    <row r="155" spans="1:55" s="234" customFormat="1" x14ac:dyDescent="0.2">
      <c r="A155" s="221">
        <v>28</v>
      </c>
      <c r="B155" s="222">
        <v>4444</v>
      </c>
      <c r="C155" s="222">
        <v>600074731</v>
      </c>
      <c r="D155" s="222">
        <v>48282979</v>
      </c>
      <c r="E155" s="220" t="s">
        <v>203</v>
      </c>
      <c r="F155" s="222">
        <v>3143</v>
      </c>
      <c r="G155" s="172" t="s">
        <v>626</v>
      </c>
      <c r="H155" s="239" t="s">
        <v>277</v>
      </c>
      <c r="I155" s="477">
        <v>1519302</v>
      </c>
      <c r="J155" s="472">
        <v>1000546</v>
      </c>
      <c r="K155" s="472">
        <v>120000</v>
      </c>
      <c r="L155" s="472">
        <v>378745</v>
      </c>
      <c r="M155" s="472">
        <v>20011</v>
      </c>
      <c r="N155" s="472">
        <v>0</v>
      </c>
      <c r="O155" s="473">
        <v>2.0333000000000001</v>
      </c>
      <c r="P155" s="474">
        <v>2.0333000000000001</v>
      </c>
      <c r="Q155" s="483">
        <v>0</v>
      </c>
      <c r="R155" s="485">
        <f t="shared" si="294"/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278"/>
        <v>0</v>
      </c>
      <c r="Y155" s="475">
        <v>0</v>
      </c>
      <c r="Z155" s="475">
        <v>0</v>
      </c>
      <c r="AA155" s="475">
        <v>0</v>
      </c>
      <c r="AB155" s="475">
        <f t="shared" si="295"/>
        <v>0</v>
      </c>
      <c r="AC155" s="475">
        <f t="shared" si="296"/>
        <v>0</v>
      </c>
      <c r="AD155" s="70">
        <f t="shared" si="297"/>
        <v>0</v>
      </c>
      <c r="AE155" s="70">
        <f t="shared" si="298"/>
        <v>0</v>
      </c>
      <c r="AF155" s="475">
        <v>0</v>
      </c>
      <c r="AG155" s="475">
        <v>0</v>
      </c>
      <c r="AH155" s="475">
        <f t="shared" si="299"/>
        <v>0</v>
      </c>
      <c r="AI155" s="475">
        <f t="shared" si="300"/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476">
        <f t="shared" si="301"/>
        <v>0</v>
      </c>
      <c r="AS155" s="476">
        <f t="shared" si="302"/>
        <v>0</v>
      </c>
      <c r="AT155" s="478">
        <f t="shared" si="303"/>
        <v>0</v>
      </c>
      <c r="AU155" s="484">
        <f t="shared" si="304"/>
        <v>1519302</v>
      </c>
      <c r="AV155" s="475">
        <f t="shared" si="305"/>
        <v>1000546</v>
      </c>
      <c r="AW155" s="475">
        <f t="shared" si="306"/>
        <v>120000</v>
      </c>
      <c r="AX155" s="475">
        <f t="shared" si="307"/>
        <v>378745</v>
      </c>
      <c r="AY155" s="475">
        <f t="shared" si="307"/>
        <v>20011</v>
      </c>
      <c r="AZ155" s="475">
        <f t="shared" si="308"/>
        <v>0</v>
      </c>
      <c r="BA155" s="476">
        <f t="shared" si="309"/>
        <v>2.0333000000000001</v>
      </c>
      <c r="BB155" s="476">
        <f t="shared" si="310"/>
        <v>2.0333000000000001</v>
      </c>
      <c r="BC155" s="478">
        <f t="shared" si="310"/>
        <v>0</v>
      </c>
    </row>
    <row r="156" spans="1:55" s="234" customFormat="1" x14ac:dyDescent="0.2">
      <c r="A156" s="221">
        <v>28</v>
      </c>
      <c r="B156" s="222">
        <v>4444</v>
      </c>
      <c r="C156" s="222">
        <v>600074731</v>
      </c>
      <c r="D156" s="222">
        <v>48282979</v>
      </c>
      <c r="E156" s="220" t="s">
        <v>203</v>
      </c>
      <c r="F156" s="222">
        <v>3143</v>
      </c>
      <c r="G156" s="172" t="s">
        <v>627</v>
      </c>
      <c r="H156" s="239" t="s">
        <v>278</v>
      </c>
      <c r="I156" s="477">
        <v>52920</v>
      </c>
      <c r="J156" s="472">
        <v>37423</v>
      </c>
      <c r="K156" s="472">
        <v>0</v>
      </c>
      <c r="L156" s="472">
        <v>12649</v>
      </c>
      <c r="M156" s="472">
        <v>748</v>
      </c>
      <c r="N156" s="472">
        <v>2100</v>
      </c>
      <c r="O156" s="473">
        <v>0.15</v>
      </c>
      <c r="P156" s="474">
        <v>0</v>
      </c>
      <c r="Q156" s="483">
        <v>0.15</v>
      </c>
      <c r="R156" s="485">
        <f t="shared" si="294"/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si="278"/>
        <v>0</v>
      </c>
      <c r="Y156" s="475">
        <v>0</v>
      </c>
      <c r="Z156" s="475">
        <v>0</v>
      </c>
      <c r="AA156" s="475">
        <v>0</v>
      </c>
      <c r="AB156" s="475">
        <f t="shared" si="295"/>
        <v>0</v>
      </c>
      <c r="AC156" s="475">
        <f t="shared" si="296"/>
        <v>0</v>
      </c>
      <c r="AD156" s="70">
        <f t="shared" si="297"/>
        <v>0</v>
      </c>
      <c r="AE156" s="70">
        <f t="shared" si="298"/>
        <v>0</v>
      </c>
      <c r="AF156" s="475">
        <v>0</v>
      </c>
      <c r="AG156" s="475">
        <v>0</v>
      </c>
      <c r="AH156" s="475">
        <f t="shared" si="299"/>
        <v>0</v>
      </c>
      <c r="AI156" s="475">
        <f t="shared" si="300"/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 t="shared" si="301"/>
        <v>0</v>
      </c>
      <c r="AS156" s="476">
        <f t="shared" si="302"/>
        <v>0</v>
      </c>
      <c r="AT156" s="478">
        <f t="shared" si="303"/>
        <v>0</v>
      </c>
      <c r="AU156" s="484">
        <f t="shared" si="304"/>
        <v>52920</v>
      </c>
      <c r="AV156" s="475">
        <f t="shared" si="305"/>
        <v>37423</v>
      </c>
      <c r="AW156" s="475">
        <f t="shared" si="306"/>
        <v>0</v>
      </c>
      <c r="AX156" s="475">
        <f t="shared" si="307"/>
        <v>12649</v>
      </c>
      <c r="AY156" s="475">
        <f t="shared" si="307"/>
        <v>748</v>
      </c>
      <c r="AZ156" s="475">
        <f t="shared" si="308"/>
        <v>2100</v>
      </c>
      <c r="BA156" s="476">
        <f t="shared" si="309"/>
        <v>0.15</v>
      </c>
      <c r="BB156" s="476">
        <f t="shared" si="310"/>
        <v>0</v>
      </c>
      <c r="BC156" s="478">
        <f t="shared" si="310"/>
        <v>0.15</v>
      </c>
    </row>
    <row r="157" spans="1:55" s="234" customFormat="1" x14ac:dyDescent="0.2">
      <c r="A157" s="221">
        <v>28</v>
      </c>
      <c r="B157" s="222">
        <v>4444</v>
      </c>
      <c r="C157" s="222">
        <v>600074731</v>
      </c>
      <c r="D157" s="222">
        <v>48282979</v>
      </c>
      <c r="E157" s="220" t="s">
        <v>203</v>
      </c>
      <c r="F157" s="222">
        <v>3143</v>
      </c>
      <c r="G157" s="172" t="s">
        <v>317</v>
      </c>
      <c r="H157" s="239" t="s">
        <v>278</v>
      </c>
      <c r="I157" s="477">
        <v>141983</v>
      </c>
      <c r="J157" s="472">
        <v>104303</v>
      </c>
      <c r="K157" s="472">
        <v>0</v>
      </c>
      <c r="L157" s="472">
        <v>35254</v>
      </c>
      <c r="M157" s="472">
        <v>2086</v>
      </c>
      <c r="N157" s="472">
        <v>340</v>
      </c>
      <c r="O157" s="473">
        <v>0.23</v>
      </c>
      <c r="P157" s="474">
        <v>0.19</v>
      </c>
      <c r="Q157" s="483">
        <v>0.04</v>
      </c>
      <c r="R157" s="485">
        <f t="shared" si="294"/>
        <v>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 t="shared" si="278"/>
        <v>0</v>
      </c>
      <c r="Y157" s="475">
        <v>0</v>
      </c>
      <c r="Z157" s="475">
        <v>0</v>
      </c>
      <c r="AA157" s="475">
        <v>0</v>
      </c>
      <c r="AB157" s="475">
        <f t="shared" si="295"/>
        <v>0</v>
      </c>
      <c r="AC157" s="475">
        <f t="shared" si="296"/>
        <v>0</v>
      </c>
      <c r="AD157" s="70">
        <f t="shared" si="297"/>
        <v>0</v>
      </c>
      <c r="AE157" s="70">
        <f t="shared" si="298"/>
        <v>0</v>
      </c>
      <c r="AF157" s="475">
        <v>0</v>
      </c>
      <c r="AG157" s="475">
        <v>0</v>
      </c>
      <c r="AH157" s="475">
        <f t="shared" si="299"/>
        <v>0</v>
      </c>
      <c r="AI157" s="475">
        <f t="shared" si="300"/>
        <v>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476">
        <f t="shared" si="301"/>
        <v>0</v>
      </c>
      <c r="AS157" s="476">
        <f t="shared" si="302"/>
        <v>0</v>
      </c>
      <c r="AT157" s="478">
        <f t="shared" si="303"/>
        <v>0</v>
      </c>
      <c r="AU157" s="484">
        <f t="shared" si="304"/>
        <v>141983</v>
      </c>
      <c r="AV157" s="475">
        <f t="shared" si="305"/>
        <v>104303</v>
      </c>
      <c r="AW157" s="475">
        <f t="shared" si="306"/>
        <v>0</v>
      </c>
      <c r="AX157" s="475">
        <f t="shared" si="307"/>
        <v>35254</v>
      </c>
      <c r="AY157" s="475">
        <f t="shared" si="307"/>
        <v>2086</v>
      </c>
      <c r="AZ157" s="475">
        <f t="shared" si="308"/>
        <v>340</v>
      </c>
      <c r="BA157" s="476">
        <f t="shared" si="309"/>
        <v>0.23</v>
      </c>
      <c r="BB157" s="476">
        <f t="shared" si="310"/>
        <v>0.19</v>
      </c>
      <c r="BC157" s="478">
        <f t="shared" si="310"/>
        <v>0.04</v>
      </c>
    </row>
    <row r="158" spans="1:55" s="234" customFormat="1" x14ac:dyDescent="0.2">
      <c r="A158" s="162">
        <v>28</v>
      </c>
      <c r="B158" s="18">
        <v>4444</v>
      </c>
      <c r="C158" s="18">
        <v>600074731</v>
      </c>
      <c r="D158" s="18">
        <v>48282979</v>
      </c>
      <c r="E158" s="171" t="s">
        <v>204</v>
      </c>
      <c r="F158" s="18"/>
      <c r="G158" s="161"/>
      <c r="H158" s="195"/>
      <c r="I158" s="529">
        <v>21420501</v>
      </c>
      <c r="J158" s="526">
        <v>15340761</v>
      </c>
      <c r="K158" s="526">
        <v>194760</v>
      </c>
      <c r="L158" s="526">
        <v>5251005</v>
      </c>
      <c r="M158" s="526">
        <v>306815</v>
      </c>
      <c r="N158" s="526">
        <v>327160</v>
      </c>
      <c r="O158" s="527">
        <v>33.147199999999998</v>
      </c>
      <c r="P158" s="527">
        <v>22.999600000000001</v>
      </c>
      <c r="Q158" s="531">
        <v>10.147599999999999</v>
      </c>
      <c r="R158" s="529">
        <f t="shared" ref="R158:BC158" si="311">SUM(R152:R157)</f>
        <v>0</v>
      </c>
      <c r="S158" s="526">
        <f t="shared" si="311"/>
        <v>0</v>
      </c>
      <c r="T158" s="526">
        <f t="shared" si="311"/>
        <v>8555</v>
      </c>
      <c r="U158" s="526">
        <f t="shared" si="311"/>
        <v>0</v>
      </c>
      <c r="V158" s="526">
        <f t="shared" si="311"/>
        <v>0</v>
      </c>
      <c r="W158" s="526">
        <f t="shared" si="311"/>
        <v>0</v>
      </c>
      <c r="X158" s="526">
        <f t="shared" si="311"/>
        <v>8555</v>
      </c>
      <c r="Y158" s="526">
        <f t="shared" si="311"/>
        <v>0</v>
      </c>
      <c r="Z158" s="526">
        <f t="shared" si="311"/>
        <v>0</v>
      </c>
      <c r="AA158" s="526">
        <f t="shared" si="311"/>
        <v>0</v>
      </c>
      <c r="AB158" s="526">
        <f t="shared" si="311"/>
        <v>0</v>
      </c>
      <c r="AC158" s="526">
        <f t="shared" si="311"/>
        <v>8555</v>
      </c>
      <c r="AD158" s="526">
        <f t="shared" si="311"/>
        <v>2892</v>
      </c>
      <c r="AE158" s="526">
        <f t="shared" si="311"/>
        <v>171</v>
      </c>
      <c r="AF158" s="526">
        <f t="shared" si="311"/>
        <v>0</v>
      </c>
      <c r="AG158" s="526">
        <f t="shared" si="311"/>
        <v>0</v>
      </c>
      <c r="AH158" s="526">
        <f t="shared" si="311"/>
        <v>0</v>
      </c>
      <c r="AI158" s="526">
        <f t="shared" si="311"/>
        <v>11618</v>
      </c>
      <c r="AJ158" s="527">
        <f t="shared" si="311"/>
        <v>0</v>
      </c>
      <c r="AK158" s="527">
        <f t="shared" si="311"/>
        <v>0</v>
      </c>
      <c r="AL158" s="527">
        <f t="shared" si="311"/>
        <v>0</v>
      </c>
      <c r="AM158" s="527">
        <f t="shared" si="311"/>
        <v>0</v>
      </c>
      <c r="AN158" s="527">
        <f t="shared" si="311"/>
        <v>0.03</v>
      </c>
      <c r="AO158" s="527">
        <f t="shared" si="311"/>
        <v>0</v>
      </c>
      <c r="AP158" s="527">
        <f t="shared" si="311"/>
        <v>0</v>
      </c>
      <c r="AQ158" s="527">
        <f t="shared" si="311"/>
        <v>0</v>
      </c>
      <c r="AR158" s="527">
        <f t="shared" si="311"/>
        <v>0</v>
      </c>
      <c r="AS158" s="527">
        <f t="shared" si="311"/>
        <v>0.03</v>
      </c>
      <c r="AT158" s="40">
        <f t="shared" si="311"/>
        <v>0.03</v>
      </c>
      <c r="AU158" s="533">
        <f t="shared" si="311"/>
        <v>21432119</v>
      </c>
      <c r="AV158" s="526">
        <f t="shared" si="311"/>
        <v>15349316</v>
      </c>
      <c r="AW158" s="526">
        <f t="shared" si="311"/>
        <v>194760</v>
      </c>
      <c r="AX158" s="526">
        <f t="shared" si="311"/>
        <v>5253897</v>
      </c>
      <c r="AY158" s="526">
        <f t="shared" si="311"/>
        <v>306986</v>
      </c>
      <c r="AZ158" s="526">
        <f t="shared" si="311"/>
        <v>327160</v>
      </c>
      <c r="BA158" s="527">
        <f t="shared" si="311"/>
        <v>33.177199999999999</v>
      </c>
      <c r="BB158" s="527">
        <f t="shared" si="311"/>
        <v>22.999600000000001</v>
      </c>
      <c r="BC158" s="40">
        <f t="shared" si="311"/>
        <v>10.1776</v>
      </c>
    </row>
    <row r="159" spans="1:55" s="234" customFormat="1" ht="12.75" customHeight="1" x14ac:dyDescent="0.2">
      <c r="A159" s="221">
        <v>29</v>
      </c>
      <c r="B159" s="222">
        <v>4445</v>
      </c>
      <c r="C159" s="222">
        <v>600075044</v>
      </c>
      <c r="D159" s="222">
        <v>72742631</v>
      </c>
      <c r="E159" s="220" t="s">
        <v>205</v>
      </c>
      <c r="F159" s="222">
        <v>3111</v>
      </c>
      <c r="G159" s="172" t="s">
        <v>311</v>
      </c>
      <c r="H159" s="223" t="s">
        <v>277</v>
      </c>
      <c r="I159" s="477">
        <v>2601780</v>
      </c>
      <c r="J159" s="472">
        <v>1906613</v>
      </c>
      <c r="K159" s="472">
        <v>0</v>
      </c>
      <c r="L159" s="472">
        <v>644435</v>
      </c>
      <c r="M159" s="472">
        <v>38132</v>
      </c>
      <c r="N159" s="472">
        <v>12600</v>
      </c>
      <c r="O159" s="473">
        <v>4.7927999999999997</v>
      </c>
      <c r="P159" s="474">
        <v>3.871</v>
      </c>
      <c r="Q159" s="483">
        <v>0.92179999999999995</v>
      </c>
      <c r="R159" s="485">
        <f t="shared" ref="R159:R164" si="312">Y159*-1</f>
        <v>0</v>
      </c>
      <c r="S159" s="475">
        <v>0</v>
      </c>
      <c r="T159" s="475">
        <v>18843</v>
      </c>
      <c r="U159" s="475">
        <v>0</v>
      </c>
      <c r="V159" s="475">
        <v>0</v>
      </c>
      <c r="W159" s="475">
        <v>0</v>
      </c>
      <c r="X159" s="475">
        <f t="shared" si="278"/>
        <v>18843</v>
      </c>
      <c r="Y159" s="475">
        <v>0</v>
      </c>
      <c r="Z159" s="475">
        <v>0</v>
      </c>
      <c r="AA159" s="475">
        <v>0</v>
      </c>
      <c r="AB159" s="475">
        <f t="shared" ref="AB159:AB164" si="313">SUM(Y159:AA159)</f>
        <v>0</v>
      </c>
      <c r="AC159" s="475">
        <f t="shared" ref="AC159:AC164" si="314">X159+AB159</f>
        <v>18843</v>
      </c>
      <c r="AD159" s="70">
        <f t="shared" ref="AD159:AD164" si="315">ROUND((X159+Y159+Z159)*33.8%,0)</f>
        <v>6369</v>
      </c>
      <c r="AE159" s="70">
        <f t="shared" ref="AE159:AE164" si="316">ROUND(X159*2%,0)</f>
        <v>377</v>
      </c>
      <c r="AF159" s="475">
        <v>0</v>
      </c>
      <c r="AG159" s="475">
        <v>0</v>
      </c>
      <c r="AH159" s="475">
        <f t="shared" ref="AH159:AH164" si="317">SUM(AF159:AG159)</f>
        <v>0</v>
      </c>
      <c r="AI159" s="475">
        <f t="shared" ref="AI159:AI164" si="318">AC159+AD159+AE159+AH159</f>
        <v>25589</v>
      </c>
      <c r="AJ159" s="476">
        <v>0</v>
      </c>
      <c r="AK159" s="476">
        <v>0</v>
      </c>
      <c r="AL159" s="476">
        <v>0</v>
      </c>
      <c r="AM159" s="476">
        <v>0.04</v>
      </c>
      <c r="AN159" s="476">
        <v>0</v>
      </c>
      <c r="AO159" s="476">
        <v>0</v>
      </c>
      <c r="AP159" s="476">
        <v>0</v>
      </c>
      <c r="AQ159" s="476">
        <v>0</v>
      </c>
      <c r="AR159" s="476">
        <f t="shared" ref="AR159:AR164" si="319">AJ159+AL159+AM159+AO159+AP159</f>
        <v>0.04</v>
      </c>
      <c r="AS159" s="476">
        <f t="shared" ref="AS159:AS164" si="320">AK159+AN159+AQ159</f>
        <v>0</v>
      </c>
      <c r="AT159" s="478">
        <f t="shared" ref="AT159:AT164" si="321">SUM(AR159:AS159)</f>
        <v>0.04</v>
      </c>
      <c r="AU159" s="484">
        <f t="shared" ref="AU159:AU164" si="322">I159+AI159</f>
        <v>2627369</v>
      </c>
      <c r="AV159" s="475">
        <f t="shared" ref="AV159:AV164" si="323">J159+X159</f>
        <v>1925456</v>
      </c>
      <c r="AW159" s="475">
        <f t="shared" ref="AW159:AW164" si="324">K159+AB159</f>
        <v>0</v>
      </c>
      <c r="AX159" s="475">
        <f t="shared" ref="AX159:AY164" si="325">L159+AD159</f>
        <v>650804</v>
      </c>
      <c r="AY159" s="475">
        <f t="shared" si="325"/>
        <v>38509</v>
      </c>
      <c r="AZ159" s="475">
        <f t="shared" ref="AZ159:AZ164" si="326">N159+AH159</f>
        <v>12600</v>
      </c>
      <c r="BA159" s="476">
        <f t="shared" ref="BA159:BA164" si="327">O159+AT159</f>
        <v>4.8327999999999998</v>
      </c>
      <c r="BB159" s="476">
        <f t="shared" ref="BB159:BC164" si="328">P159+AR159</f>
        <v>3.911</v>
      </c>
      <c r="BC159" s="478">
        <f t="shared" si="328"/>
        <v>0.92179999999999995</v>
      </c>
    </row>
    <row r="160" spans="1:55" s="234" customFormat="1" ht="12.75" customHeight="1" x14ac:dyDescent="0.2">
      <c r="A160" s="221">
        <v>29</v>
      </c>
      <c r="B160" s="222">
        <v>4445</v>
      </c>
      <c r="C160" s="222">
        <v>600075044</v>
      </c>
      <c r="D160" s="222">
        <v>72742631</v>
      </c>
      <c r="E160" s="220" t="s">
        <v>205</v>
      </c>
      <c r="F160" s="222">
        <v>3117</v>
      </c>
      <c r="G160" s="172" t="s">
        <v>314</v>
      </c>
      <c r="H160" s="223" t="s">
        <v>277</v>
      </c>
      <c r="I160" s="477">
        <v>3615183</v>
      </c>
      <c r="J160" s="472">
        <v>2616806</v>
      </c>
      <c r="K160" s="472">
        <v>0</v>
      </c>
      <c r="L160" s="472">
        <v>884481</v>
      </c>
      <c r="M160" s="472">
        <v>52336</v>
      </c>
      <c r="N160" s="472">
        <v>61560</v>
      </c>
      <c r="O160" s="473">
        <v>5.5868000000000002</v>
      </c>
      <c r="P160" s="474">
        <v>3.2765</v>
      </c>
      <c r="Q160" s="483">
        <v>2.3102999999999998</v>
      </c>
      <c r="R160" s="485">
        <f t="shared" si="312"/>
        <v>0</v>
      </c>
      <c r="S160" s="475">
        <v>0</v>
      </c>
      <c r="T160" s="475">
        <v>41589</v>
      </c>
      <c r="U160" s="475">
        <v>0</v>
      </c>
      <c r="V160" s="475">
        <v>0</v>
      </c>
      <c r="W160" s="475">
        <v>0</v>
      </c>
      <c r="X160" s="475">
        <f t="shared" si="278"/>
        <v>41589</v>
      </c>
      <c r="Y160" s="475">
        <v>0</v>
      </c>
      <c r="Z160" s="475">
        <v>0</v>
      </c>
      <c r="AA160" s="475">
        <v>0</v>
      </c>
      <c r="AB160" s="475">
        <f t="shared" si="313"/>
        <v>0</v>
      </c>
      <c r="AC160" s="475">
        <f t="shared" si="314"/>
        <v>41589</v>
      </c>
      <c r="AD160" s="70">
        <f t="shared" si="315"/>
        <v>14057</v>
      </c>
      <c r="AE160" s="70">
        <f t="shared" si="316"/>
        <v>832</v>
      </c>
      <c r="AF160" s="475">
        <v>0</v>
      </c>
      <c r="AG160" s="475">
        <v>0</v>
      </c>
      <c r="AH160" s="475">
        <f t="shared" si="317"/>
        <v>0</v>
      </c>
      <c r="AI160" s="475">
        <f t="shared" si="318"/>
        <v>56478</v>
      </c>
      <c r="AJ160" s="476">
        <v>0</v>
      </c>
      <c r="AK160" s="476">
        <v>0</v>
      </c>
      <c r="AL160" s="476">
        <v>0</v>
      </c>
      <c r="AM160" s="476">
        <v>0.08</v>
      </c>
      <c r="AN160" s="476">
        <v>0</v>
      </c>
      <c r="AO160" s="476">
        <v>0</v>
      </c>
      <c r="AP160" s="476">
        <v>0</v>
      </c>
      <c r="AQ160" s="476">
        <v>0</v>
      </c>
      <c r="AR160" s="476">
        <f t="shared" si="319"/>
        <v>0.08</v>
      </c>
      <c r="AS160" s="476">
        <f t="shared" si="320"/>
        <v>0</v>
      </c>
      <c r="AT160" s="478">
        <f t="shared" si="321"/>
        <v>0.08</v>
      </c>
      <c r="AU160" s="484">
        <f t="shared" si="322"/>
        <v>3671661</v>
      </c>
      <c r="AV160" s="475">
        <f t="shared" si="323"/>
        <v>2658395</v>
      </c>
      <c r="AW160" s="475">
        <f t="shared" si="324"/>
        <v>0</v>
      </c>
      <c r="AX160" s="475">
        <f t="shared" si="325"/>
        <v>898538</v>
      </c>
      <c r="AY160" s="475">
        <f t="shared" si="325"/>
        <v>53168</v>
      </c>
      <c r="AZ160" s="475">
        <f t="shared" si="326"/>
        <v>61560</v>
      </c>
      <c r="BA160" s="476">
        <f t="shared" si="327"/>
        <v>5.6668000000000003</v>
      </c>
      <c r="BB160" s="476">
        <f t="shared" si="328"/>
        <v>3.3565</v>
      </c>
      <c r="BC160" s="478">
        <f t="shared" si="328"/>
        <v>2.3102999999999998</v>
      </c>
    </row>
    <row r="161" spans="1:55" s="234" customFormat="1" ht="12.75" customHeight="1" x14ac:dyDescent="0.2">
      <c r="A161" s="221">
        <v>29</v>
      </c>
      <c r="B161" s="222">
        <v>4445</v>
      </c>
      <c r="C161" s="222">
        <v>600075044</v>
      </c>
      <c r="D161" s="222">
        <v>72742631</v>
      </c>
      <c r="E161" s="220" t="s">
        <v>205</v>
      </c>
      <c r="F161" s="222">
        <v>3117</v>
      </c>
      <c r="G161" s="172" t="s">
        <v>312</v>
      </c>
      <c r="H161" s="223" t="s">
        <v>278</v>
      </c>
      <c r="I161" s="477">
        <v>456570</v>
      </c>
      <c r="J161" s="472">
        <v>336208</v>
      </c>
      <c r="K161" s="472">
        <v>0</v>
      </c>
      <c r="L161" s="472">
        <v>113638</v>
      </c>
      <c r="M161" s="472">
        <v>6724</v>
      </c>
      <c r="N161" s="472">
        <v>0</v>
      </c>
      <c r="O161" s="473">
        <v>0.95</v>
      </c>
      <c r="P161" s="474">
        <v>0.95</v>
      </c>
      <c r="Q161" s="483">
        <v>0</v>
      </c>
      <c r="R161" s="485">
        <f t="shared" si="312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si="278"/>
        <v>0</v>
      </c>
      <c r="Y161" s="475">
        <v>0</v>
      </c>
      <c r="Z161" s="475">
        <v>0</v>
      </c>
      <c r="AA161" s="475">
        <v>0</v>
      </c>
      <c r="AB161" s="475">
        <f t="shared" si="313"/>
        <v>0</v>
      </c>
      <c r="AC161" s="475">
        <f t="shared" si="314"/>
        <v>0</v>
      </c>
      <c r="AD161" s="70">
        <f t="shared" si="315"/>
        <v>0</v>
      </c>
      <c r="AE161" s="70">
        <f t="shared" si="316"/>
        <v>0</v>
      </c>
      <c r="AF161" s="475">
        <v>0</v>
      </c>
      <c r="AG161" s="475">
        <v>0</v>
      </c>
      <c r="AH161" s="475">
        <f t="shared" si="317"/>
        <v>0</v>
      </c>
      <c r="AI161" s="475">
        <f t="shared" si="318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 t="shared" si="319"/>
        <v>0</v>
      </c>
      <c r="AS161" s="476">
        <f t="shared" si="320"/>
        <v>0</v>
      </c>
      <c r="AT161" s="478">
        <f t="shared" si="321"/>
        <v>0</v>
      </c>
      <c r="AU161" s="484">
        <f t="shared" si="322"/>
        <v>456570</v>
      </c>
      <c r="AV161" s="475">
        <f t="shared" si="323"/>
        <v>336208</v>
      </c>
      <c r="AW161" s="475">
        <f t="shared" si="324"/>
        <v>0</v>
      </c>
      <c r="AX161" s="475">
        <f t="shared" si="325"/>
        <v>113638</v>
      </c>
      <c r="AY161" s="475">
        <f t="shared" si="325"/>
        <v>6724</v>
      </c>
      <c r="AZ161" s="475">
        <f t="shared" si="326"/>
        <v>0</v>
      </c>
      <c r="BA161" s="476">
        <f t="shared" si="327"/>
        <v>0.95</v>
      </c>
      <c r="BB161" s="476">
        <f t="shared" si="328"/>
        <v>0.95</v>
      </c>
      <c r="BC161" s="478">
        <f t="shared" si="328"/>
        <v>0</v>
      </c>
    </row>
    <row r="162" spans="1:55" s="234" customFormat="1" ht="12.75" customHeight="1" x14ac:dyDescent="0.2">
      <c r="A162" s="221">
        <v>29</v>
      </c>
      <c r="B162" s="222">
        <v>4445</v>
      </c>
      <c r="C162" s="222">
        <v>600075044</v>
      </c>
      <c r="D162" s="222">
        <v>72742631</v>
      </c>
      <c r="E162" s="220" t="s">
        <v>205</v>
      </c>
      <c r="F162" s="222">
        <v>3141</v>
      </c>
      <c r="G162" s="172" t="s">
        <v>315</v>
      </c>
      <c r="H162" s="223" t="s">
        <v>278</v>
      </c>
      <c r="I162" s="477">
        <v>871294</v>
      </c>
      <c r="J162" s="472">
        <v>638868</v>
      </c>
      <c r="K162" s="472">
        <v>0</v>
      </c>
      <c r="L162" s="472">
        <v>215937</v>
      </c>
      <c r="M162" s="472">
        <v>12777</v>
      </c>
      <c r="N162" s="472">
        <v>3712</v>
      </c>
      <c r="O162" s="473">
        <v>2.0099999999999998</v>
      </c>
      <c r="P162" s="474">
        <v>0</v>
      </c>
      <c r="Q162" s="483">
        <v>2.0099999999999998</v>
      </c>
      <c r="R162" s="485">
        <f t="shared" si="312"/>
        <v>0</v>
      </c>
      <c r="S162" s="475">
        <v>0</v>
      </c>
      <c r="T162" s="475">
        <v>-4064</v>
      </c>
      <c r="U162" s="475">
        <v>0</v>
      </c>
      <c r="V162" s="475">
        <v>0</v>
      </c>
      <c r="W162" s="475">
        <v>0</v>
      </c>
      <c r="X162" s="475">
        <f t="shared" si="278"/>
        <v>-4064</v>
      </c>
      <c r="Y162" s="475">
        <v>0</v>
      </c>
      <c r="Z162" s="475">
        <v>0</v>
      </c>
      <c r="AA162" s="475">
        <v>0</v>
      </c>
      <c r="AB162" s="475">
        <f t="shared" si="313"/>
        <v>0</v>
      </c>
      <c r="AC162" s="475">
        <f t="shared" si="314"/>
        <v>-4064</v>
      </c>
      <c r="AD162" s="70">
        <f t="shared" si="315"/>
        <v>-1374</v>
      </c>
      <c r="AE162" s="70">
        <f t="shared" si="316"/>
        <v>-81</v>
      </c>
      <c r="AF162" s="475">
        <v>0</v>
      </c>
      <c r="AG162" s="475">
        <v>0</v>
      </c>
      <c r="AH162" s="475">
        <f t="shared" si="317"/>
        <v>0</v>
      </c>
      <c r="AI162" s="475">
        <f t="shared" si="318"/>
        <v>-5519</v>
      </c>
      <c r="AJ162" s="476">
        <v>0</v>
      </c>
      <c r="AK162" s="476">
        <v>0</v>
      </c>
      <c r="AL162" s="476">
        <v>0</v>
      </c>
      <c r="AM162" s="476">
        <v>0</v>
      </c>
      <c r="AN162" s="476">
        <v>-0.01</v>
      </c>
      <c r="AO162" s="476">
        <v>0</v>
      </c>
      <c r="AP162" s="476">
        <v>0</v>
      </c>
      <c r="AQ162" s="476">
        <v>0</v>
      </c>
      <c r="AR162" s="476">
        <f t="shared" si="319"/>
        <v>0</v>
      </c>
      <c r="AS162" s="476">
        <f t="shared" si="320"/>
        <v>-0.01</v>
      </c>
      <c r="AT162" s="478">
        <f t="shared" si="321"/>
        <v>-0.01</v>
      </c>
      <c r="AU162" s="484">
        <f t="shared" si="322"/>
        <v>865775</v>
      </c>
      <c r="AV162" s="475">
        <f t="shared" si="323"/>
        <v>634804</v>
      </c>
      <c r="AW162" s="475">
        <f t="shared" si="324"/>
        <v>0</v>
      </c>
      <c r="AX162" s="475">
        <f t="shared" si="325"/>
        <v>214563</v>
      </c>
      <c r="AY162" s="475">
        <f t="shared" si="325"/>
        <v>12696</v>
      </c>
      <c r="AZ162" s="475">
        <f t="shared" si="326"/>
        <v>3712</v>
      </c>
      <c r="BA162" s="476">
        <f t="shared" si="327"/>
        <v>1.9999999999999998</v>
      </c>
      <c r="BB162" s="476">
        <f t="shared" si="328"/>
        <v>0</v>
      </c>
      <c r="BC162" s="478">
        <f t="shared" si="328"/>
        <v>1.9999999999999998</v>
      </c>
    </row>
    <row r="163" spans="1:55" s="234" customFormat="1" ht="12.75" customHeight="1" x14ac:dyDescent="0.2">
      <c r="A163" s="221">
        <v>29</v>
      </c>
      <c r="B163" s="222">
        <v>4445</v>
      </c>
      <c r="C163" s="222">
        <v>600075044</v>
      </c>
      <c r="D163" s="222">
        <v>72742631</v>
      </c>
      <c r="E163" s="215" t="s">
        <v>205</v>
      </c>
      <c r="F163" s="222">
        <v>3143</v>
      </c>
      <c r="G163" s="172" t="s">
        <v>626</v>
      </c>
      <c r="H163" s="239" t="s">
        <v>277</v>
      </c>
      <c r="I163" s="477">
        <v>699166</v>
      </c>
      <c r="J163" s="472">
        <v>514850</v>
      </c>
      <c r="K163" s="472">
        <v>0</v>
      </c>
      <c r="L163" s="472">
        <v>174019</v>
      </c>
      <c r="M163" s="472">
        <v>10297</v>
      </c>
      <c r="N163" s="472">
        <v>0</v>
      </c>
      <c r="O163" s="473">
        <v>1.2857000000000001</v>
      </c>
      <c r="P163" s="474">
        <v>1.2857000000000001</v>
      </c>
      <c r="Q163" s="483">
        <v>0</v>
      </c>
      <c r="R163" s="485">
        <f t="shared" si="312"/>
        <v>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 t="shared" si="278"/>
        <v>0</v>
      </c>
      <c r="Y163" s="475">
        <v>0</v>
      </c>
      <c r="Z163" s="475">
        <v>0</v>
      </c>
      <c r="AA163" s="475">
        <v>0</v>
      </c>
      <c r="AB163" s="475">
        <f t="shared" si="313"/>
        <v>0</v>
      </c>
      <c r="AC163" s="475">
        <f t="shared" si="314"/>
        <v>0</v>
      </c>
      <c r="AD163" s="70">
        <f t="shared" si="315"/>
        <v>0</v>
      </c>
      <c r="AE163" s="70">
        <f t="shared" si="316"/>
        <v>0</v>
      </c>
      <c r="AF163" s="475">
        <v>0</v>
      </c>
      <c r="AG163" s="475">
        <v>0</v>
      </c>
      <c r="AH163" s="475">
        <f t="shared" si="317"/>
        <v>0</v>
      </c>
      <c r="AI163" s="475">
        <f t="shared" si="318"/>
        <v>0</v>
      </c>
      <c r="AJ163" s="476">
        <v>0</v>
      </c>
      <c r="AK163" s="476">
        <v>0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476">
        <f t="shared" si="319"/>
        <v>0</v>
      </c>
      <c r="AS163" s="476">
        <f t="shared" si="320"/>
        <v>0</v>
      </c>
      <c r="AT163" s="478">
        <f t="shared" si="321"/>
        <v>0</v>
      </c>
      <c r="AU163" s="484">
        <f t="shared" si="322"/>
        <v>699166</v>
      </c>
      <c r="AV163" s="475">
        <f t="shared" si="323"/>
        <v>514850</v>
      </c>
      <c r="AW163" s="475">
        <f t="shared" si="324"/>
        <v>0</v>
      </c>
      <c r="AX163" s="475">
        <f t="shared" si="325"/>
        <v>174019</v>
      </c>
      <c r="AY163" s="475">
        <f t="shared" si="325"/>
        <v>10297</v>
      </c>
      <c r="AZ163" s="475">
        <f t="shared" si="326"/>
        <v>0</v>
      </c>
      <c r="BA163" s="476">
        <f t="shared" si="327"/>
        <v>1.2857000000000001</v>
      </c>
      <c r="BB163" s="476">
        <f t="shared" si="328"/>
        <v>1.2857000000000001</v>
      </c>
      <c r="BC163" s="478">
        <f t="shared" si="328"/>
        <v>0</v>
      </c>
    </row>
    <row r="164" spans="1:55" s="234" customFormat="1" ht="12.75" customHeight="1" x14ac:dyDescent="0.2">
      <c r="A164" s="221">
        <v>29</v>
      </c>
      <c r="B164" s="222">
        <v>4445</v>
      </c>
      <c r="C164" s="222">
        <v>600075044</v>
      </c>
      <c r="D164" s="222">
        <v>72742631</v>
      </c>
      <c r="E164" s="215" t="s">
        <v>205</v>
      </c>
      <c r="F164" s="222">
        <v>3143</v>
      </c>
      <c r="G164" s="172" t="s">
        <v>627</v>
      </c>
      <c r="H164" s="239" t="s">
        <v>278</v>
      </c>
      <c r="I164" s="477">
        <v>27216</v>
      </c>
      <c r="J164" s="472">
        <v>19246</v>
      </c>
      <c r="K164" s="472">
        <v>0</v>
      </c>
      <c r="L164" s="472">
        <v>6505</v>
      </c>
      <c r="M164" s="472">
        <v>385</v>
      </c>
      <c r="N164" s="472">
        <v>1080</v>
      </c>
      <c r="O164" s="473">
        <v>0.08</v>
      </c>
      <c r="P164" s="474">
        <v>0</v>
      </c>
      <c r="Q164" s="483">
        <v>0.08</v>
      </c>
      <c r="R164" s="485">
        <f t="shared" si="312"/>
        <v>0</v>
      </c>
      <c r="S164" s="475">
        <v>0</v>
      </c>
      <c r="T164" s="475">
        <v>0</v>
      </c>
      <c r="U164" s="475">
        <v>0</v>
      </c>
      <c r="V164" s="475">
        <v>0</v>
      </c>
      <c r="W164" s="475">
        <v>0</v>
      </c>
      <c r="X164" s="475">
        <f t="shared" si="278"/>
        <v>0</v>
      </c>
      <c r="Y164" s="475">
        <v>0</v>
      </c>
      <c r="Z164" s="475">
        <v>0</v>
      </c>
      <c r="AA164" s="475">
        <v>0</v>
      </c>
      <c r="AB164" s="475">
        <f t="shared" si="313"/>
        <v>0</v>
      </c>
      <c r="AC164" s="475">
        <f t="shared" si="314"/>
        <v>0</v>
      </c>
      <c r="AD164" s="70">
        <f t="shared" si="315"/>
        <v>0</v>
      </c>
      <c r="AE164" s="70">
        <f t="shared" si="316"/>
        <v>0</v>
      </c>
      <c r="AF164" s="475">
        <v>0</v>
      </c>
      <c r="AG164" s="475">
        <v>0</v>
      </c>
      <c r="AH164" s="475">
        <f t="shared" si="317"/>
        <v>0</v>
      </c>
      <c r="AI164" s="475">
        <f t="shared" si="318"/>
        <v>0</v>
      </c>
      <c r="AJ164" s="476">
        <v>0</v>
      </c>
      <c r="AK164" s="476">
        <v>0</v>
      </c>
      <c r="AL164" s="476">
        <v>0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476">
        <f t="shared" si="319"/>
        <v>0</v>
      </c>
      <c r="AS164" s="476">
        <f t="shared" si="320"/>
        <v>0</v>
      </c>
      <c r="AT164" s="478">
        <f t="shared" si="321"/>
        <v>0</v>
      </c>
      <c r="AU164" s="484">
        <f t="shared" si="322"/>
        <v>27216</v>
      </c>
      <c r="AV164" s="475">
        <f t="shared" si="323"/>
        <v>19246</v>
      </c>
      <c r="AW164" s="475">
        <f t="shared" si="324"/>
        <v>0</v>
      </c>
      <c r="AX164" s="475">
        <f t="shared" si="325"/>
        <v>6505</v>
      </c>
      <c r="AY164" s="475">
        <f t="shared" si="325"/>
        <v>385</v>
      </c>
      <c r="AZ164" s="475">
        <f t="shared" si="326"/>
        <v>1080</v>
      </c>
      <c r="BA164" s="476">
        <f t="shared" si="327"/>
        <v>0.08</v>
      </c>
      <c r="BB164" s="476">
        <f t="shared" si="328"/>
        <v>0</v>
      </c>
      <c r="BC164" s="478">
        <f t="shared" si="328"/>
        <v>0.08</v>
      </c>
    </row>
    <row r="165" spans="1:55" s="234" customFormat="1" ht="12.75" customHeight="1" x14ac:dyDescent="0.2">
      <c r="A165" s="162">
        <v>29</v>
      </c>
      <c r="B165" s="18">
        <v>4445</v>
      </c>
      <c r="C165" s="18">
        <v>600075044</v>
      </c>
      <c r="D165" s="18">
        <v>72742631</v>
      </c>
      <c r="E165" s="171" t="s">
        <v>206</v>
      </c>
      <c r="F165" s="18"/>
      <c r="G165" s="161"/>
      <c r="H165" s="195"/>
      <c r="I165" s="529">
        <v>8271209</v>
      </c>
      <c r="J165" s="526">
        <v>6032591</v>
      </c>
      <c r="K165" s="526">
        <v>0</v>
      </c>
      <c r="L165" s="526">
        <v>2039015</v>
      </c>
      <c r="M165" s="526">
        <v>120651</v>
      </c>
      <c r="N165" s="526">
        <v>78952</v>
      </c>
      <c r="O165" s="527">
        <v>14.705299999999999</v>
      </c>
      <c r="P165" s="527">
        <v>9.3832000000000004</v>
      </c>
      <c r="Q165" s="531">
        <v>5.3220999999999998</v>
      </c>
      <c r="R165" s="529">
        <f t="shared" ref="R165:BC165" si="329">SUM(R159:R164)</f>
        <v>0</v>
      </c>
      <c r="S165" s="526">
        <f t="shared" si="329"/>
        <v>0</v>
      </c>
      <c r="T165" s="526">
        <f t="shared" si="329"/>
        <v>56368</v>
      </c>
      <c r="U165" s="526">
        <f t="shared" si="329"/>
        <v>0</v>
      </c>
      <c r="V165" s="526">
        <f t="shared" si="329"/>
        <v>0</v>
      </c>
      <c r="W165" s="526">
        <f t="shared" si="329"/>
        <v>0</v>
      </c>
      <c r="X165" s="526">
        <f t="shared" si="329"/>
        <v>56368</v>
      </c>
      <c r="Y165" s="526">
        <f t="shared" si="329"/>
        <v>0</v>
      </c>
      <c r="Z165" s="526">
        <f t="shared" si="329"/>
        <v>0</v>
      </c>
      <c r="AA165" s="526">
        <f t="shared" si="329"/>
        <v>0</v>
      </c>
      <c r="AB165" s="526">
        <f t="shared" si="329"/>
        <v>0</v>
      </c>
      <c r="AC165" s="526">
        <f t="shared" si="329"/>
        <v>56368</v>
      </c>
      <c r="AD165" s="526">
        <f t="shared" si="329"/>
        <v>19052</v>
      </c>
      <c r="AE165" s="526">
        <f t="shared" si="329"/>
        <v>1128</v>
      </c>
      <c r="AF165" s="526">
        <f t="shared" si="329"/>
        <v>0</v>
      </c>
      <c r="AG165" s="526">
        <f t="shared" si="329"/>
        <v>0</v>
      </c>
      <c r="AH165" s="526">
        <f t="shared" si="329"/>
        <v>0</v>
      </c>
      <c r="AI165" s="526">
        <f t="shared" si="329"/>
        <v>76548</v>
      </c>
      <c r="AJ165" s="527">
        <f t="shared" si="329"/>
        <v>0</v>
      </c>
      <c r="AK165" s="527">
        <f t="shared" si="329"/>
        <v>0</v>
      </c>
      <c r="AL165" s="527">
        <f t="shared" si="329"/>
        <v>0</v>
      </c>
      <c r="AM165" s="527">
        <f t="shared" si="329"/>
        <v>0.12</v>
      </c>
      <c r="AN165" s="527">
        <f t="shared" si="329"/>
        <v>-0.01</v>
      </c>
      <c r="AO165" s="527">
        <f t="shared" si="329"/>
        <v>0</v>
      </c>
      <c r="AP165" s="527">
        <f t="shared" si="329"/>
        <v>0</v>
      </c>
      <c r="AQ165" s="527">
        <f t="shared" si="329"/>
        <v>0</v>
      </c>
      <c r="AR165" s="527">
        <f t="shared" si="329"/>
        <v>0.12</v>
      </c>
      <c r="AS165" s="527">
        <f t="shared" si="329"/>
        <v>-0.01</v>
      </c>
      <c r="AT165" s="40">
        <f t="shared" si="329"/>
        <v>0.11</v>
      </c>
      <c r="AU165" s="533">
        <f t="shared" si="329"/>
        <v>8347757</v>
      </c>
      <c r="AV165" s="526">
        <f t="shared" si="329"/>
        <v>6088959</v>
      </c>
      <c r="AW165" s="526">
        <f t="shared" si="329"/>
        <v>0</v>
      </c>
      <c r="AX165" s="526">
        <f t="shared" si="329"/>
        <v>2058067</v>
      </c>
      <c r="AY165" s="526">
        <f t="shared" si="329"/>
        <v>121779</v>
      </c>
      <c r="AZ165" s="526">
        <f t="shared" si="329"/>
        <v>78952</v>
      </c>
      <c r="BA165" s="527">
        <f t="shared" si="329"/>
        <v>14.815300000000001</v>
      </c>
      <c r="BB165" s="527">
        <f t="shared" si="329"/>
        <v>9.5031999999999996</v>
      </c>
      <c r="BC165" s="40">
        <f t="shared" si="329"/>
        <v>5.3121</v>
      </c>
    </row>
    <row r="166" spans="1:55" s="234" customFormat="1" ht="12.75" customHeight="1" x14ac:dyDescent="0.2">
      <c r="A166" s="221">
        <v>30</v>
      </c>
      <c r="B166" s="222">
        <v>4446</v>
      </c>
      <c r="C166" s="222">
        <v>600074587</v>
      </c>
      <c r="D166" s="222">
        <v>70695504</v>
      </c>
      <c r="E166" s="220" t="s">
        <v>833</v>
      </c>
      <c r="F166" s="222">
        <v>3111</v>
      </c>
      <c r="G166" s="172" t="s">
        <v>311</v>
      </c>
      <c r="H166" s="223" t="s">
        <v>277</v>
      </c>
      <c r="I166" s="477">
        <v>1745140</v>
      </c>
      <c r="J166" s="472">
        <v>1275803</v>
      </c>
      <c r="K166" s="472">
        <v>0</v>
      </c>
      <c r="L166" s="472">
        <v>431221</v>
      </c>
      <c r="M166" s="472">
        <v>25516</v>
      </c>
      <c r="N166" s="472">
        <v>12600</v>
      </c>
      <c r="O166" s="473">
        <v>3.1796999999999995</v>
      </c>
      <c r="P166" s="474">
        <v>2.2578999999999998</v>
      </c>
      <c r="Q166" s="483">
        <v>0.92179999999999995</v>
      </c>
      <c r="R166" s="485">
        <f t="shared" ref="R166:R171" si="330">Y166*-1</f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278"/>
        <v>0</v>
      </c>
      <c r="Y166" s="475">
        <v>0</v>
      </c>
      <c r="Z166" s="475">
        <v>0</v>
      </c>
      <c r="AA166" s="475">
        <v>0</v>
      </c>
      <c r="AB166" s="475">
        <f t="shared" ref="AB166:AB171" si="331">SUM(Y166:AA166)</f>
        <v>0</v>
      </c>
      <c r="AC166" s="475">
        <f t="shared" ref="AC166:AC171" si="332">X166+AB166</f>
        <v>0</v>
      </c>
      <c r="AD166" s="70">
        <f t="shared" ref="AD166:AD171" si="333">ROUND((X166+Y166+Z166)*33.8%,0)</f>
        <v>0</v>
      </c>
      <c r="AE166" s="70">
        <f t="shared" ref="AE166:AE171" si="334">ROUND(X166*2%,0)</f>
        <v>0</v>
      </c>
      <c r="AF166" s="475">
        <v>0</v>
      </c>
      <c r="AG166" s="475">
        <v>0</v>
      </c>
      <c r="AH166" s="475">
        <f t="shared" ref="AH166:AH171" si="335">SUM(AF166:AG166)</f>
        <v>0</v>
      </c>
      <c r="AI166" s="475">
        <f t="shared" ref="AI166:AI171" si="336">AC166+AD166+AE166+AH166</f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476">
        <f t="shared" ref="AR166:AR171" si="337">AJ166+AL166+AM166+AO166+AP166</f>
        <v>0</v>
      </c>
      <c r="AS166" s="476">
        <f t="shared" ref="AS166:AS171" si="338">AK166+AN166+AQ166</f>
        <v>0</v>
      </c>
      <c r="AT166" s="478">
        <f t="shared" ref="AT166:AT171" si="339">SUM(AR166:AS166)</f>
        <v>0</v>
      </c>
      <c r="AU166" s="484">
        <f t="shared" ref="AU166:AU171" si="340">I166+AI166</f>
        <v>1745140</v>
      </c>
      <c r="AV166" s="475">
        <f t="shared" ref="AV166:AV171" si="341">J166+X166</f>
        <v>1275803</v>
      </c>
      <c r="AW166" s="475">
        <f t="shared" ref="AW166:AW171" si="342">K166+AB166</f>
        <v>0</v>
      </c>
      <c r="AX166" s="475">
        <f t="shared" ref="AX166:AY171" si="343">L166+AD166</f>
        <v>431221</v>
      </c>
      <c r="AY166" s="475">
        <f t="shared" si="343"/>
        <v>25516</v>
      </c>
      <c r="AZ166" s="475">
        <f t="shared" ref="AZ166:AZ171" si="344">N166+AH166</f>
        <v>12600</v>
      </c>
      <c r="BA166" s="476">
        <f t="shared" ref="BA166:BA171" si="345">O166+AT166</f>
        <v>3.1796999999999995</v>
      </c>
      <c r="BB166" s="476">
        <f t="shared" ref="BB166:BC171" si="346">P166+AR166</f>
        <v>2.2578999999999998</v>
      </c>
      <c r="BC166" s="478">
        <f t="shared" si="346"/>
        <v>0.92179999999999995</v>
      </c>
    </row>
    <row r="167" spans="1:55" s="234" customFormat="1" ht="12.75" customHeight="1" x14ac:dyDescent="0.2">
      <c r="A167" s="221">
        <v>30</v>
      </c>
      <c r="B167" s="222">
        <v>4446</v>
      </c>
      <c r="C167" s="222">
        <v>600074587</v>
      </c>
      <c r="D167" s="222">
        <v>70695504</v>
      </c>
      <c r="E167" s="220" t="s">
        <v>833</v>
      </c>
      <c r="F167" s="222">
        <v>3117</v>
      </c>
      <c r="G167" s="172" t="s">
        <v>314</v>
      </c>
      <c r="H167" s="223" t="s">
        <v>277</v>
      </c>
      <c r="I167" s="477">
        <v>2737233</v>
      </c>
      <c r="J167" s="472">
        <v>1982896</v>
      </c>
      <c r="K167" s="472">
        <v>0</v>
      </c>
      <c r="L167" s="472">
        <v>670219</v>
      </c>
      <c r="M167" s="472">
        <v>39658</v>
      </c>
      <c r="N167" s="472">
        <v>44460</v>
      </c>
      <c r="O167" s="473">
        <v>4.0374999999999996</v>
      </c>
      <c r="P167" s="474">
        <v>2.742</v>
      </c>
      <c r="Q167" s="483">
        <v>1.2955000000000001</v>
      </c>
      <c r="R167" s="485">
        <f t="shared" si="330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278"/>
        <v>0</v>
      </c>
      <c r="Y167" s="475">
        <v>0</v>
      </c>
      <c r="Z167" s="475">
        <v>0</v>
      </c>
      <c r="AA167" s="475">
        <v>0</v>
      </c>
      <c r="AB167" s="475">
        <f t="shared" si="331"/>
        <v>0</v>
      </c>
      <c r="AC167" s="475">
        <f t="shared" si="332"/>
        <v>0</v>
      </c>
      <c r="AD167" s="70">
        <f t="shared" si="333"/>
        <v>0</v>
      </c>
      <c r="AE167" s="70">
        <f t="shared" si="334"/>
        <v>0</v>
      </c>
      <c r="AF167" s="475">
        <v>0</v>
      </c>
      <c r="AG167" s="475">
        <v>0</v>
      </c>
      <c r="AH167" s="475">
        <f t="shared" si="335"/>
        <v>0</v>
      </c>
      <c r="AI167" s="475">
        <f t="shared" si="336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476">
        <f t="shared" si="337"/>
        <v>0</v>
      </c>
      <c r="AS167" s="476">
        <f t="shared" si="338"/>
        <v>0</v>
      </c>
      <c r="AT167" s="478">
        <f t="shared" si="339"/>
        <v>0</v>
      </c>
      <c r="AU167" s="484">
        <f t="shared" si="340"/>
        <v>2737233</v>
      </c>
      <c r="AV167" s="475">
        <f t="shared" si="341"/>
        <v>1982896</v>
      </c>
      <c r="AW167" s="475">
        <f t="shared" si="342"/>
        <v>0</v>
      </c>
      <c r="AX167" s="475">
        <f t="shared" si="343"/>
        <v>670219</v>
      </c>
      <c r="AY167" s="475">
        <f t="shared" si="343"/>
        <v>39658</v>
      </c>
      <c r="AZ167" s="475">
        <f t="shared" si="344"/>
        <v>44460</v>
      </c>
      <c r="BA167" s="476">
        <f t="shared" si="345"/>
        <v>4.0374999999999996</v>
      </c>
      <c r="BB167" s="476">
        <f t="shared" si="346"/>
        <v>2.742</v>
      </c>
      <c r="BC167" s="478">
        <f t="shared" si="346"/>
        <v>1.2955000000000001</v>
      </c>
    </row>
    <row r="168" spans="1:55" s="234" customFormat="1" ht="12.75" customHeight="1" x14ac:dyDescent="0.2">
      <c r="A168" s="221">
        <v>30</v>
      </c>
      <c r="B168" s="222">
        <v>4446</v>
      </c>
      <c r="C168" s="222">
        <v>600074587</v>
      </c>
      <c r="D168" s="222">
        <v>70695504</v>
      </c>
      <c r="E168" s="220" t="s">
        <v>833</v>
      </c>
      <c r="F168" s="222">
        <v>3117</v>
      </c>
      <c r="G168" s="172" t="s">
        <v>312</v>
      </c>
      <c r="H168" s="223" t="s">
        <v>278</v>
      </c>
      <c r="I168" s="477">
        <v>642964</v>
      </c>
      <c r="J168" s="472">
        <v>473464</v>
      </c>
      <c r="K168" s="472">
        <v>0</v>
      </c>
      <c r="L168" s="472">
        <v>160031</v>
      </c>
      <c r="M168" s="472">
        <v>9469</v>
      </c>
      <c r="N168" s="472">
        <v>0</v>
      </c>
      <c r="O168" s="473">
        <v>1.5</v>
      </c>
      <c r="P168" s="474">
        <v>1.5</v>
      </c>
      <c r="Q168" s="483">
        <v>0</v>
      </c>
      <c r="R168" s="485">
        <f t="shared" si="330"/>
        <v>0</v>
      </c>
      <c r="S168" s="475">
        <v>0</v>
      </c>
      <c r="T168" s="475">
        <v>0</v>
      </c>
      <c r="U168" s="475">
        <v>0</v>
      </c>
      <c r="V168" s="475">
        <v>0</v>
      </c>
      <c r="W168" s="475">
        <v>0</v>
      </c>
      <c r="X168" s="475">
        <f t="shared" si="278"/>
        <v>0</v>
      </c>
      <c r="Y168" s="475">
        <v>0</v>
      </c>
      <c r="Z168" s="475">
        <v>0</v>
      </c>
      <c r="AA168" s="475">
        <v>0</v>
      </c>
      <c r="AB168" s="475">
        <f t="shared" si="331"/>
        <v>0</v>
      </c>
      <c r="AC168" s="475">
        <f t="shared" si="332"/>
        <v>0</v>
      </c>
      <c r="AD168" s="70">
        <f t="shared" si="333"/>
        <v>0</v>
      </c>
      <c r="AE168" s="70">
        <f t="shared" si="334"/>
        <v>0</v>
      </c>
      <c r="AF168" s="475">
        <v>0</v>
      </c>
      <c r="AG168" s="475">
        <v>0</v>
      </c>
      <c r="AH168" s="475">
        <f t="shared" si="335"/>
        <v>0</v>
      </c>
      <c r="AI168" s="475">
        <f t="shared" si="336"/>
        <v>0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</v>
      </c>
      <c r="AO168" s="476">
        <v>0</v>
      </c>
      <c r="AP168" s="476">
        <v>0</v>
      </c>
      <c r="AQ168" s="476">
        <v>0</v>
      </c>
      <c r="AR168" s="476">
        <f t="shared" si="337"/>
        <v>0</v>
      </c>
      <c r="AS168" s="476">
        <f t="shared" si="338"/>
        <v>0</v>
      </c>
      <c r="AT168" s="478">
        <f t="shared" si="339"/>
        <v>0</v>
      </c>
      <c r="AU168" s="484">
        <f t="shared" si="340"/>
        <v>642964</v>
      </c>
      <c r="AV168" s="475">
        <f t="shared" si="341"/>
        <v>473464</v>
      </c>
      <c r="AW168" s="475">
        <f t="shared" si="342"/>
        <v>0</v>
      </c>
      <c r="AX168" s="475">
        <f t="shared" si="343"/>
        <v>160031</v>
      </c>
      <c r="AY168" s="475">
        <f t="shared" si="343"/>
        <v>9469</v>
      </c>
      <c r="AZ168" s="475">
        <f t="shared" si="344"/>
        <v>0</v>
      </c>
      <c r="BA168" s="476">
        <f t="shared" si="345"/>
        <v>1.5</v>
      </c>
      <c r="BB168" s="476">
        <f t="shared" si="346"/>
        <v>1.5</v>
      </c>
      <c r="BC168" s="478">
        <f t="shared" si="346"/>
        <v>0</v>
      </c>
    </row>
    <row r="169" spans="1:55" s="234" customFormat="1" ht="12.75" customHeight="1" x14ac:dyDescent="0.2">
      <c r="A169" s="221">
        <v>30</v>
      </c>
      <c r="B169" s="222">
        <v>4446</v>
      </c>
      <c r="C169" s="222">
        <v>600074587</v>
      </c>
      <c r="D169" s="222">
        <v>70695504</v>
      </c>
      <c r="E169" s="220" t="s">
        <v>833</v>
      </c>
      <c r="F169" s="222">
        <v>3141</v>
      </c>
      <c r="G169" s="172" t="s">
        <v>315</v>
      </c>
      <c r="H169" s="223" t="s">
        <v>278</v>
      </c>
      <c r="I169" s="477">
        <v>293936</v>
      </c>
      <c r="J169" s="472">
        <v>215021</v>
      </c>
      <c r="K169" s="472">
        <v>0</v>
      </c>
      <c r="L169" s="472">
        <v>72677</v>
      </c>
      <c r="M169" s="472">
        <v>4300</v>
      </c>
      <c r="N169" s="472">
        <v>1938</v>
      </c>
      <c r="O169" s="473">
        <v>0.68</v>
      </c>
      <c r="P169" s="474">
        <v>0</v>
      </c>
      <c r="Q169" s="483">
        <v>0.68</v>
      </c>
      <c r="R169" s="485">
        <f t="shared" si="330"/>
        <v>0</v>
      </c>
      <c r="S169" s="475">
        <v>0</v>
      </c>
      <c r="T169" s="475">
        <v>-127</v>
      </c>
      <c r="U169" s="475">
        <v>0</v>
      </c>
      <c r="V169" s="475">
        <v>0</v>
      </c>
      <c r="W169" s="475">
        <v>0</v>
      </c>
      <c r="X169" s="475">
        <f t="shared" si="278"/>
        <v>-127</v>
      </c>
      <c r="Y169" s="475">
        <v>0</v>
      </c>
      <c r="Z169" s="475">
        <v>0</v>
      </c>
      <c r="AA169" s="475">
        <v>0</v>
      </c>
      <c r="AB169" s="475">
        <f t="shared" si="331"/>
        <v>0</v>
      </c>
      <c r="AC169" s="475">
        <f t="shared" si="332"/>
        <v>-127</v>
      </c>
      <c r="AD169" s="70">
        <f t="shared" si="333"/>
        <v>-43</v>
      </c>
      <c r="AE169" s="70">
        <f t="shared" si="334"/>
        <v>-3</v>
      </c>
      <c r="AF169" s="475">
        <v>0</v>
      </c>
      <c r="AG169" s="475">
        <v>0</v>
      </c>
      <c r="AH169" s="475">
        <f t="shared" si="335"/>
        <v>0</v>
      </c>
      <c r="AI169" s="475">
        <f t="shared" si="336"/>
        <v>-173</v>
      </c>
      <c r="AJ169" s="476">
        <v>0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476">
        <f t="shared" si="337"/>
        <v>0</v>
      </c>
      <c r="AS169" s="476">
        <f t="shared" si="338"/>
        <v>0</v>
      </c>
      <c r="AT169" s="478">
        <f t="shared" si="339"/>
        <v>0</v>
      </c>
      <c r="AU169" s="484">
        <f t="shared" si="340"/>
        <v>293763</v>
      </c>
      <c r="AV169" s="475">
        <f t="shared" si="341"/>
        <v>214894</v>
      </c>
      <c r="AW169" s="475">
        <f t="shared" si="342"/>
        <v>0</v>
      </c>
      <c r="AX169" s="475">
        <f t="shared" si="343"/>
        <v>72634</v>
      </c>
      <c r="AY169" s="475">
        <f t="shared" si="343"/>
        <v>4297</v>
      </c>
      <c r="AZ169" s="475">
        <f t="shared" si="344"/>
        <v>1938</v>
      </c>
      <c r="BA169" s="476">
        <f t="shared" si="345"/>
        <v>0.68</v>
      </c>
      <c r="BB169" s="476">
        <f t="shared" si="346"/>
        <v>0</v>
      </c>
      <c r="BC169" s="478">
        <f t="shared" si="346"/>
        <v>0.68</v>
      </c>
    </row>
    <row r="170" spans="1:55" s="234" customFormat="1" ht="12.75" customHeight="1" x14ac:dyDescent="0.2">
      <c r="A170" s="221">
        <v>30</v>
      </c>
      <c r="B170" s="222">
        <v>4446</v>
      </c>
      <c r="C170" s="222">
        <v>600074587</v>
      </c>
      <c r="D170" s="222">
        <v>70695504</v>
      </c>
      <c r="E170" s="220" t="s">
        <v>833</v>
      </c>
      <c r="F170" s="222">
        <v>3143</v>
      </c>
      <c r="G170" s="172" t="s">
        <v>626</v>
      </c>
      <c r="H170" s="239" t="s">
        <v>277</v>
      </c>
      <c r="I170" s="477">
        <v>646126</v>
      </c>
      <c r="J170" s="472">
        <v>475792</v>
      </c>
      <c r="K170" s="472">
        <v>0</v>
      </c>
      <c r="L170" s="472">
        <v>160818</v>
      </c>
      <c r="M170" s="472">
        <v>9516</v>
      </c>
      <c r="N170" s="472">
        <v>0</v>
      </c>
      <c r="O170" s="473">
        <v>1.0955999999999999</v>
      </c>
      <c r="P170" s="474">
        <v>1.0955999999999999</v>
      </c>
      <c r="Q170" s="483">
        <v>0</v>
      </c>
      <c r="R170" s="485">
        <f t="shared" si="330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278"/>
        <v>0</v>
      </c>
      <c r="Y170" s="475">
        <v>0</v>
      </c>
      <c r="Z170" s="475">
        <v>0</v>
      </c>
      <c r="AA170" s="475">
        <v>0</v>
      </c>
      <c r="AB170" s="475">
        <f t="shared" si="331"/>
        <v>0</v>
      </c>
      <c r="AC170" s="475">
        <f t="shared" si="332"/>
        <v>0</v>
      </c>
      <c r="AD170" s="70">
        <f t="shared" si="333"/>
        <v>0</v>
      </c>
      <c r="AE170" s="70">
        <f t="shared" si="334"/>
        <v>0</v>
      </c>
      <c r="AF170" s="475">
        <v>0</v>
      </c>
      <c r="AG170" s="475">
        <v>0</v>
      </c>
      <c r="AH170" s="475">
        <f t="shared" si="335"/>
        <v>0</v>
      </c>
      <c r="AI170" s="475">
        <f t="shared" si="336"/>
        <v>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 t="shared" si="337"/>
        <v>0</v>
      </c>
      <c r="AS170" s="476">
        <f t="shared" si="338"/>
        <v>0</v>
      </c>
      <c r="AT170" s="478">
        <f t="shared" si="339"/>
        <v>0</v>
      </c>
      <c r="AU170" s="484">
        <f t="shared" si="340"/>
        <v>646126</v>
      </c>
      <c r="AV170" s="475">
        <f t="shared" si="341"/>
        <v>475792</v>
      </c>
      <c r="AW170" s="475">
        <f t="shared" si="342"/>
        <v>0</v>
      </c>
      <c r="AX170" s="475">
        <f t="shared" si="343"/>
        <v>160818</v>
      </c>
      <c r="AY170" s="475">
        <f t="shared" si="343"/>
        <v>9516</v>
      </c>
      <c r="AZ170" s="475">
        <f t="shared" si="344"/>
        <v>0</v>
      </c>
      <c r="BA170" s="476">
        <f t="shared" si="345"/>
        <v>1.0955999999999999</v>
      </c>
      <c r="BB170" s="476">
        <f t="shared" si="346"/>
        <v>1.0955999999999999</v>
      </c>
      <c r="BC170" s="478">
        <f t="shared" si="346"/>
        <v>0</v>
      </c>
    </row>
    <row r="171" spans="1:55" s="234" customFormat="1" ht="12.75" customHeight="1" x14ac:dyDescent="0.2">
      <c r="A171" s="221">
        <v>30</v>
      </c>
      <c r="B171" s="222">
        <v>4446</v>
      </c>
      <c r="C171" s="222">
        <v>600074587</v>
      </c>
      <c r="D171" s="222">
        <v>70695504</v>
      </c>
      <c r="E171" s="220" t="s">
        <v>833</v>
      </c>
      <c r="F171" s="222">
        <v>3143</v>
      </c>
      <c r="G171" s="172" t="s">
        <v>627</v>
      </c>
      <c r="H171" s="239" t="s">
        <v>278</v>
      </c>
      <c r="I171" s="477">
        <v>16631</v>
      </c>
      <c r="J171" s="472">
        <v>11761</v>
      </c>
      <c r="K171" s="472">
        <v>0</v>
      </c>
      <c r="L171" s="472">
        <v>3975</v>
      </c>
      <c r="M171" s="472">
        <v>235</v>
      </c>
      <c r="N171" s="472">
        <v>660</v>
      </c>
      <c r="O171" s="473">
        <v>0.05</v>
      </c>
      <c r="P171" s="474">
        <v>0</v>
      </c>
      <c r="Q171" s="483">
        <v>0.05</v>
      </c>
      <c r="R171" s="485">
        <f t="shared" si="330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 t="shared" si="278"/>
        <v>0</v>
      </c>
      <c r="Y171" s="475">
        <v>0</v>
      </c>
      <c r="Z171" s="475">
        <v>0</v>
      </c>
      <c r="AA171" s="475">
        <v>0</v>
      </c>
      <c r="AB171" s="475">
        <f t="shared" si="331"/>
        <v>0</v>
      </c>
      <c r="AC171" s="475">
        <f t="shared" si="332"/>
        <v>0</v>
      </c>
      <c r="AD171" s="70">
        <f t="shared" si="333"/>
        <v>0</v>
      </c>
      <c r="AE171" s="70">
        <f t="shared" si="334"/>
        <v>0</v>
      </c>
      <c r="AF171" s="475">
        <v>0</v>
      </c>
      <c r="AG171" s="475">
        <v>0</v>
      </c>
      <c r="AH171" s="475">
        <f t="shared" si="335"/>
        <v>0</v>
      </c>
      <c r="AI171" s="475">
        <f t="shared" si="336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476">
        <f t="shared" si="337"/>
        <v>0</v>
      </c>
      <c r="AS171" s="476">
        <f t="shared" si="338"/>
        <v>0</v>
      </c>
      <c r="AT171" s="478">
        <f t="shared" si="339"/>
        <v>0</v>
      </c>
      <c r="AU171" s="484">
        <f t="shared" si="340"/>
        <v>16631</v>
      </c>
      <c r="AV171" s="475">
        <f t="shared" si="341"/>
        <v>11761</v>
      </c>
      <c r="AW171" s="475">
        <f t="shared" si="342"/>
        <v>0</v>
      </c>
      <c r="AX171" s="475">
        <f t="shared" si="343"/>
        <v>3975</v>
      </c>
      <c r="AY171" s="475">
        <f t="shared" si="343"/>
        <v>235</v>
      </c>
      <c r="AZ171" s="475">
        <f t="shared" si="344"/>
        <v>660</v>
      </c>
      <c r="BA171" s="476">
        <f t="shared" si="345"/>
        <v>0.05</v>
      </c>
      <c r="BB171" s="476">
        <f t="shared" si="346"/>
        <v>0</v>
      </c>
      <c r="BC171" s="478">
        <f t="shared" si="346"/>
        <v>0.05</v>
      </c>
    </row>
    <row r="172" spans="1:55" s="234" customFormat="1" ht="12.75" customHeight="1" x14ac:dyDescent="0.2">
      <c r="A172" s="162">
        <v>30</v>
      </c>
      <c r="B172" s="18">
        <v>4446</v>
      </c>
      <c r="C172" s="18">
        <v>600074587</v>
      </c>
      <c r="D172" s="18">
        <v>70695504</v>
      </c>
      <c r="E172" s="171" t="s">
        <v>207</v>
      </c>
      <c r="F172" s="18"/>
      <c r="G172" s="161"/>
      <c r="H172" s="195"/>
      <c r="I172" s="529">
        <v>6082030</v>
      </c>
      <c r="J172" s="526">
        <v>4434737</v>
      </c>
      <c r="K172" s="526">
        <v>0</v>
      </c>
      <c r="L172" s="526">
        <v>1498941</v>
      </c>
      <c r="M172" s="526">
        <v>88694</v>
      </c>
      <c r="N172" s="526">
        <v>59658</v>
      </c>
      <c r="O172" s="527">
        <v>10.542799999999998</v>
      </c>
      <c r="P172" s="527">
        <v>7.5955000000000004</v>
      </c>
      <c r="Q172" s="531">
        <v>2.9472999999999998</v>
      </c>
      <c r="R172" s="529">
        <f t="shared" ref="R172:BC172" si="347">SUM(R166:R171)</f>
        <v>0</v>
      </c>
      <c r="S172" s="526">
        <f t="shared" si="347"/>
        <v>0</v>
      </c>
      <c r="T172" s="526">
        <f t="shared" si="347"/>
        <v>-127</v>
      </c>
      <c r="U172" s="526">
        <f t="shared" si="347"/>
        <v>0</v>
      </c>
      <c r="V172" s="526">
        <f t="shared" si="347"/>
        <v>0</v>
      </c>
      <c r="W172" s="526">
        <f t="shared" si="347"/>
        <v>0</v>
      </c>
      <c r="X172" s="526">
        <f t="shared" si="347"/>
        <v>-127</v>
      </c>
      <c r="Y172" s="526">
        <f t="shared" si="347"/>
        <v>0</v>
      </c>
      <c r="Z172" s="526">
        <f t="shared" si="347"/>
        <v>0</v>
      </c>
      <c r="AA172" s="526">
        <f t="shared" si="347"/>
        <v>0</v>
      </c>
      <c r="AB172" s="526">
        <f t="shared" si="347"/>
        <v>0</v>
      </c>
      <c r="AC172" s="526">
        <f t="shared" si="347"/>
        <v>-127</v>
      </c>
      <c r="AD172" s="526">
        <f t="shared" si="347"/>
        <v>-43</v>
      </c>
      <c r="AE172" s="526">
        <f t="shared" si="347"/>
        <v>-3</v>
      </c>
      <c r="AF172" s="526">
        <f t="shared" si="347"/>
        <v>0</v>
      </c>
      <c r="AG172" s="526">
        <f t="shared" si="347"/>
        <v>0</v>
      </c>
      <c r="AH172" s="526">
        <f t="shared" si="347"/>
        <v>0</v>
      </c>
      <c r="AI172" s="526">
        <f t="shared" si="347"/>
        <v>-173</v>
      </c>
      <c r="AJ172" s="527">
        <f t="shared" si="347"/>
        <v>0</v>
      </c>
      <c r="AK172" s="527">
        <f t="shared" si="347"/>
        <v>0</v>
      </c>
      <c r="AL172" s="527">
        <f t="shared" si="347"/>
        <v>0</v>
      </c>
      <c r="AM172" s="527">
        <f t="shared" si="347"/>
        <v>0</v>
      </c>
      <c r="AN172" s="527">
        <f t="shared" si="347"/>
        <v>0</v>
      </c>
      <c r="AO172" s="527">
        <f t="shared" si="347"/>
        <v>0</v>
      </c>
      <c r="AP172" s="527">
        <f t="shared" si="347"/>
        <v>0</v>
      </c>
      <c r="AQ172" s="527">
        <f t="shared" si="347"/>
        <v>0</v>
      </c>
      <c r="AR172" s="527">
        <f t="shared" si="347"/>
        <v>0</v>
      </c>
      <c r="AS172" s="527">
        <f t="shared" si="347"/>
        <v>0</v>
      </c>
      <c r="AT172" s="40">
        <f t="shared" si="347"/>
        <v>0</v>
      </c>
      <c r="AU172" s="533">
        <f t="shared" si="347"/>
        <v>6081857</v>
      </c>
      <c r="AV172" s="526">
        <f t="shared" si="347"/>
        <v>4434610</v>
      </c>
      <c r="AW172" s="526">
        <f t="shared" si="347"/>
        <v>0</v>
      </c>
      <c r="AX172" s="526">
        <f t="shared" si="347"/>
        <v>1498898</v>
      </c>
      <c r="AY172" s="526">
        <f t="shared" si="347"/>
        <v>88691</v>
      </c>
      <c r="AZ172" s="526">
        <f t="shared" si="347"/>
        <v>59658</v>
      </c>
      <c r="BA172" s="527">
        <f t="shared" si="347"/>
        <v>10.542799999999998</v>
      </c>
      <c r="BB172" s="527">
        <f t="shared" si="347"/>
        <v>7.5955000000000004</v>
      </c>
      <c r="BC172" s="40">
        <f t="shared" si="347"/>
        <v>2.9472999999999998</v>
      </c>
    </row>
    <row r="173" spans="1:55" s="234" customFormat="1" ht="12.75" customHeight="1" x14ac:dyDescent="0.2">
      <c r="A173" s="221">
        <v>31</v>
      </c>
      <c r="B173" s="222">
        <v>4431</v>
      </c>
      <c r="C173" s="222">
        <v>600074820</v>
      </c>
      <c r="D173" s="222">
        <v>70981515</v>
      </c>
      <c r="E173" s="220" t="s">
        <v>208</v>
      </c>
      <c r="F173" s="222">
        <v>3111</v>
      </c>
      <c r="G173" s="172" t="s">
        <v>311</v>
      </c>
      <c r="H173" s="223" t="s">
        <v>277</v>
      </c>
      <c r="I173" s="477">
        <v>3345296</v>
      </c>
      <c r="J173" s="472">
        <v>2438966</v>
      </c>
      <c r="K173" s="472">
        <v>10000</v>
      </c>
      <c r="L173" s="472">
        <v>827751</v>
      </c>
      <c r="M173" s="472">
        <v>48779</v>
      </c>
      <c r="N173" s="472">
        <v>19800</v>
      </c>
      <c r="O173" s="473">
        <v>5.3096999999999994</v>
      </c>
      <c r="P173" s="474">
        <v>4.2878999999999996</v>
      </c>
      <c r="Q173" s="483">
        <v>1.0218</v>
      </c>
      <c r="R173" s="485">
        <f t="shared" ref="R173:R178" si="348">Y173*-1</f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si="278"/>
        <v>0</v>
      </c>
      <c r="Y173" s="475">
        <v>0</v>
      </c>
      <c r="Z173" s="475">
        <v>0</v>
      </c>
      <c r="AA173" s="475">
        <v>0</v>
      </c>
      <c r="AB173" s="475">
        <f t="shared" ref="AB173:AB178" si="349">SUM(Y173:AA173)</f>
        <v>0</v>
      </c>
      <c r="AC173" s="475">
        <f t="shared" ref="AC173:AC178" si="350">X173+AB173</f>
        <v>0</v>
      </c>
      <c r="AD173" s="70">
        <f t="shared" ref="AD173:AD178" si="351">ROUND((X173+Y173+Z173)*33.8%,0)</f>
        <v>0</v>
      </c>
      <c r="AE173" s="70">
        <f t="shared" ref="AE173:AE178" si="352">ROUND(X173*2%,0)</f>
        <v>0</v>
      </c>
      <c r="AF173" s="475">
        <v>0</v>
      </c>
      <c r="AG173" s="475">
        <v>0</v>
      </c>
      <c r="AH173" s="475">
        <f t="shared" ref="AH173:AH178" si="353">SUM(AF173:AG173)</f>
        <v>0</v>
      </c>
      <c r="AI173" s="475">
        <f t="shared" ref="AI173:AI178" si="354">AC173+AD173+AE173+AH173</f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 t="shared" ref="AR173:AR178" si="355">AJ173+AL173+AM173+AO173+AP173</f>
        <v>0</v>
      </c>
      <c r="AS173" s="476">
        <f t="shared" ref="AS173:AS178" si="356">AK173+AN173+AQ173</f>
        <v>0</v>
      </c>
      <c r="AT173" s="478">
        <f t="shared" ref="AT173:AT178" si="357">SUM(AR173:AS173)</f>
        <v>0</v>
      </c>
      <c r="AU173" s="484">
        <f t="shared" ref="AU173:AU178" si="358">I173+AI173</f>
        <v>3345296</v>
      </c>
      <c r="AV173" s="475">
        <f t="shared" ref="AV173:AV178" si="359">J173+X173</f>
        <v>2438966</v>
      </c>
      <c r="AW173" s="475">
        <f t="shared" ref="AW173:AW178" si="360">K173+AB173</f>
        <v>10000</v>
      </c>
      <c r="AX173" s="475">
        <f t="shared" ref="AX173:AY178" si="361">L173+AD173</f>
        <v>827751</v>
      </c>
      <c r="AY173" s="475">
        <f t="shared" si="361"/>
        <v>48779</v>
      </c>
      <c r="AZ173" s="475">
        <f t="shared" ref="AZ173:AZ178" si="362">N173+AH173</f>
        <v>19800</v>
      </c>
      <c r="BA173" s="476">
        <f t="shared" ref="BA173:BA178" si="363">O173+AT173</f>
        <v>5.3096999999999994</v>
      </c>
      <c r="BB173" s="476">
        <f t="shared" ref="BB173:BC178" si="364">P173+AR173</f>
        <v>4.2878999999999996</v>
      </c>
      <c r="BC173" s="478">
        <f t="shared" si="364"/>
        <v>1.0218</v>
      </c>
    </row>
    <row r="174" spans="1:55" s="234" customFormat="1" ht="12.75" customHeight="1" x14ac:dyDescent="0.2">
      <c r="A174" s="221">
        <v>31</v>
      </c>
      <c r="B174" s="222">
        <v>4431</v>
      </c>
      <c r="C174" s="222">
        <v>600074820</v>
      </c>
      <c r="D174" s="222">
        <v>70981515</v>
      </c>
      <c r="E174" s="220" t="s">
        <v>208</v>
      </c>
      <c r="F174" s="222">
        <v>3117</v>
      </c>
      <c r="G174" s="172" t="s">
        <v>314</v>
      </c>
      <c r="H174" s="223" t="s">
        <v>277</v>
      </c>
      <c r="I174" s="477">
        <v>4146140</v>
      </c>
      <c r="J174" s="472">
        <v>2958159</v>
      </c>
      <c r="K174" s="472">
        <v>33760</v>
      </c>
      <c r="L174" s="472">
        <v>1011268</v>
      </c>
      <c r="M174" s="472">
        <v>59163</v>
      </c>
      <c r="N174" s="472">
        <v>83790</v>
      </c>
      <c r="O174" s="473">
        <v>5.7770999999999999</v>
      </c>
      <c r="P174" s="474">
        <v>3.9466000000000001</v>
      </c>
      <c r="Q174" s="483">
        <v>1.8304999999999998</v>
      </c>
      <c r="R174" s="485">
        <f t="shared" si="348"/>
        <v>0</v>
      </c>
      <c r="S174" s="475">
        <v>0</v>
      </c>
      <c r="T174" s="475">
        <v>101980</v>
      </c>
      <c r="U174" s="475">
        <v>0</v>
      </c>
      <c r="V174" s="475">
        <v>0</v>
      </c>
      <c r="W174" s="475">
        <v>0</v>
      </c>
      <c r="X174" s="475">
        <f t="shared" si="278"/>
        <v>101980</v>
      </c>
      <c r="Y174" s="475">
        <v>0</v>
      </c>
      <c r="Z174" s="475">
        <v>0</v>
      </c>
      <c r="AA174" s="475">
        <v>0</v>
      </c>
      <c r="AB174" s="475">
        <f t="shared" si="349"/>
        <v>0</v>
      </c>
      <c r="AC174" s="475">
        <f t="shared" si="350"/>
        <v>101980</v>
      </c>
      <c r="AD174" s="70">
        <f t="shared" si="351"/>
        <v>34469</v>
      </c>
      <c r="AE174" s="70">
        <f t="shared" si="352"/>
        <v>2040</v>
      </c>
      <c r="AF174" s="475">
        <v>0</v>
      </c>
      <c r="AG174" s="475">
        <v>0</v>
      </c>
      <c r="AH174" s="475">
        <f t="shared" si="353"/>
        <v>0</v>
      </c>
      <c r="AI174" s="475">
        <f t="shared" si="354"/>
        <v>138489</v>
      </c>
      <c r="AJ174" s="476">
        <v>0</v>
      </c>
      <c r="AK174" s="476">
        <v>0</v>
      </c>
      <c r="AL174" s="476">
        <v>0</v>
      </c>
      <c r="AM174" s="476">
        <v>0.21</v>
      </c>
      <c r="AN174" s="476">
        <v>0</v>
      </c>
      <c r="AO174" s="476">
        <v>0</v>
      </c>
      <c r="AP174" s="476">
        <v>0</v>
      </c>
      <c r="AQ174" s="476">
        <v>0</v>
      </c>
      <c r="AR174" s="476">
        <f t="shared" si="355"/>
        <v>0.21</v>
      </c>
      <c r="AS174" s="476">
        <f t="shared" si="356"/>
        <v>0</v>
      </c>
      <c r="AT174" s="478">
        <f t="shared" si="357"/>
        <v>0.21</v>
      </c>
      <c r="AU174" s="484">
        <f t="shared" si="358"/>
        <v>4284629</v>
      </c>
      <c r="AV174" s="475">
        <f t="shared" si="359"/>
        <v>3060139</v>
      </c>
      <c r="AW174" s="475">
        <f t="shared" si="360"/>
        <v>33760</v>
      </c>
      <c r="AX174" s="475">
        <f t="shared" si="361"/>
        <v>1045737</v>
      </c>
      <c r="AY174" s="475">
        <f t="shared" si="361"/>
        <v>61203</v>
      </c>
      <c r="AZ174" s="475">
        <f t="shared" si="362"/>
        <v>83790</v>
      </c>
      <c r="BA174" s="476">
        <f t="shared" si="363"/>
        <v>5.9870999999999999</v>
      </c>
      <c r="BB174" s="476">
        <f t="shared" si="364"/>
        <v>4.1566000000000001</v>
      </c>
      <c r="BC174" s="478">
        <f t="shared" si="364"/>
        <v>1.8304999999999998</v>
      </c>
    </row>
    <row r="175" spans="1:55" s="234" customFormat="1" ht="12.75" customHeight="1" x14ac:dyDescent="0.2">
      <c r="A175" s="221">
        <v>31</v>
      </c>
      <c r="B175" s="222">
        <v>4431</v>
      </c>
      <c r="C175" s="222">
        <v>600074820</v>
      </c>
      <c r="D175" s="222">
        <v>70981515</v>
      </c>
      <c r="E175" s="220" t="s">
        <v>208</v>
      </c>
      <c r="F175" s="222">
        <v>3117</v>
      </c>
      <c r="G175" s="172" t="s">
        <v>312</v>
      </c>
      <c r="H175" s="223" t="s">
        <v>278</v>
      </c>
      <c r="I175" s="477">
        <v>774805</v>
      </c>
      <c r="J175" s="472">
        <v>567787</v>
      </c>
      <c r="K175" s="472">
        <v>0</v>
      </c>
      <c r="L175" s="472">
        <v>191912</v>
      </c>
      <c r="M175" s="472">
        <v>11356</v>
      </c>
      <c r="N175" s="472">
        <v>3750</v>
      </c>
      <c r="O175" s="473">
        <v>1.64</v>
      </c>
      <c r="P175" s="474">
        <v>1.64</v>
      </c>
      <c r="Q175" s="483">
        <v>0</v>
      </c>
      <c r="R175" s="485">
        <f t="shared" si="348"/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 t="shared" si="278"/>
        <v>0</v>
      </c>
      <c r="Y175" s="475">
        <v>0</v>
      </c>
      <c r="Z175" s="475">
        <v>0</v>
      </c>
      <c r="AA175" s="475">
        <v>0</v>
      </c>
      <c r="AB175" s="475">
        <f t="shared" si="349"/>
        <v>0</v>
      </c>
      <c r="AC175" s="475">
        <f t="shared" si="350"/>
        <v>0</v>
      </c>
      <c r="AD175" s="70">
        <f t="shared" si="351"/>
        <v>0</v>
      </c>
      <c r="AE175" s="70">
        <f t="shared" si="352"/>
        <v>0</v>
      </c>
      <c r="AF175" s="475">
        <v>0</v>
      </c>
      <c r="AG175" s="475">
        <v>0</v>
      </c>
      <c r="AH175" s="475">
        <f t="shared" si="353"/>
        <v>0</v>
      </c>
      <c r="AI175" s="475">
        <f t="shared" si="354"/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476">
        <f t="shared" si="355"/>
        <v>0</v>
      </c>
      <c r="AS175" s="476">
        <f t="shared" si="356"/>
        <v>0</v>
      </c>
      <c r="AT175" s="478">
        <f t="shared" si="357"/>
        <v>0</v>
      </c>
      <c r="AU175" s="484">
        <f t="shared" si="358"/>
        <v>774805</v>
      </c>
      <c r="AV175" s="475">
        <f t="shared" si="359"/>
        <v>567787</v>
      </c>
      <c r="AW175" s="475">
        <f t="shared" si="360"/>
        <v>0</v>
      </c>
      <c r="AX175" s="475">
        <f t="shared" si="361"/>
        <v>191912</v>
      </c>
      <c r="AY175" s="475">
        <f t="shared" si="361"/>
        <v>11356</v>
      </c>
      <c r="AZ175" s="475">
        <f t="shared" si="362"/>
        <v>3750</v>
      </c>
      <c r="BA175" s="476">
        <f t="shared" si="363"/>
        <v>1.64</v>
      </c>
      <c r="BB175" s="476">
        <f t="shared" si="364"/>
        <v>1.64</v>
      </c>
      <c r="BC175" s="478">
        <f t="shared" si="364"/>
        <v>0</v>
      </c>
    </row>
    <row r="176" spans="1:55" s="234" customFormat="1" ht="12.75" customHeight="1" x14ac:dyDescent="0.2">
      <c r="A176" s="221">
        <v>31</v>
      </c>
      <c r="B176" s="222">
        <v>4431</v>
      </c>
      <c r="C176" s="222">
        <v>600074820</v>
      </c>
      <c r="D176" s="222">
        <v>70981515</v>
      </c>
      <c r="E176" s="220" t="s">
        <v>208</v>
      </c>
      <c r="F176" s="222">
        <v>3141</v>
      </c>
      <c r="G176" s="172" t="s">
        <v>315</v>
      </c>
      <c r="H176" s="223" t="s">
        <v>278</v>
      </c>
      <c r="I176" s="477">
        <v>1085792</v>
      </c>
      <c r="J176" s="472">
        <v>779173</v>
      </c>
      <c r="K176" s="472">
        <v>17000</v>
      </c>
      <c r="L176" s="472">
        <v>269106</v>
      </c>
      <c r="M176" s="472">
        <v>15583</v>
      </c>
      <c r="N176" s="472">
        <v>4930</v>
      </c>
      <c r="O176" s="473">
        <v>2.4899999999999998</v>
      </c>
      <c r="P176" s="474">
        <v>0</v>
      </c>
      <c r="Q176" s="483">
        <v>2.4899999999999998</v>
      </c>
      <c r="R176" s="485">
        <f t="shared" si="348"/>
        <v>0</v>
      </c>
      <c r="S176" s="475">
        <v>0</v>
      </c>
      <c r="T176" s="475">
        <v>17580</v>
      </c>
      <c r="U176" s="475">
        <v>0</v>
      </c>
      <c r="V176" s="475">
        <v>0</v>
      </c>
      <c r="W176" s="475">
        <v>0</v>
      </c>
      <c r="X176" s="475">
        <f t="shared" si="278"/>
        <v>17580</v>
      </c>
      <c r="Y176" s="475">
        <v>0</v>
      </c>
      <c r="Z176" s="475">
        <v>0</v>
      </c>
      <c r="AA176" s="475">
        <v>0</v>
      </c>
      <c r="AB176" s="475">
        <f t="shared" si="349"/>
        <v>0</v>
      </c>
      <c r="AC176" s="475">
        <f t="shared" si="350"/>
        <v>17580</v>
      </c>
      <c r="AD176" s="70">
        <f t="shared" si="351"/>
        <v>5942</v>
      </c>
      <c r="AE176" s="70">
        <f t="shared" si="352"/>
        <v>352</v>
      </c>
      <c r="AF176" s="475">
        <v>0</v>
      </c>
      <c r="AG176" s="475">
        <v>0</v>
      </c>
      <c r="AH176" s="475">
        <f t="shared" si="353"/>
        <v>0</v>
      </c>
      <c r="AI176" s="475">
        <f t="shared" si="354"/>
        <v>23874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0.05</v>
      </c>
      <c r="AO176" s="476">
        <v>0</v>
      </c>
      <c r="AP176" s="476">
        <v>0</v>
      </c>
      <c r="AQ176" s="476">
        <v>0</v>
      </c>
      <c r="AR176" s="476">
        <f t="shared" si="355"/>
        <v>0</v>
      </c>
      <c r="AS176" s="476">
        <f t="shared" si="356"/>
        <v>0.05</v>
      </c>
      <c r="AT176" s="478">
        <f t="shared" si="357"/>
        <v>0.05</v>
      </c>
      <c r="AU176" s="484">
        <f t="shared" si="358"/>
        <v>1109666</v>
      </c>
      <c r="AV176" s="475">
        <f t="shared" si="359"/>
        <v>796753</v>
      </c>
      <c r="AW176" s="475">
        <f t="shared" si="360"/>
        <v>17000</v>
      </c>
      <c r="AX176" s="475">
        <f t="shared" si="361"/>
        <v>275048</v>
      </c>
      <c r="AY176" s="475">
        <f t="shared" si="361"/>
        <v>15935</v>
      </c>
      <c r="AZ176" s="475">
        <f t="shared" si="362"/>
        <v>4930</v>
      </c>
      <c r="BA176" s="476">
        <f t="shared" si="363"/>
        <v>2.5399999999999996</v>
      </c>
      <c r="BB176" s="476">
        <f t="shared" si="364"/>
        <v>0</v>
      </c>
      <c r="BC176" s="478">
        <f t="shared" si="364"/>
        <v>2.5399999999999996</v>
      </c>
    </row>
    <row r="177" spans="1:55" s="234" customFormat="1" ht="12.75" customHeight="1" x14ac:dyDescent="0.2">
      <c r="A177" s="221">
        <v>31</v>
      </c>
      <c r="B177" s="222">
        <v>4431</v>
      </c>
      <c r="C177" s="222">
        <v>600074820</v>
      </c>
      <c r="D177" s="222">
        <v>70981515</v>
      </c>
      <c r="E177" s="220" t="s">
        <v>208</v>
      </c>
      <c r="F177" s="222">
        <v>3143</v>
      </c>
      <c r="G177" s="172" t="s">
        <v>626</v>
      </c>
      <c r="H177" s="239" t="s">
        <v>277</v>
      </c>
      <c r="I177" s="477">
        <v>679788</v>
      </c>
      <c r="J177" s="472">
        <v>500580</v>
      </c>
      <c r="K177" s="472">
        <v>0</v>
      </c>
      <c r="L177" s="472">
        <v>169196</v>
      </c>
      <c r="M177" s="472">
        <v>10012</v>
      </c>
      <c r="N177" s="472">
        <v>0</v>
      </c>
      <c r="O177" s="473">
        <v>1.1428</v>
      </c>
      <c r="P177" s="474">
        <v>1.1428</v>
      </c>
      <c r="Q177" s="483">
        <v>0</v>
      </c>
      <c r="R177" s="485">
        <f t="shared" si="348"/>
        <v>0</v>
      </c>
      <c r="S177" s="475">
        <v>0</v>
      </c>
      <c r="T177" s="475">
        <v>56943</v>
      </c>
      <c r="U177" s="475">
        <v>0</v>
      </c>
      <c r="V177" s="475">
        <v>0</v>
      </c>
      <c r="W177" s="475">
        <v>0</v>
      </c>
      <c r="X177" s="475">
        <f t="shared" si="278"/>
        <v>56943</v>
      </c>
      <c r="Y177" s="475">
        <v>0</v>
      </c>
      <c r="Z177" s="475">
        <v>0</v>
      </c>
      <c r="AA177" s="475">
        <v>0</v>
      </c>
      <c r="AB177" s="475">
        <f t="shared" si="349"/>
        <v>0</v>
      </c>
      <c r="AC177" s="475">
        <f t="shared" si="350"/>
        <v>56943</v>
      </c>
      <c r="AD177" s="70">
        <f t="shared" si="351"/>
        <v>19247</v>
      </c>
      <c r="AE177" s="70">
        <f t="shared" si="352"/>
        <v>1139</v>
      </c>
      <c r="AF177" s="475">
        <v>0</v>
      </c>
      <c r="AG177" s="475">
        <v>0</v>
      </c>
      <c r="AH177" s="475">
        <f t="shared" si="353"/>
        <v>0</v>
      </c>
      <c r="AI177" s="475">
        <f t="shared" si="354"/>
        <v>77329</v>
      </c>
      <c r="AJ177" s="476">
        <v>0</v>
      </c>
      <c r="AK177" s="476">
        <v>0</v>
      </c>
      <c r="AL177" s="476">
        <v>0</v>
      </c>
      <c r="AM177" s="476">
        <v>0.13</v>
      </c>
      <c r="AN177" s="476">
        <v>0</v>
      </c>
      <c r="AO177" s="476">
        <v>0</v>
      </c>
      <c r="AP177" s="476">
        <v>0</v>
      </c>
      <c r="AQ177" s="476">
        <v>0</v>
      </c>
      <c r="AR177" s="476">
        <f t="shared" si="355"/>
        <v>0.13</v>
      </c>
      <c r="AS177" s="476">
        <f t="shared" si="356"/>
        <v>0</v>
      </c>
      <c r="AT177" s="478">
        <f t="shared" si="357"/>
        <v>0.13</v>
      </c>
      <c r="AU177" s="484">
        <f t="shared" si="358"/>
        <v>757117</v>
      </c>
      <c r="AV177" s="475">
        <f t="shared" si="359"/>
        <v>557523</v>
      </c>
      <c r="AW177" s="475">
        <f t="shared" si="360"/>
        <v>0</v>
      </c>
      <c r="AX177" s="475">
        <f t="shared" si="361"/>
        <v>188443</v>
      </c>
      <c r="AY177" s="475">
        <f t="shared" si="361"/>
        <v>11151</v>
      </c>
      <c r="AZ177" s="475">
        <f t="shared" si="362"/>
        <v>0</v>
      </c>
      <c r="BA177" s="476">
        <f t="shared" si="363"/>
        <v>1.2728000000000002</v>
      </c>
      <c r="BB177" s="476">
        <f t="shared" si="364"/>
        <v>1.2728000000000002</v>
      </c>
      <c r="BC177" s="478">
        <f t="shared" si="364"/>
        <v>0</v>
      </c>
    </row>
    <row r="178" spans="1:55" s="234" customFormat="1" ht="12.75" customHeight="1" x14ac:dyDescent="0.2">
      <c r="A178" s="221">
        <v>31</v>
      </c>
      <c r="B178" s="222">
        <v>4431</v>
      </c>
      <c r="C178" s="222">
        <v>600074820</v>
      </c>
      <c r="D178" s="222">
        <v>70981515</v>
      </c>
      <c r="E178" s="220" t="s">
        <v>208</v>
      </c>
      <c r="F178" s="222">
        <v>3143</v>
      </c>
      <c r="G178" s="172" t="s">
        <v>627</v>
      </c>
      <c r="H178" s="239" t="s">
        <v>278</v>
      </c>
      <c r="I178" s="477">
        <v>18899</v>
      </c>
      <c r="J178" s="472">
        <v>13365</v>
      </c>
      <c r="K178" s="472">
        <v>0</v>
      </c>
      <c r="L178" s="472">
        <v>4517</v>
      </c>
      <c r="M178" s="472">
        <v>267</v>
      </c>
      <c r="N178" s="472">
        <v>750</v>
      </c>
      <c r="O178" s="473">
        <v>0.05</v>
      </c>
      <c r="P178" s="474">
        <v>0</v>
      </c>
      <c r="Q178" s="483">
        <v>0.05</v>
      </c>
      <c r="R178" s="485">
        <f t="shared" si="348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278"/>
        <v>0</v>
      </c>
      <c r="Y178" s="475">
        <v>0</v>
      </c>
      <c r="Z178" s="475">
        <v>0</v>
      </c>
      <c r="AA178" s="475">
        <v>0</v>
      </c>
      <c r="AB178" s="475">
        <f t="shared" si="349"/>
        <v>0</v>
      </c>
      <c r="AC178" s="475">
        <f t="shared" si="350"/>
        <v>0</v>
      </c>
      <c r="AD178" s="70">
        <f t="shared" si="351"/>
        <v>0</v>
      </c>
      <c r="AE178" s="70">
        <f t="shared" si="352"/>
        <v>0</v>
      </c>
      <c r="AF178" s="475">
        <v>0</v>
      </c>
      <c r="AG178" s="475">
        <v>0</v>
      </c>
      <c r="AH178" s="475">
        <f t="shared" si="353"/>
        <v>0</v>
      </c>
      <c r="AI178" s="475">
        <f t="shared" si="354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 t="shared" si="355"/>
        <v>0</v>
      </c>
      <c r="AS178" s="476">
        <f t="shared" si="356"/>
        <v>0</v>
      </c>
      <c r="AT178" s="478">
        <f t="shared" si="357"/>
        <v>0</v>
      </c>
      <c r="AU178" s="484">
        <f t="shared" si="358"/>
        <v>18899</v>
      </c>
      <c r="AV178" s="475">
        <f t="shared" si="359"/>
        <v>13365</v>
      </c>
      <c r="AW178" s="475">
        <f t="shared" si="360"/>
        <v>0</v>
      </c>
      <c r="AX178" s="475">
        <f t="shared" si="361"/>
        <v>4517</v>
      </c>
      <c r="AY178" s="475">
        <f t="shared" si="361"/>
        <v>267</v>
      </c>
      <c r="AZ178" s="475">
        <f t="shared" si="362"/>
        <v>750</v>
      </c>
      <c r="BA178" s="476">
        <f t="shared" si="363"/>
        <v>0.05</v>
      </c>
      <c r="BB178" s="476">
        <f t="shared" si="364"/>
        <v>0</v>
      </c>
      <c r="BC178" s="478">
        <f t="shared" si="364"/>
        <v>0.05</v>
      </c>
    </row>
    <row r="179" spans="1:55" s="234" customFormat="1" ht="12.75" customHeight="1" x14ac:dyDescent="0.2">
      <c r="A179" s="162">
        <v>31</v>
      </c>
      <c r="B179" s="18">
        <v>4431</v>
      </c>
      <c r="C179" s="18">
        <v>600074820</v>
      </c>
      <c r="D179" s="18">
        <v>70981515</v>
      </c>
      <c r="E179" s="171" t="s">
        <v>209</v>
      </c>
      <c r="F179" s="18"/>
      <c r="G179" s="161"/>
      <c r="H179" s="195"/>
      <c r="I179" s="528">
        <v>10050720</v>
      </c>
      <c r="J179" s="524">
        <v>7258030</v>
      </c>
      <c r="K179" s="524">
        <v>60760</v>
      </c>
      <c r="L179" s="524">
        <v>2473750</v>
      </c>
      <c r="M179" s="524">
        <v>145160</v>
      </c>
      <c r="N179" s="524">
        <v>113020</v>
      </c>
      <c r="O179" s="525">
        <v>16.409600000000001</v>
      </c>
      <c r="P179" s="525">
        <v>11.017300000000001</v>
      </c>
      <c r="Q179" s="530">
        <v>5.3922999999999996</v>
      </c>
      <c r="R179" s="528">
        <f t="shared" ref="R179:BC179" si="365">SUM(R173:R178)</f>
        <v>0</v>
      </c>
      <c r="S179" s="524">
        <f t="shared" si="365"/>
        <v>0</v>
      </c>
      <c r="T179" s="524">
        <f t="shared" si="365"/>
        <v>176503</v>
      </c>
      <c r="U179" s="524">
        <f t="shared" si="365"/>
        <v>0</v>
      </c>
      <c r="V179" s="524">
        <f t="shared" si="365"/>
        <v>0</v>
      </c>
      <c r="W179" s="524">
        <f t="shared" si="365"/>
        <v>0</v>
      </c>
      <c r="X179" s="524">
        <f t="shared" si="365"/>
        <v>176503</v>
      </c>
      <c r="Y179" s="524">
        <f t="shared" si="365"/>
        <v>0</v>
      </c>
      <c r="Z179" s="524">
        <f t="shared" si="365"/>
        <v>0</v>
      </c>
      <c r="AA179" s="524">
        <f t="shared" si="365"/>
        <v>0</v>
      </c>
      <c r="AB179" s="524">
        <f t="shared" si="365"/>
        <v>0</v>
      </c>
      <c r="AC179" s="524">
        <f t="shared" si="365"/>
        <v>176503</v>
      </c>
      <c r="AD179" s="524">
        <f t="shared" si="365"/>
        <v>59658</v>
      </c>
      <c r="AE179" s="524">
        <f t="shared" si="365"/>
        <v>3531</v>
      </c>
      <c r="AF179" s="524">
        <f t="shared" si="365"/>
        <v>0</v>
      </c>
      <c r="AG179" s="524">
        <f t="shared" si="365"/>
        <v>0</v>
      </c>
      <c r="AH179" s="524">
        <f t="shared" si="365"/>
        <v>0</v>
      </c>
      <c r="AI179" s="524">
        <f t="shared" si="365"/>
        <v>239692</v>
      </c>
      <c r="AJ179" s="525">
        <f t="shared" si="365"/>
        <v>0</v>
      </c>
      <c r="AK179" s="525">
        <f t="shared" si="365"/>
        <v>0</v>
      </c>
      <c r="AL179" s="525">
        <f t="shared" si="365"/>
        <v>0</v>
      </c>
      <c r="AM179" s="525">
        <f t="shared" si="365"/>
        <v>0.33999999999999997</v>
      </c>
      <c r="AN179" s="525">
        <f t="shared" si="365"/>
        <v>0.05</v>
      </c>
      <c r="AO179" s="525">
        <f t="shared" si="365"/>
        <v>0</v>
      </c>
      <c r="AP179" s="525">
        <f t="shared" si="365"/>
        <v>0</v>
      </c>
      <c r="AQ179" s="525">
        <f t="shared" si="365"/>
        <v>0</v>
      </c>
      <c r="AR179" s="525">
        <f t="shared" si="365"/>
        <v>0.33999999999999997</v>
      </c>
      <c r="AS179" s="525">
        <f t="shared" si="365"/>
        <v>0.05</v>
      </c>
      <c r="AT179" s="41">
        <f t="shared" si="365"/>
        <v>0.39</v>
      </c>
      <c r="AU179" s="532">
        <f t="shared" si="365"/>
        <v>10290412</v>
      </c>
      <c r="AV179" s="524">
        <f t="shared" si="365"/>
        <v>7434533</v>
      </c>
      <c r="AW179" s="524">
        <f t="shared" si="365"/>
        <v>60760</v>
      </c>
      <c r="AX179" s="524">
        <f t="shared" si="365"/>
        <v>2533408</v>
      </c>
      <c r="AY179" s="524">
        <f t="shared" si="365"/>
        <v>148691</v>
      </c>
      <c r="AZ179" s="524">
        <f t="shared" si="365"/>
        <v>113020</v>
      </c>
      <c r="BA179" s="525">
        <f t="shared" si="365"/>
        <v>16.799600000000002</v>
      </c>
      <c r="BB179" s="525">
        <f t="shared" si="365"/>
        <v>11.3573</v>
      </c>
      <c r="BC179" s="41">
        <f t="shared" si="365"/>
        <v>5.4422999999999986</v>
      </c>
    </row>
    <row r="180" spans="1:55" s="234" customFormat="1" ht="12.75" customHeight="1" x14ac:dyDescent="0.2">
      <c r="A180" s="221">
        <v>32</v>
      </c>
      <c r="B180" s="222">
        <v>4416</v>
      </c>
      <c r="C180" s="222">
        <v>600074153</v>
      </c>
      <c r="D180" s="222">
        <v>71013105</v>
      </c>
      <c r="E180" s="220" t="s">
        <v>210</v>
      </c>
      <c r="F180" s="222">
        <v>3111</v>
      </c>
      <c r="G180" s="172" t="s">
        <v>311</v>
      </c>
      <c r="H180" s="223" t="s">
        <v>277</v>
      </c>
      <c r="I180" s="477">
        <v>3545826</v>
      </c>
      <c r="J180" s="472">
        <v>2596484</v>
      </c>
      <c r="K180" s="472">
        <v>0</v>
      </c>
      <c r="L180" s="472">
        <v>877612</v>
      </c>
      <c r="M180" s="472">
        <v>51930</v>
      </c>
      <c r="N180" s="472">
        <v>19800</v>
      </c>
      <c r="O180" s="473">
        <v>5.8494000000000002</v>
      </c>
      <c r="P180" s="474">
        <v>4.3596000000000004</v>
      </c>
      <c r="Q180" s="483">
        <v>1.4898</v>
      </c>
      <c r="R180" s="485">
        <f t="shared" ref="R180:R184" si="366">Y180*-1</f>
        <v>0</v>
      </c>
      <c r="S180" s="475">
        <v>0</v>
      </c>
      <c r="T180" s="475">
        <v>0</v>
      </c>
      <c r="U180" s="475">
        <v>0</v>
      </c>
      <c r="V180" s="475">
        <v>0</v>
      </c>
      <c r="W180" s="475">
        <v>0</v>
      </c>
      <c r="X180" s="475">
        <f t="shared" si="278"/>
        <v>0</v>
      </c>
      <c r="Y180" s="475">
        <v>0</v>
      </c>
      <c r="Z180" s="475">
        <v>0</v>
      </c>
      <c r="AA180" s="475">
        <v>0</v>
      </c>
      <c r="AB180" s="475">
        <f t="shared" ref="AB180:AB184" si="367">SUM(Y180:AA180)</f>
        <v>0</v>
      </c>
      <c r="AC180" s="475">
        <f>X180+AB180</f>
        <v>0</v>
      </c>
      <c r="AD180" s="70">
        <f>ROUND((X180+Y180+Z180)*33.8%,0)</f>
        <v>0</v>
      </c>
      <c r="AE180" s="70">
        <f>ROUND(X180*2%,0)</f>
        <v>0</v>
      </c>
      <c r="AF180" s="475">
        <v>0</v>
      </c>
      <c r="AG180" s="475">
        <v>0</v>
      </c>
      <c r="AH180" s="475">
        <f t="shared" ref="AH180:AH184" si="368">SUM(AF180:AG180)</f>
        <v>0</v>
      </c>
      <c r="AI180" s="475">
        <f t="shared" ref="AI180:AI184" si="369">AC180+AD180+AE180+AH180</f>
        <v>0</v>
      </c>
      <c r="AJ180" s="476">
        <v>0</v>
      </c>
      <c r="AK180" s="476">
        <v>0</v>
      </c>
      <c r="AL180" s="476">
        <v>0</v>
      </c>
      <c r="AM180" s="476">
        <v>0</v>
      </c>
      <c r="AN180" s="476">
        <v>0</v>
      </c>
      <c r="AO180" s="476">
        <v>0</v>
      </c>
      <c r="AP180" s="476">
        <v>0</v>
      </c>
      <c r="AQ180" s="476">
        <v>0</v>
      </c>
      <c r="AR180" s="476">
        <f>AJ180+AL180+AM180+AO180+AP180</f>
        <v>0</v>
      </c>
      <c r="AS180" s="476">
        <f>AK180+AN180+AQ180</f>
        <v>0</v>
      </c>
      <c r="AT180" s="478">
        <f t="shared" ref="AT180:AT184" si="370">SUM(AR180:AS180)</f>
        <v>0</v>
      </c>
      <c r="AU180" s="484">
        <f>I180+AI180</f>
        <v>3545826</v>
      </c>
      <c r="AV180" s="475">
        <f>J180+X180</f>
        <v>2596484</v>
      </c>
      <c r="AW180" s="475">
        <f>K180+AB180</f>
        <v>0</v>
      </c>
      <c r="AX180" s="475">
        <f t="shared" ref="AX180:AY184" si="371">L180+AD180</f>
        <v>877612</v>
      </c>
      <c r="AY180" s="475">
        <f t="shared" si="371"/>
        <v>51930</v>
      </c>
      <c r="AZ180" s="475">
        <f>N180+AH180</f>
        <v>19800</v>
      </c>
      <c r="BA180" s="476">
        <f>O180+AT180</f>
        <v>5.8494000000000002</v>
      </c>
      <c r="BB180" s="476">
        <f t="shared" ref="BB180:BC184" si="372">P180+AR180</f>
        <v>4.3596000000000004</v>
      </c>
      <c r="BC180" s="478">
        <f t="shared" si="372"/>
        <v>1.4898</v>
      </c>
    </row>
    <row r="181" spans="1:55" s="234" customFormat="1" ht="12.75" customHeight="1" x14ac:dyDescent="0.2">
      <c r="A181" s="221">
        <v>32</v>
      </c>
      <c r="B181" s="222">
        <v>4416</v>
      </c>
      <c r="C181" s="222">
        <v>600074153</v>
      </c>
      <c r="D181" s="222">
        <v>71013105</v>
      </c>
      <c r="E181" s="220" t="s">
        <v>210</v>
      </c>
      <c r="F181" s="222">
        <v>3111</v>
      </c>
      <c r="G181" s="172" t="s">
        <v>312</v>
      </c>
      <c r="H181" s="223" t="s">
        <v>278</v>
      </c>
      <c r="I181" s="477">
        <v>940941</v>
      </c>
      <c r="J181" s="472">
        <v>692887</v>
      </c>
      <c r="K181" s="472">
        <v>0</v>
      </c>
      <c r="L181" s="472">
        <v>234196</v>
      </c>
      <c r="M181" s="472">
        <v>13858</v>
      </c>
      <c r="N181" s="472">
        <v>0</v>
      </c>
      <c r="O181" s="473">
        <v>2</v>
      </c>
      <c r="P181" s="474">
        <v>2</v>
      </c>
      <c r="Q181" s="483">
        <v>0</v>
      </c>
      <c r="R181" s="485">
        <f t="shared" si="366"/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si="278"/>
        <v>0</v>
      </c>
      <c r="Y181" s="475">
        <v>0</v>
      </c>
      <c r="Z181" s="475">
        <v>0</v>
      </c>
      <c r="AA181" s="475">
        <v>0</v>
      </c>
      <c r="AB181" s="475">
        <f t="shared" si="367"/>
        <v>0</v>
      </c>
      <c r="AC181" s="475">
        <f>X181+AB181</f>
        <v>0</v>
      </c>
      <c r="AD181" s="70">
        <f>ROUND((X181+Y181+Z181)*33.8%,0)</f>
        <v>0</v>
      </c>
      <c r="AE181" s="70">
        <f>ROUND(X181*2%,0)</f>
        <v>0</v>
      </c>
      <c r="AF181" s="475">
        <v>0</v>
      </c>
      <c r="AG181" s="475">
        <v>0</v>
      </c>
      <c r="AH181" s="475">
        <f t="shared" si="368"/>
        <v>0</v>
      </c>
      <c r="AI181" s="475">
        <f t="shared" si="369"/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>AJ181+AL181+AM181+AO181+AP181</f>
        <v>0</v>
      </c>
      <c r="AS181" s="476">
        <f>AK181+AN181+AQ181</f>
        <v>0</v>
      </c>
      <c r="AT181" s="478">
        <f t="shared" si="370"/>
        <v>0</v>
      </c>
      <c r="AU181" s="484">
        <f>I181+AI181</f>
        <v>940941</v>
      </c>
      <c r="AV181" s="475">
        <f>J181+X181</f>
        <v>692887</v>
      </c>
      <c r="AW181" s="475">
        <f>K181+AB181</f>
        <v>0</v>
      </c>
      <c r="AX181" s="475">
        <f t="shared" si="371"/>
        <v>234196</v>
      </c>
      <c r="AY181" s="475">
        <f t="shared" si="371"/>
        <v>13858</v>
      </c>
      <c r="AZ181" s="475">
        <f>N181+AH181</f>
        <v>0</v>
      </c>
      <c r="BA181" s="476">
        <f>O181+AT181</f>
        <v>2</v>
      </c>
      <c r="BB181" s="476">
        <f t="shared" si="372"/>
        <v>2</v>
      </c>
      <c r="BC181" s="478">
        <f t="shared" si="372"/>
        <v>0</v>
      </c>
    </row>
    <row r="182" spans="1:55" s="234" customFormat="1" ht="12.75" customHeight="1" x14ac:dyDescent="0.2">
      <c r="A182" s="221">
        <v>32</v>
      </c>
      <c r="B182" s="222">
        <v>4416</v>
      </c>
      <c r="C182" s="222">
        <v>600074153</v>
      </c>
      <c r="D182" s="222">
        <v>71013105</v>
      </c>
      <c r="E182" s="215" t="s">
        <v>210</v>
      </c>
      <c r="F182" s="222">
        <v>3141</v>
      </c>
      <c r="G182" s="172" t="s">
        <v>315</v>
      </c>
      <c r="H182" s="223" t="s">
        <v>278</v>
      </c>
      <c r="I182" s="477">
        <v>641893</v>
      </c>
      <c r="J182" s="472">
        <v>470753</v>
      </c>
      <c r="K182" s="472">
        <v>0</v>
      </c>
      <c r="L182" s="472">
        <v>159115</v>
      </c>
      <c r="M182" s="472">
        <v>9415</v>
      </c>
      <c r="N182" s="472">
        <v>2610</v>
      </c>
      <c r="O182" s="473">
        <v>1.48</v>
      </c>
      <c r="P182" s="474">
        <v>0</v>
      </c>
      <c r="Q182" s="483">
        <v>1.48</v>
      </c>
      <c r="R182" s="485">
        <f t="shared" si="366"/>
        <v>0</v>
      </c>
      <c r="S182" s="475">
        <v>0</v>
      </c>
      <c r="T182" s="475">
        <v>-7856</v>
      </c>
      <c r="U182" s="475">
        <v>0</v>
      </c>
      <c r="V182" s="475">
        <v>0</v>
      </c>
      <c r="W182" s="475">
        <v>0</v>
      </c>
      <c r="X182" s="475">
        <f t="shared" si="278"/>
        <v>-7856</v>
      </c>
      <c r="Y182" s="475">
        <v>0</v>
      </c>
      <c r="Z182" s="475">
        <v>0</v>
      </c>
      <c r="AA182" s="475">
        <v>0</v>
      </c>
      <c r="AB182" s="475">
        <f t="shared" si="367"/>
        <v>0</v>
      </c>
      <c r="AC182" s="475">
        <f>X182+AB182</f>
        <v>-7856</v>
      </c>
      <c r="AD182" s="70">
        <f>ROUND((X182+Y182+Z182)*33.8%,0)</f>
        <v>-2655</v>
      </c>
      <c r="AE182" s="70">
        <f>ROUND(X182*2%,0)</f>
        <v>-157</v>
      </c>
      <c r="AF182" s="475">
        <v>0</v>
      </c>
      <c r="AG182" s="475">
        <v>0</v>
      </c>
      <c r="AH182" s="475">
        <f t="shared" si="368"/>
        <v>0</v>
      </c>
      <c r="AI182" s="475">
        <f t="shared" si="369"/>
        <v>-10668</v>
      </c>
      <c r="AJ182" s="476">
        <v>0</v>
      </c>
      <c r="AK182" s="476">
        <v>0</v>
      </c>
      <c r="AL182" s="476">
        <v>0</v>
      </c>
      <c r="AM182" s="476">
        <v>0</v>
      </c>
      <c r="AN182" s="476">
        <v>-0.02</v>
      </c>
      <c r="AO182" s="476">
        <v>0</v>
      </c>
      <c r="AP182" s="476">
        <v>0</v>
      </c>
      <c r="AQ182" s="476">
        <v>0</v>
      </c>
      <c r="AR182" s="476">
        <f>AJ182+AL182+AM182+AO182+AP182</f>
        <v>0</v>
      </c>
      <c r="AS182" s="476">
        <f>AK182+AN182+AQ182</f>
        <v>-0.02</v>
      </c>
      <c r="AT182" s="478">
        <f t="shared" si="370"/>
        <v>-0.02</v>
      </c>
      <c r="AU182" s="484">
        <f>I182+AI182</f>
        <v>631225</v>
      </c>
      <c r="AV182" s="475">
        <f>J182+X182</f>
        <v>462897</v>
      </c>
      <c r="AW182" s="475">
        <f>K182+AB182</f>
        <v>0</v>
      </c>
      <c r="AX182" s="475">
        <f t="shared" si="371"/>
        <v>156460</v>
      </c>
      <c r="AY182" s="475">
        <f t="shared" si="371"/>
        <v>9258</v>
      </c>
      <c r="AZ182" s="475">
        <f>N182+AH182</f>
        <v>2610</v>
      </c>
      <c r="BA182" s="476">
        <f>O182+AT182</f>
        <v>1.46</v>
      </c>
      <c r="BB182" s="476">
        <f t="shared" si="372"/>
        <v>0</v>
      </c>
      <c r="BC182" s="478">
        <f t="shared" si="372"/>
        <v>1.46</v>
      </c>
    </row>
    <row r="183" spans="1:55" s="234" customFormat="1" ht="12.75" customHeight="1" x14ac:dyDescent="0.2">
      <c r="A183" s="221">
        <v>32</v>
      </c>
      <c r="B183" s="222">
        <v>4416</v>
      </c>
      <c r="C183" s="222">
        <v>600074153</v>
      </c>
      <c r="D183" s="222">
        <v>71013105</v>
      </c>
      <c r="E183" s="220" t="s">
        <v>210</v>
      </c>
      <c r="F183" s="222">
        <v>3143</v>
      </c>
      <c r="G183" s="172" t="s">
        <v>626</v>
      </c>
      <c r="H183" s="239" t="s">
        <v>277</v>
      </c>
      <c r="I183" s="477">
        <v>992999</v>
      </c>
      <c r="J183" s="472">
        <v>731222</v>
      </c>
      <c r="K183" s="472">
        <v>0</v>
      </c>
      <c r="L183" s="472">
        <v>247153</v>
      </c>
      <c r="M183" s="472">
        <v>14624</v>
      </c>
      <c r="N183" s="472">
        <v>0</v>
      </c>
      <c r="O183" s="473">
        <v>1.7666999999999999</v>
      </c>
      <c r="P183" s="474">
        <v>1.7666999999999999</v>
      </c>
      <c r="Q183" s="483">
        <v>0</v>
      </c>
      <c r="R183" s="485">
        <f t="shared" si="366"/>
        <v>0</v>
      </c>
      <c r="S183" s="475">
        <v>0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278"/>
        <v>0</v>
      </c>
      <c r="Y183" s="475">
        <v>0</v>
      </c>
      <c r="Z183" s="475">
        <v>0</v>
      </c>
      <c r="AA183" s="475">
        <v>0</v>
      </c>
      <c r="AB183" s="475">
        <f t="shared" si="367"/>
        <v>0</v>
      </c>
      <c r="AC183" s="475">
        <f>X183+AB183</f>
        <v>0</v>
      </c>
      <c r="AD183" s="70">
        <f>ROUND((X183+Y183+Z183)*33.8%,0)</f>
        <v>0</v>
      </c>
      <c r="AE183" s="70">
        <f>ROUND(X183*2%,0)</f>
        <v>0</v>
      </c>
      <c r="AF183" s="475">
        <v>0</v>
      </c>
      <c r="AG183" s="475">
        <v>0</v>
      </c>
      <c r="AH183" s="475">
        <f t="shared" si="368"/>
        <v>0</v>
      </c>
      <c r="AI183" s="475">
        <f t="shared" si="369"/>
        <v>0</v>
      </c>
      <c r="AJ183" s="476">
        <v>0</v>
      </c>
      <c r="AK183" s="476">
        <v>0</v>
      </c>
      <c r="AL183" s="476">
        <v>0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>AJ183+AL183+AM183+AO183+AP183</f>
        <v>0</v>
      </c>
      <c r="AS183" s="476">
        <f>AK183+AN183+AQ183</f>
        <v>0</v>
      </c>
      <c r="AT183" s="478">
        <f t="shared" si="370"/>
        <v>0</v>
      </c>
      <c r="AU183" s="484">
        <f>I183+AI183</f>
        <v>992999</v>
      </c>
      <c r="AV183" s="475">
        <f>J183+X183</f>
        <v>731222</v>
      </c>
      <c r="AW183" s="475">
        <f>K183+AB183</f>
        <v>0</v>
      </c>
      <c r="AX183" s="475">
        <f t="shared" si="371"/>
        <v>247153</v>
      </c>
      <c r="AY183" s="475">
        <f t="shared" si="371"/>
        <v>14624</v>
      </c>
      <c r="AZ183" s="475">
        <f>N183+AH183</f>
        <v>0</v>
      </c>
      <c r="BA183" s="476">
        <f>O183+AT183</f>
        <v>1.7666999999999999</v>
      </c>
      <c r="BB183" s="476">
        <f t="shared" si="372"/>
        <v>1.7666999999999999</v>
      </c>
      <c r="BC183" s="478">
        <f t="shared" si="372"/>
        <v>0</v>
      </c>
    </row>
    <row r="184" spans="1:55" s="234" customFormat="1" ht="12.75" customHeight="1" x14ac:dyDescent="0.2">
      <c r="A184" s="221">
        <v>32</v>
      </c>
      <c r="B184" s="222">
        <v>4416</v>
      </c>
      <c r="C184" s="222">
        <v>600074153</v>
      </c>
      <c r="D184" s="222">
        <v>71013105</v>
      </c>
      <c r="E184" s="220" t="s">
        <v>210</v>
      </c>
      <c r="F184" s="222">
        <v>3143</v>
      </c>
      <c r="G184" s="172" t="s">
        <v>627</v>
      </c>
      <c r="H184" s="239" t="s">
        <v>278</v>
      </c>
      <c r="I184" s="477">
        <v>30240</v>
      </c>
      <c r="J184" s="472">
        <v>21384</v>
      </c>
      <c r="K184" s="472">
        <v>0</v>
      </c>
      <c r="L184" s="472">
        <v>7228</v>
      </c>
      <c r="M184" s="472">
        <v>428</v>
      </c>
      <c r="N184" s="472">
        <v>1200</v>
      </c>
      <c r="O184" s="473">
        <v>0.08</v>
      </c>
      <c r="P184" s="474">
        <v>0</v>
      </c>
      <c r="Q184" s="483">
        <v>0.08</v>
      </c>
      <c r="R184" s="485">
        <f t="shared" si="366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 t="shared" si="278"/>
        <v>0</v>
      </c>
      <c r="Y184" s="475">
        <v>0</v>
      </c>
      <c r="Z184" s="475">
        <v>0</v>
      </c>
      <c r="AA184" s="475">
        <v>0</v>
      </c>
      <c r="AB184" s="475">
        <f t="shared" si="367"/>
        <v>0</v>
      </c>
      <c r="AC184" s="475">
        <f>X184+AB184</f>
        <v>0</v>
      </c>
      <c r="AD184" s="70">
        <f>ROUND((X184+Y184+Z184)*33.8%,0)</f>
        <v>0</v>
      </c>
      <c r="AE184" s="70">
        <f>ROUND(X184*2%,0)</f>
        <v>0</v>
      </c>
      <c r="AF184" s="475">
        <v>0</v>
      </c>
      <c r="AG184" s="475">
        <v>0</v>
      </c>
      <c r="AH184" s="475">
        <f t="shared" si="368"/>
        <v>0</v>
      </c>
      <c r="AI184" s="475">
        <f t="shared" si="369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476">
        <f>AJ184+AL184+AM184+AO184+AP184</f>
        <v>0</v>
      </c>
      <c r="AS184" s="476">
        <f>AK184+AN184+AQ184</f>
        <v>0</v>
      </c>
      <c r="AT184" s="478">
        <f t="shared" si="370"/>
        <v>0</v>
      </c>
      <c r="AU184" s="484">
        <f>I184+AI184</f>
        <v>30240</v>
      </c>
      <c r="AV184" s="475">
        <f>J184+X184</f>
        <v>21384</v>
      </c>
      <c r="AW184" s="475">
        <f>K184+AB184</f>
        <v>0</v>
      </c>
      <c r="AX184" s="475">
        <f t="shared" si="371"/>
        <v>7228</v>
      </c>
      <c r="AY184" s="475">
        <f t="shared" si="371"/>
        <v>428</v>
      </c>
      <c r="AZ184" s="475">
        <f>N184+AH184</f>
        <v>1200</v>
      </c>
      <c r="BA184" s="476">
        <f>O184+AT184</f>
        <v>0.08</v>
      </c>
      <c r="BB184" s="476">
        <f t="shared" si="372"/>
        <v>0</v>
      </c>
      <c r="BC184" s="478">
        <f t="shared" si="372"/>
        <v>0.08</v>
      </c>
    </row>
    <row r="185" spans="1:55" s="234" customFormat="1" ht="12.75" customHeight="1" x14ac:dyDescent="0.2">
      <c r="A185" s="162">
        <v>32</v>
      </c>
      <c r="B185" s="18">
        <v>4416</v>
      </c>
      <c r="C185" s="18">
        <v>600074153</v>
      </c>
      <c r="D185" s="18">
        <v>71013105</v>
      </c>
      <c r="E185" s="171" t="s">
        <v>211</v>
      </c>
      <c r="F185" s="18"/>
      <c r="G185" s="161"/>
      <c r="H185" s="195"/>
      <c r="I185" s="529">
        <v>6151899</v>
      </c>
      <c r="J185" s="526">
        <v>4512730</v>
      </c>
      <c r="K185" s="526">
        <v>0</v>
      </c>
      <c r="L185" s="526">
        <v>1525304</v>
      </c>
      <c r="M185" s="526">
        <v>90255</v>
      </c>
      <c r="N185" s="526">
        <v>23610</v>
      </c>
      <c r="O185" s="527">
        <v>11.1761</v>
      </c>
      <c r="P185" s="527">
        <v>8.1263000000000005</v>
      </c>
      <c r="Q185" s="531">
        <v>3.0498000000000003</v>
      </c>
      <c r="R185" s="529">
        <f t="shared" ref="R185:BC185" si="373">SUM(R180:R184)</f>
        <v>0</v>
      </c>
      <c r="S185" s="526">
        <f t="shared" si="373"/>
        <v>0</v>
      </c>
      <c r="T185" s="526">
        <f t="shared" si="373"/>
        <v>-7856</v>
      </c>
      <c r="U185" s="526">
        <f t="shared" si="373"/>
        <v>0</v>
      </c>
      <c r="V185" s="526">
        <f t="shared" si="373"/>
        <v>0</v>
      </c>
      <c r="W185" s="526">
        <f t="shared" si="373"/>
        <v>0</v>
      </c>
      <c r="X185" s="526">
        <f t="shared" si="373"/>
        <v>-7856</v>
      </c>
      <c r="Y185" s="526">
        <f t="shared" si="373"/>
        <v>0</v>
      </c>
      <c r="Z185" s="526">
        <f t="shared" si="373"/>
        <v>0</v>
      </c>
      <c r="AA185" s="526">
        <f t="shared" si="373"/>
        <v>0</v>
      </c>
      <c r="AB185" s="526">
        <f t="shared" si="373"/>
        <v>0</v>
      </c>
      <c r="AC185" s="526">
        <f t="shared" si="373"/>
        <v>-7856</v>
      </c>
      <c r="AD185" s="526">
        <f t="shared" si="373"/>
        <v>-2655</v>
      </c>
      <c r="AE185" s="526">
        <f t="shared" si="373"/>
        <v>-157</v>
      </c>
      <c r="AF185" s="526">
        <f t="shared" si="373"/>
        <v>0</v>
      </c>
      <c r="AG185" s="526">
        <f t="shared" si="373"/>
        <v>0</v>
      </c>
      <c r="AH185" s="526">
        <f t="shared" si="373"/>
        <v>0</v>
      </c>
      <c r="AI185" s="526">
        <f t="shared" si="373"/>
        <v>-10668</v>
      </c>
      <c r="AJ185" s="527">
        <f t="shared" si="373"/>
        <v>0</v>
      </c>
      <c r="AK185" s="527">
        <f t="shared" si="373"/>
        <v>0</v>
      </c>
      <c r="AL185" s="527">
        <f t="shared" si="373"/>
        <v>0</v>
      </c>
      <c r="AM185" s="527">
        <f t="shared" si="373"/>
        <v>0</v>
      </c>
      <c r="AN185" s="527">
        <f t="shared" si="373"/>
        <v>-0.02</v>
      </c>
      <c r="AO185" s="527">
        <f t="shared" si="373"/>
        <v>0</v>
      </c>
      <c r="AP185" s="527">
        <f t="shared" si="373"/>
        <v>0</v>
      </c>
      <c r="AQ185" s="527">
        <f t="shared" si="373"/>
        <v>0</v>
      </c>
      <c r="AR185" s="527">
        <f t="shared" si="373"/>
        <v>0</v>
      </c>
      <c r="AS185" s="527">
        <f t="shared" si="373"/>
        <v>-0.02</v>
      </c>
      <c r="AT185" s="40">
        <f t="shared" si="373"/>
        <v>-0.02</v>
      </c>
      <c r="AU185" s="533">
        <f t="shared" si="373"/>
        <v>6141231</v>
      </c>
      <c r="AV185" s="526">
        <f t="shared" si="373"/>
        <v>4504874</v>
      </c>
      <c r="AW185" s="526">
        <f t="shared" si="373"/>
        <v>0</v>
      </c>
      <c r="AX185" s="526">
        <f t="shared" si="373"/>
        <v>1522649</v>
      </c>
      <c r="AY185" s="526">
        <f t="shared" si="373"/>
        <v>90098</v>
      </c>
      <c r="AZ185" s="526">
        <f t="shared" si="373"/>
        <v>23610</v>
      </c>
      <c r="BA185" s="527">
        <f t="shared" si="373"/>
        <v>11.1561</v>
      </c>
      <c r="BB185" s="527">
        <f t="shared" si="373"/>
        <v>8.1263000000000005</v>
      </c>
      <c r="BC185" s="40">
        <f t="shared" si="373"/>
        <v>3.0297999999999998</v>
      </c>
    </row>
    <row r="186" spans="1:55" s="234" customFormat="1" ht="12.75" customHeight="1" x14ac:dyDescent="0.2">
      <c r="A186" s="221">
        <v>33</v>
      </c>
      <c r="B186" s="222">
        <v>4447</v>
      </c>
      <c r="C186" s="222">
        <v>600074749</v>
      </c>
      <c r="D186" s="222">
        <v>70695962</v>
      </c>
      <c r="E186" s="220" t="s">
        <v>212</v>
      </c>
      <c r="F186" s="222">
        <v>3113</v>
      </c>
      <c r="G186" s="172" t="s">
        <v>314</v>
      </c>
      <c r="H186" s="223" t="s">
        <v>277</v>
      </c>
      <c r="I186" s="477">
        <v>12511103</v>
      </c>
      <c r="J186" s="472">
        <v>9008095</v>
      </c>
      <c r="K186" s="472">
        <v>0</v>
      </c>
      <c r="L186" s="472">
        <v>3044736</v>
      </c>
      <c r="M186" s="472">
        <v>180162</v>
      </c>
      <c r="N186" s="472">
        <v>278110</v>
      </c>
      <c r="O186" s="473">
        <v>16.3856</v>
      </c>
      <c r="P186" s="474">
        <v>12.2273</v>
      </c>
      <c r="Q186" s="483">
        <v>4.1582999999999997</v>
      </c>
      <c r="R186" s="485">
        <f t="shared" ref="R186:R188" si="374">Y186*-1</f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278"/>
        <v>0</v>
      </c>
      <c r="Y186" s="475">
        <v>0</v>
      </c>
      <c r="Z186" s="475">
        <v>0</v>
      </c>
      <c r="AA186" s="475">
        <v>0</v>
      </c>
      <c r="AB186" s="475">
        <f t="shared" ref="AB186:AB188" si="375">SUM(Y186:AA186)</f>
        <v>0</v>
      </c>
      <c r="AC186" s="475">
        <f>X186+AB186</f>
        <v>0</v>
      </c>
      <c r="AD186" s="70">
        <f>ROUND((X186+Y186+Z186)*33.8%,0)</f>
        <v>0</v>
      </c>
      <c r="AE186" s="70">
        <f>ROUND(X186*2%,0)</f>
        <v>0</v>
      </c>
      <c r="AF186" s="475">
        <v>0</v>
      </c>
      <c r="AG186" s="475">
        <v>0</v>
      </c>
      <c r="AH186" s="475">
        <f t="shared" ref="AH186:AH188" si="376">SUM(AF186:AG186)</f>
        <v>0</v>
      </c>
      <c r="AI186" s="475">
        <f t="shared" ref="AI186:AI188" si="377">AC186+AD186+AE186+AH186</f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>AJ186+AL186+AM186+AO186+AP186</f>
        <v>0</v>
      </c>
      <c r="AS186" s="476">
        <f>AK186+AN186+AQ186</f>
        <v>0</v>
      </c>
      <c r="AT186" s="478">
        <f t="shared" ref="AT186:AT188" si="378">SUM(AR186:AS186)</f>
        <v>0</v>
      </c>
      <c r="AU186" s="484">
        <f>I186+AI186</f>
        <v>12511103</v>
      </c>
      <c r="AV186" s="475">
        <f>J186+X186</f>
        <v>9008095</v>
      </c>
      <c r="AW186" s="475">
        <f>K186+AB186</f>
        <v>0</v>
      </c>
      <c r="AX186" s="475">
        <f t="shared" ref="AX186:AY188" si="379">L186+AD186</f>
        <v>3044736</v>
      </c>
      <c r="AY186" s="475">
        <f t="shared" si="379"/>
        <v>180162</v>
      </c>
      <c r="AZ186" s="475">
        <f>N186+AH186</f>
        <v>278110</v>
      </c>
      <c r="BA186" s="476">
        <f>O186+AT186</f>
        <v>16.3856</v>
      </c>
      <c r="BB186" s="476">
        <f t="shared" ref="BB186:BC188" si="380">P186+AR186</f>
        <v>12.2273</v>
      </c>
      <c r="BC186" s="478">
        <f t="shared" si="380"/>
        <v>4.1582999999999997</v>
      </c>
    </row>
    <row r="187" spans="1:55" s="234" customFormat="1" ht="12.75" customHeight="1" x14ac:dyDescent="0.2">
      <c r="A187" s="221">
        <v>33</v>
      </c>
      <c r="B187" s="222">
        <v>4447</v>
      </c>
      <c r="C187" s="222">
        <v>600074749</v>
      </c>
      <c r="D187" s="222">
        <v>70695962</v>
      </c>
      <c r="E187" s="220" t="s">
        <v>212</v>
      </c>
      <c r="F187" s="222">
        <v>3113</v>
      </c>
      <c r="G187" s="172" t="s">
        <v>312</v>
      </c>
      <c r="H187" s="223" t="s">
        <v>278</v>
      </c>
      <c r="I187" s="477">
        <v>1175831</v>
      </c>
      <c r="J187" s="472">
        <v>862909</v>
      </c>
      <c r="K187" s="472">
        <v>0</v>
      </c>
      <c r="L187" s="472">
        <v>291664</v>
      </c>
      <c r="M187" s="472">
        <v>17258</v>
      </c>
      <c r="N187" s="472">
        <v>4000</v>
      </c>
      <c r="O187" s="473">
        <v>2.4899999999999998</v>
      </c>
      <c r="P187" s="474">
        <v>2.4899999999999998</v>
      </c>
      <c r="Q187" s="483">
        <v>0</v>
      </c>
      <c r="R187" s="485">
        <f t="shared" si="374"/>
        <v>0</v>
      </c>
      <c r="S187" s="475">
        <v>57741</v>
      </c>
      <c r="T187" s="475">
        <v>0</v>
      </c>
      <c r="U187" s="475">
        <v>0</v>
      </c>
      <c r="V187" s="475">
        <v>0</v>
      </c>
      <c r="W187" s="475">
        <v>0</v>
      </c>
      <c r="X187" s="475">
        <f t="shared" si="278"/>
        <v>57741</v>
      </c>
      <c r="Y187" s="475">
        <v>0</v>
      </c>
      <c r="Z187" s="475">
        <v>0</v>
      </c>
      <c r="AA187" s="475">
        <v>0</v>
      </c>
      <c r="AB187" s="475">
        <f t="shared" si="375"/>
        <v>0</v>
      </c>
      <c r="AC187" s="475">
        <f>X187+AB187</f>
        <v>57741</v>
      </c>
      <c r="AD187" s="70">
        <f>ROUND((X187+Y187+Z187)*33.8%,0)</f>
        <v>19516</v>
      </c>
      <c r="AE187" s="70">
        <f>ROUND(X187*2%,0)</f>
        <v>1155</v>
      </c>
      <c r="AF187" s="475">
        <v>0</v>
      </c>
      <c r="AG187" s="475">
        <v>0</v>
      </c>
      <c r="AH187" s="475">
        <f t="shared" si="376"/>
        <v>0</v>
      </c>
      <c r="AI187" s="475">
        <f t="shared" si="377"/>
        <v>78412</v>
      </c>
      <c r="AJ187" s="476">
        <v>0</v>
      </c>
      <c r="AK187" s="476">
        <v>0</v>
      </c>
      <c r="AL187" s="476">
        <v>0.17</v>
      </c>
      <c r="AM187" s="476">
        <v>0</v>
      </c>
      <c r="AN187" s="476">
        <v>0</v>
      </c>
      <c r="AO187" s="476">
        <v>0</v>
      </c>
      <c r="AP187" s="476">
        <v>0</v>
      </c>
      <c r="AQ187" s="476">
        <v>0</v>
      </c>
      <c r="AR187" s="476">
        <f>AJ187+AL187+AM187+AO187+AP187</f>
        <v>0.17</v>
      </c>
      <c r="AS187" s="476">
        <f>AK187+AN187+AQ187</f>
        <v>0</v>
      </c>
      <c r="AT187" s="478">
        <f t="shared" si="378"/>
        <v>0.17</v>
      </c>
      <c r="AU187" s="484">
        <f>I187+AI187</f>
        <v>1254243</v>
      </c>
      <c r="AV187" s="475">
        <f>J187+X187</f>
        <v>920650</v>
      </c>
      <c r="AW187" s="475">
        <f>K187+AB187</f>
        <v>0</v>
      </c>
      <c r="AX187" s="475">
        <f t="shared" si="379"/>
        <v>311180</v>
      </c>
      <c r="AY187" s="475">
        <f t="shared" si="379"/>
        <v>18413</v>
      </c>
      <c r="AZ187" s="475">
        <f>N187+AH187</f>
        <v>4000</v>
      </c>
      <c r="BA187" s="476">
        <f>O187+AT187</f>
        <v>2.6599999999999997</v>
      </c>
      <c r="BB187" s="476">
        <f t="shared" si="380"/>
        <v>2.6599999999999997</v>
      </c>
      <c r="BC187" s="478">
        <f t="shared" si="380"/>
        <v>0</v>
      </c>
    </row>
    <row r="188" spans="1:55" s="234" customFormat="1" ht="12.75" customHeight="1" x14ac:dyDescent="0.2">
      <c r="A188" s="221">
        <v>33</v>
      </c>
      <c r="B188" s="222">
        <v>4447</v>
      </c>
      <c r="C188" s="222">
        <v>600074749</v>
      </c>
      <c r="D188" s="222">
        <v>70695962</v>
      </c>
      <c r="E188" s="220" t="s">
        <v>212</v>
      </c>
      <c r="F188" s="222">
        <v>3141</v>
      </c>
      <c r="G188" s="172" t="s">
        <v>315</v>
      </c>
      <c r="H188" s="223" t="s">
        <v>278</v>
      </c>
      <c r="I188" s="477">
        <v>876237</v>
      </c>
      <c r="J188" s="472">
        <v>641013</v>
      </c>
      <c r="K188" s="472">
        <v>0</v>
      </c>
      <c r="L188" s="472">
        <v>216662</v>
      </c>
      <c r="M188" s="472">
        <v>12820</v>
      </c>
      <c r="N188" s="472">
        <v>5742</v>
      </c>
      <c r="O188" s="473">
        <v>2.02</v>
      </c>
      <c r="P188" s="474">
        <v>0</v>
      </c>
      <c r="Q188" s="483">
        <v>2.02</v>
      </c>
      <c r="R188" s="485">
        <f t="shared" si="374"/>
        <v>0</v>
      </c>
      <c r="S188" s="475">
        <v>0</v>
      </c>
      <c r="T188" s="475">
        <v>1645</v>
      </c>
      <c r="U188" s="475">
        <v>0</v>
      </c>
      <c r="V188" s="475">
        <v>0</v>
      </c>
      <c r="W188" s="475">
        <v>0</v>
      </c>
      <c r="X188" s="475">
        <f t="shared" si="278"/>
        <v>1645</v>
      </c>
      <c r="Y188" s="475">
        <v>0</v>
      </c>
      <c r="Z188" s="475">
        <v>0</v>
      </c>
      <c r="AA188" s="475">
        <v>0</v>
      </c>
      <c r="AB188" s="475">
        <f t="shared" si="375"/>
        <v>0</v>
      </c>
      <c r="AC188" s="475">
        <f>X188+AB188</f>
        <v>1645</v>
      </c>
      <c r="AD188" s="70">
        <f>ROUND((X188+Y188+Z188)*33.8%,0)</f>
        <v>556</v>
      </c>
      <c r="AE188" s="70">
        <f>ROUND(X188*2%,0)</f>
        <v>33</v>
      </c>
      <c r="AF188" s="475">
        <v>0</v>
      </c>
      <c r="AG188" s="475">
        <v>0</v>
      </c>
      <c r="AH188" s="475">
        <f t="shared" si="376"/>
        <v>0</v>
      </c>
      <c r="AI188" s="475">
        <f t="shared" si="377"/>
        <v>2234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0.01</v>
      </c>
      <c r="AO188" s="476">
        <v>0</v>
      </c>
      <c r="AP188" s="476">
        <v>0</v>
      </c>
      <c r="AQ188" s="476">
        <v>0</v>
      </c>
      <c r="AR188" s="476">
        <f>AJ188+AL188+AM188+AO188+AP188</f>
        <v>0</v>
      </c>
      <c r="AS188" s="476">
        <f>AK188+AN188+AQ188</f>
        <v>0.01</v>
      </c>
      <c r="AT188" s="478">
        <f t="shared" si="378"/>
        <v>0.01</v>
      </c>
      <c r="AU188" s="484">
        <f>I188+AI188</f>
        <v>878471</v>
      </c>
      <c r="AV188" s="475">
        <f>J188+X188</f>
        <v>642658</v>
      </c>
      <c r="AW188" s="475">
        <f>K188+AB188</f>
        <v>0</v>
      </c>
      <c r="AX188" s="475">
        <f t="shared" si="379"/>
        <v>217218</v>
      </c>
      <c r="AY188" s="475">
        <f t="shared" si="379"/>
        <v>12853</v>
      </c>
      <c r="AZ188" s="475">
        <f>N188+AH188</f>
        <v>5742</v>
      </c>
      <c r="BA188" s="476">
        <f>O188+AT188</f>
        <v>2.0299999999999998</v>
      </c>
      <c r="BB188" s="476">
        <f t="shared" si="380"/>
        <v>0</v>
      </c>
      <c r="BC188" s="478">
        <f t="shared" si="380"/>
        <v>2.0299999999999998</v>
      </c>
    </row>
    <row r="189" spans="1:55" s="234" customFormat="1" ht="12.75" customHeight="1" x14ac:dyDescent="0.2">
      <c r="A189" s="162">
        <v>33</v>
      </c>
      <c r="B189" s="18">
        <v>4447</v>
      </c>
      <c r="C189" s="18">
        <v>600074749</v>
      </c>
      <c r="D189" s="18">
        <v>70695962</v>
      </c>
      <c r="E189" s="171" t="s">
        <v>213</v>
      </c>
      <c r="F189" s="18"/>
      <c r="G189" s="161"/>
      <c r="H189" s="195"/>
      <c r="I189" s="529">
        <v>14563171</v>
      </c>
      <c r="J189" s="526">
        <v>10512017</v>
      </c>
      <c r="K189" s="526">
        <v>0</v>
      </c>
      <c r="L189" s="526">
        <v>3553062</v>
      </c>
      <c r="M189" s="526">
        <v>210240</v>
      </c>
      <c r="N189" s="526">
        <v>287852</v>
      </c>
      <c r="O189" s="527">
        <v>20.895599999999998</v>
      </c>
      <c r="P189" s="527">
        <v>14.7173</v>
      </c>
      <c r="Q189" s="531">
        <v>6.1783000000000001</v>
      </c>
      <c r="R189" s="529">
        <f t="shared" ref="R189:BC189" si="381">SUM(R186:R188)</f>
        <v>0</v>
      </c>
      <c r="S189" s="526">
        <f t="shared" si="381"/>
        <v>57741</v>
      </c>
      <c r="T189" s="526">
        <f t="shared" si="381"/>
        <v>1645</v>
      </c>
      <c r="U189" s="526">
        <f t="shared" si="381"/>
        <v>0</v>
      </c>
      <c r="V189" s="526">
        <f t="shared" si="381"/>
        <v>0</v>
      </c>
      <c r="W189" s="526">
        <f t="shared" si="381"/>
        <v>0</v>
      </c>
      <c r="X189" s="526">
        <f t="shared" si="381"/>
        <v>59386</v>
      </c>
      <c r="Y189" s="526">
        <f t="shared" si="381"/>
        <v>0</v>
      </c>
      <c r="Z189" s="526">
        <f t="shared" si="381"/>
        <v>0</v>
      </c>
      <c r="AA189" s="526">
        <f t="shared" si="381"/>
        <v>0</v>
      </c>
      <c r="AB189" s="526">
        <f t="shared" si="381"/>
        <v>0</v>
      </c>
      <c r="AC189" s="526">
        <f t="shared" si="381"/>
        <v>59386</v>
      </c>
      <c r="AD189" s="526">
        <f t="shared" si="381"/>
        <v>20072</v>
      </c>
      <c r="AE189" s="526">
        <f t="shared" si="381"/>
        <v>1188</v>
      </c>
      <c r="AF189" s="526">
        <f t="shared" si="381"/>
        <v>0</v>
      </c>
      <c r="AG189" s="526">
        <f t="shared" si="381"/>
        <v>0</v>
      </c>
      <c r="AH189" s="526">
        <f t="shared" si="381"/>
        <v>0</v>
      </c>
      <c r="AI189" s="526">
        <f t="shared" si="381"/>
        <v>80646</v>
      </c>
      <c r="AJ189" s="527">
        <f t="shared" si="381"/>
        <v>0</v>
      </c>
      <c r="AK189" s="527">
        <f t="shared" si="381"/>
        <v>0</v>
      </c>
      <c r="AL189" s="527">
        <f t="shared" si="381"/>
        <v>0.17</v>
      </c>
      <c r="AM189" s="527">
        <f t="shared" si="381"/>
        <v>0</v>
      </c>
      <c r="AN189" s="527">
        <f t="shared" si="381"/>
        <v>0.01</v>
      </c>
      <c r="AO189" s="527">
        <f t="shared" si="381"/>
        <v>0</v>
      </c>
      <c r="AP189" s="527">
        <f t="shared" si="381"/>
        <v>0</v>
      </c>
      <c r="AQ189" s="527">
        <f t="shared" si="381"/>
        <v>0</v>
      </c>
      <c r="AR189" s="527">
        <f t="shared" si="381"/>
        <v>0.17</v>
      </c>
      <c r="AS189" s="527">
        <f t="shared" si="381"/>
        <v>0.01</v>
      </c>
      <c r="AT189" s="40">
        <f t="shared" si="381"/>
        <v>0.18000000000000002</v>
      </c>
      <c r="AU189" s="533">
        <f t="shared" si="381"/>
        <v>14643817</v>
      </c>
      <c r="AV189" s="526">
        <f t="shared" si="381"/>
        <v>10571403</v>
      </c>
      <c r="AW189" s="526">
        <f t="shared" si="381"/>
        <v>0</v>
      </c>
      <c r="AX189" s="526">
        <f t="shared" si="381"/>
        <v>3573134</v>
      </c>
      <c r="AY189" s="526">
        <f t="shared" si="381"/>
        <v>211428</v>
      </c>
      <c r="AZ189" s="526">
        <f t="shared" si="381"/>
        <v>287852</v>
      </c>
      <c r="BA189" s="527">
        <f t="shared" si="381"/>
        <v>21.075600000000001</v>
      </c>
      <c r="BB189" s="527">
        <f t="shared" si="381"/>
        <v>14.8873</v>
      </c>
      <c r="BC189" s="40">
        <f t="shared" si="381"/>
        <v>6.1882999999999999</v>
      </c>
    </row>
    <row r="190" spans="1:55" s="234" customFormat="1" ht="12.75" customHeight="1" x14ac:dyDescent="0.2">
      <c r="A190" s="221">
        <v>34</v>
      </c>
      <c r="B190" s="222">
        <v>4449</v>
      </c>
      <c r="C190" s="222">
        <v>650037090</v>
      </c>
      <c r="D190" s="222">
        <v>72744171</v>
      </c>
      <c r="E190" s="220" t="s">
        <v>214</v>
      </c>
      <c r="F190" s="222">
        <v>3111</v>
      </c>
      <c r="G190" s="172" t="s">
        <v>311</v>
      </c>
      <c r="H190" s="223" t="s">
        <v>277</v>
      </c>
      <c r="I190" s="477">
        <v>2734795</v>
      </c>
      <c r="J190" s="472">
        <v>2003899</v>
      </c>
      <c r="K190" s="472">
        <v>0</v>
      </c>
      <c r="L190" s="472">
        <v>677318</v>
      </c>
      <c r="M190" s="472">
        <v>40078</v>
      </c>
      <c r="N190" s="472">
        <v>13500</v>
      </c>
      <c r="O190" s="473">
        <v>4.9218000000000002</v>
      </c>
      <c r="P190" s="474">
        <v>4</v>
      </c>
      <c r="Q190" s="483">
        <v>0.92179999999999995</v>
      </c>
      <c r="R190" s="485">
        <f t="shared" ref="R190:R195" si="382">Y190*-1</f>
        <v>0</v>
      </c>
      <c r="S190" s="475">
        <v>0</v>
      </c>
      <c r="T190" s="475">
        <v>0</v>
      </c>
      <c r="U190" s="475">
        <v>0</v>
      </c>
      <c r="V190" s="475">
        <v>0</v>
      </c>
      <c r="W190" s="475">
        <v>0</v>
      </c>
      <c r="X190" s="475">
        <f t="shared" si="278"/>
        <v>0</v>
      </c>
      <c r="Y190" s="475">
        <v>0</v>
      </c>
      <c r="Z190" s="475">
        <v>0</v>
      </c>
      <c r="AA190" s="475">
        <v>0</v>
      </c>
      <c r="AB190" s="475">
        <f t="shared" ref="AB190:AB195" si="383">SUM(Y190:AA190)</f>
        <v>0</v>
      </c>
      <c r="AC190" s="475">
        <f t="shared" ref="AC190:AC195" si="384">X190+AB190</f>
        <v>0</v>
      </c>
      <c r="AD190" s="70">
        <f t="shared" ref="AD190:AD195" si="385">ROUND((X190+Y190+Z190)*33.8%,0)</f>
        <v>0</v>
      </c>
      <c r="AE190" s="70">
        <f t="shared" ref="AE190:AE195" si="386">ROUND(X190*2%,0)</f>
        <v>0</v>
      </c>
      <c r="AF190" s="475">
        <v>0</v>
      </c>
      <c r="AG190" s="475">
        <v>0</v>
      </c>
      <c r="AH190" s="475">
        <f t="shared" ref="AH190:AH195" si="387">SUM(AF190:AG190)</f>
        <v>0</v>
      </c>
      <c r="AI190" s="475">
        <f t="shared" ref="AI190:AI195" si="388">AC190+AD190+AE190+AH190</f>
        <v>0</v>
      </c>
      <c r="AJ190" s="476">
        <v>0</v>
      </c>
      <c r="AK190" s="476">
        <v>0</v>
      </c>
      <c r="AL190" s="476">
        <v>0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476">
        <f t="shared" ref="AR190:AR195" si="389">AJ190+AL190+AM190+AO190+AP190</f>
        <v>0</v>
      </c>
      <c r="AS190" s="476">
        <f t="shared" ref="AS190:AS195" si="390">AK190+AN190+AQ190</f>
        <v>0</v>
      </c>
      <c r="AT190" s="478">
        <f t="shared" ref="AT190:AT195" si="391">SUM(AR190:AS190)</f>
        <v>0</v>
      </c>
      <c r="AU190" s="484">
        <f t="shared" ref="AU190:AU195" si="392">I190+AI190</f>
        <v>2734795</v>
      </c>
      <c r="AV190" s="475">
        <f t="shared" ref="AV190:AV195" si="393">J190+X190</f>
        <v>2003899</v>
      </c>
      <c r="AW190" s="475">
        <f t="shared" ref="AW190:AW195" si="394">K190+AB190</f>
        <v>0</v>
      </c>
      <c r="AX190" s="475">
        <f t="shared" ref="AX190:AY195" si="395">L190+AD190</f>
        <v>677318</v>
      </c>
      <c r="AY190" s="475">
        <f t="shared" si="395"/>
        <v>40078</v>
      </c>
      <c r="AZ190" s="475">
        <f t="shared" ref="AZ190:AZ195" si="396">N190+AH190</f>
        <v>13500</v>
      </c>
      <c r="BA190" s="476">
        <f t="shared" ref="BA190:BA195" si="397">O190+AT190</f>
        <v>4.9218000000000002</v>
      </c>
      <c r="BB190" s="476">
        <f t="shared" ref="BB190:BC195" si="398">P190+AR190</f>
        <v>4</v>
      </c>
      <c r="BC190" s="478">
        <f t="shared" si="398"/>
        <v>0.92179999999999995</v>
      </c>
    </row>
    <row r="191" spans="1:55" s="234" customFormat="1" ht="12.75" customHeight="1" x14ac:dyDescent="0.2">
      <c r="A191" s="221">
        <v>34</v>
      </c>
      <c r="B191" s="222">
        <v>4449</v>
      </c>
      <c r="C191" s="222">
        <v>650037090</v>
      </c>
      <c r="D191" s="222">
        <v>72744171</v>
      </c>
      <c r="E191" s="220" t="s">
        <v>214</v>
      </c>
      <c r="F191" s="222">
        <v>3113</v>
      </c>
      <c r="G191" s="172" t="s">
        <v>314</v>
      </c>
      <c r="H191" s="223" t="s">
        <v>277</v>
      </c>
      <c r="I191" s="477">
        <v>12352818</v>
      </c>
      <c r="J191" s="472">
        <v>8770838</v>
      </c>
      <c r="K191" s="472">
        <v>60000</v>
      </c>
      <c r="L191" s="472">
        <v>2984824</v>
      </c>
      <c r="M191" s="472">
        <v>175416</v>
      </c>
      <c r="N191" s="472">
        <v>361740</v>
      </c>
      <c r="O191" s="473">
        <v>17.360199999999999</v>
      </c>
      <c r="P191" s="474">
        <v>11.900000000000002</v>
      </c>
      <c r="Q191" s="483">
        <v>5.4601999999999995</v>
      </c>
      <c r="R191" s="485">
        <f t="shared" si="382"/>
        <v>0</v>
      </c>
      <c r="S191" s="475">
        <v>0</v>
      </c>
      <c r="T191" s="475">
        <v>0</v>
      </c>
      <c r="U191" s="475">
        <v>0</v>
      </c>
      <c r="V191" s="475">
        <v>0</v>
      </c>
      <c r="W191" s="475">
        <v>0</v>
      </c>
      <c r="X191" s="475">
        <f t="shared" si="278"/>
        <v>0</v>
      </c>
      <c r="Y191" s="475">
        <v>0</v>
      </c>
      <c r="Z191" s="475">
        <v>0</v>
      </c>
      <c r="AA191" s="475">
        <v>0</v>
      </c>
      <c r="AB191" s="475">
        <f t="shared" si="383"/>
        <v>0</v>
      </c>
      <c r="AC191" s="475">
        <f t="shared" si="384"/>
        <v>0</v>
      </c>
      <c r="AD191" s="70">
        <f t="shared" si="385"/>
        <v>0</v>
      </c>
      <c r="AE191" s="70">
        <f t="shared" si="386"/>
        <v>0</v>
      </c>
      <c r="AF191" s="475">
        <v>0</v>
      </c>
      <c r="AG191" s="475">
        <v>0</v>
      </c>
      <c r="AH191" s="475">
        <f t="shared" si="387"/>
        <v>0</v>
      </c>
      <c r="AI191" s="475">
        <f t="shared" si="388"/>
        <v>0</v>
      </c>
      <c r="AJ191" s="476">
        <v>0</v>
      </c>
      <c r="AK191" s="476">
        <v>0</v>
      </c>
      <c r="AL191" s="476">
        <v>0</v>
      </c>
      <c r="AM191" s="476">
        <v>0</v>
      </c>
      <c r="AN191" s="476">
        <v>0</v>
      </c>
      <c r="AO191" s="476">
        <v>0</v>
      </c>
      <c r="AP191" s="476">
        <v>0</v>
      </c>
      <c r="AQ191" s="476">
        <v>0</v>
      </c>
      <c r="AR191" s="476">
        <f t="shared" si="389"/>
        <v>0</v>
      </c>
      <c r="AS191" s="476">
        <f t="shared" si="390"/>
        <v>0</v>
      </c>
      <c r="AT191" s="478">
        <f t="shared" si="391"/>
        <v>0</v>
      </c>
      <c r="AU191" s="484">
        <f t="shared" si="392"/>
        <v>12352818</v>
      </c>
      <c r="AV191" s="475">
        <f t="shared" si="393"/>
        <v>8770838</v>
      </c>
      <c r="AW191" s="475">
        <f t="shared" si="394"/>
        <v>60000</v>
      </c>
      <c r="AX191" s="475">
        <f t="shared" si="395"/>
        <v>2984824</v>
      </c>
      <c r="AY191" s="475">
        <f t="shared" si="395"/>
        <v>175416</v>
      </c>
      <c r="AZ191" s="475">
        <f t="shared" si="396"/>
        <v>361740</v>
      </c>
      <c r="BA191" s="476">
        <f t="shared" si="397"/>
        <v>17.360199999999999</v>
      </c>
      <c r="BB191" s="476">
        <f t="shared" si="398"/>
        <v>11.900000000000002</v>
      </c>
      <c r="BC191" s="478">
        <f t="shared" si="398"/>
        <v>5.4601999999999995</v>
      </c>
    </row>
    <row r="192" spans="1:55" s="234" customFormat="1" ht="12.75" customHeight="1" x14ac:dyDescent="0.2">
      <c r="A192" s="221">
        <v>34</v>
      </c>
      <c r="B192" s="222">
        <v>4449</v>
      </c>
      <c r="C192" s="222">
        <v>650037090</v>
      </c>
      <c r="D192" s="222">
        <v>72744171</v>
      </c>
      <c r="E192" s="220" t="s">
        <v>214</v>
      </c>
      <c r="F192" s="222">
        <v>3113</v>
      </c>
      <c r="G192" s="172" t="s">
        <v>312</v>
      </c>
      <c r="H192" s="223" t="s">
        <v>278</v>
      </c>
      <c r="I192" s="477">
        <v>1570977</v>
      </c>
      <c r="J192" s="472">
        <v>1152045</v>
      </c>
      <c r="K192" s="472">
        <v>0</v>
      </c>
      <c r="L192" s="472">
        <v>389391</v>
      </c>
      <c r="M192" s="472">
        <v>23041</v>
      </c>
      <c r="N192" s="472">
        <v>6500</v>
      </c>
      <c r="O192" s="473">
        <v>3.27</v>
      </c>
      <c r="P192" s="474">
        <v>3.27</v>
      </c>
      <c r="Q192" s="483">
        <v>0</v>
      </c>
      <c r="R192" s="485">
        <f t="shared" si="382"/>
        <v>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si="278"/>
        <v>0</v>
      </c>
      <c r="Y192" s="475">
        <v>0</v>
      </c>
      <c r="Z192" s="475">
        <v>0</v>
      </c>
      <c r="AA192" s="475">
        <v>0</v>
      </c>
      <c r="AB192" s="475">
        <f t="shared" si="383"/>
        <v>0</v>
      </c>
      <c r="AC192" s="475">
        <f t="shared" si="384"/>
        <v>0</v>
      </c>
      <c r="AD192" s="70">
        <f t="shared" si="385"/>
        <v>0</v>
      </c>
      <c r="AE192" s="70">
        <f t="shared" si="386"/>
        <v>0</v>
      </c>
      <c r="AF192" s="475">
        <v>0</v>
      </c>
      <c r="AG192" s="475">
        <v>0</v>
      </c>
      <c r="AH192" s="475">
        <f t="shared" si="387"/>
        <v>0</v>
      </c>
      <c r="AI192" s="475">
        <f t="shared" si="388"/>
        <v>0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476">
        <f t="shared" si="389"/>
        <v>0</v>
      </c>
      <c r="AS192" s="476">
        <f t="shared" si="390"/>
        <v>0</v>
      </c>
      <c r="AT192" s="478">
        <f t="shared" si="391"/>
        <v>0</v>
      </c>
      <c r="AU192" s="484">
        <f t="shared" si="392"/>
        <v>1570977</v>
      </c>
      <c r="AV192" s="475">
        <f t="shared" si="393"/>
        <v>1152045</v>
      </c>
      <c r="AW192" s="475">
        <f t="shared" si="394"/>
        <v>0</v>
      </c>
      <c r="AX192" s="475">
        <f t="shared" si="395"/>
        <v>389391</v>
      </c>
      <c r="AY192" s="475">
        <f t="shared" si="395"/>
        <v>23041</v>
      </c>
      <c r="AZ192" s="475">
        <f t="shared" si="396"/>
        <v>6500</v>
      </c>
      <c r="BA192" s="476">
        <f t="shared" si="397"/>
        <v>3.27</v>
      </c>
      <c r="BB192" s="476">
        <f t="shared" si="398"/>
        <v>3.27</v>
      </c>
      <c r="BC192" s="478">
        <f t="shared" si="398"/>
        <v>0</v>
      </c>
    </row>
    <row r="193" spans="1:55" s="234" customFormat="1" ht="12.75" customHeight="1" x14ac:dyDescent="0.2">
      <c r="A193" s="221">
        <v>34</v>
      </c>
      <c r="B193" s="222">
        <v>4449</v>
      </c>
      <c r="C193" s="222">
        <v>650037090</v>
      </c>
      <c r="D193" s="222">
        <v>72744171</v>
      </c>
      <c r="E193" s="220" t="s">
        <v>214</v>
      </c>
      <c r="F193" s="222">
        <v>3141</v>
      </c>
      <c r="G193" s="172" t="s">
        <v>315</v>
      </c>
      <c r="H193" s="223" t="s">
        <v>278</v>
      </c>
      <c r="I193" s="477">
        <v>1193471</v>
      </c>
      <c r="J193" s="472">
        <v>874360</v>
      </c>
      <c r="K193" s="472">
        <v>0</v>
      </c>
      <c r="L193" s="472">
        <v>295534</v>
      </c>
      <c r="M193" s="472">
        <v>17487</v>
      </c>
      <c r="N193" s="472">
        <v>6090</v>
      </c>
      <c r="O193" s="473">
        <v>2.75</v>
      </c>
      <c r="P193" s="474">
        <v>0</v>
      </c>
      <c r="Q193" s="483">
        <v>2.75</v>
      </c>
      <c r="R193" s="485">
        <f t="shared" si="382"/>
        <v>0</v>
      </c>
      <c r="S193" s="475">
        <v>0</v>
      </c>
      <c r="T193" s="475">
        <v>-384</v>
      </c>
      <c r="U193" s="475">
        <v>0</v>
      </c>
      <c r="V193" s="475">
        <v>0</v>
      </c>
      <c r="W193" s="475">
        <v>0</v>
      </c>
      <c r="X193" s="475">
        <f t="shared" si="278"/>
        <v>-384</v>
      </c>
      <c r="Y193" s="475">
        <v>0</v>
      </c>
      <c r="Z193" s="475">
        <v>0</v>
      </c>
      <c r="AA193" s="475">
        <v>0</v>
      </c>
      <c r="AB193" s="475">
        <f t="shared" si="383"/>
        <v>0</v>
      </c>
      <c r="AC193" s="475">
        <f t="shared" si="384"/>
        <v>-384</v>
      </c>
      <c r="AD193" s="70">
        <f t="shared" si="385"/>
        <v>-130</v>
      </c>
      <c r="AE193" s="70">
        <f t="shared" si="386"/>
        <v>-8</v>
      </c>
      <c r="AF193" s="475">
        <v>0</v>
      </c>
      <c r="AG193" s="475">
        <v>0</v>
      </c>
      <c r="AH193" s="475">
        <f t="shared" si="387"/>
        <v>0</v>
      </c>
      <c r="AI193" s="475">
        <f t="shared" si="388"/>
        <v>-522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476">
        <f t="shared" si="389"/>
        <v>0</v>
      </c>
      <c r="AS193" s="476">
        <f t="shared" si="390"/>
        <v>0</v>
      </c>
      <c r="AT193" s="478">
        <f t="shared" si="391"/>
        <v>0</v>
      </c>
      <c r="AU193" s="484">
        <f t="shared" si="392"/>
        <v>1192949</v>
      </c>
      <c r="AV193" s="475">
        <f t="shared" si="393"/>
        <v>873976</v>
      </c>
      <c r="AW193" s="475">
        <f t="shared" si="394"/>
        <v>0</v>
      </c>
      <c r="AX193" s="475">
        <f t="shared" si="395"/>
        <v>295404</v>
      </c>
      <c r="AY193" s="475">
        <f t="shared" si="395"/>
        <v>17479</v>
      </c>
      <c r="AZ193" s="475">
        <f t="shared" si="396"/>
        <v>6090</v>
      </c>
      <c r="BA193" s="476">
        <f t="shared" si="397"/>
        <v>2.75</v>
      </c>
      <c r="BB193" s="476">
        <f t="shared" si="398"/>
        <v>0</v>
      </c>
      <c r="BC193" s="478">
        <f t="shared" si="398"/>
        <v>2.75</v>
      </c>
    </row>
    <row r="194" spans="1:55" s="234" customFormat="1" ht="12.75" customHeight="1" x14ac:dyDescent="0.2">
      <c r="A194" s="221">
        <v>34</v>
      </c>
      <c r="B194" s="222">
        <v>4449</v>
      </c>
      <c r="C194" s="222">
        <v>650037090</v>
      </c>
      <c r="D194" s="222">
        <v>72744171</v>
      </c>
      <c r="E194" s="220" t="s">
        <v>214</v>
      </c>
      <c r="F194" s="222">
        <v>3143</v>
      </c>
      <c r="G194" s="172" t="s">
        <v>626</v>
      </c>
      <c r="H194" s="239" t="s">
        <v>277</v>
      </c>
      <c r="I194" s="477">
        <v>1244399</v>
      </c>
      <c r="J194" s="472">
        <v>916347</v>
      </c>
      <c r="K194" s="472">
        <v>0</v>
      </c>
      <c r="L194" s="472">
        <v>309725</v>
      </c>
      <c r="M194" s="472">
        <v>18327</v>
      </c>
      <c r="N194" s="472">
        <v>0</v>
      </c>
      <c r="O194" s="473">
        <v>2</v>
      </c>
      <c r="P194" s="474">
        <v>2</v>
      </c>
      <c r="Q194" s="483">
        <v>0</v>
      </c>
      <c r="R194" s="485">
        <f t="shared" si="382"/>
        <v>0</v>
      </c>
      <c r="S194" s="475">
        <v>0</v>
      </c>
      <c r="T194" s="475">
        <v>0</v>
      </c>
      <c r="U194" s="475">
        <v>0</v>
      </c>
      <c r="V194" s="475">
        <v>0</v>
      </c>
      <c r="W194" s="475">
        <v>0</v>
      </c>
      <c r="X194" s="475">
        <f t="shared" si="278"/>
        <v>0</v>
      </c>
      <c r="Y194" s="475">
        <v>0</v>
      </c>
      <c r="Z194" s="475">
        <v>0</v>
      </c>
      <c r="AA194" s="475">
        <v>0</v>
      </c>
      <c r="AB194" s="475">
        <f t="shared" si="383"/>
        <v>0</v>
      </c>
      <c r="AC194" s="475">
        <f t="shared" si="384"/>
        <v>0</v>
      </c>
      <c r="AD194" s="70">
        <f t="shared" si="385"/>
        <v>0</v>
      </c>
      <c r="AE194" s="70">
        <f t="shared" si="386"/>
        <v>0</v>
      </c>
      <c r="AF194" s="475">
        <v>0</v>
      </c>
      <c r="AG194" s="475">
        <v>0</v>
      </c>
      <c r="AH194" s="475">
        <f t="shared" si="387"/>
        <v>0</v>
      </c>
      <c r="AI194" s="475">
        <f t="shared" si="388"/>
        <v>0</v>
      </c>
      <c r="AJ194" s="476">
        <v>0</v>
      </c>
      <c r="AK194" s="476">
        <v>0</v>
      </c>
      <c r="AL194" s="476">
        <v>0</v>
      </c>
      <c r="AM194" s="476">
        <v>0</v>
      </c>
      <c r="AN194" s="476">
        <v>0</v>
      </c>
      <c r="AO194" s="476">
        <v>0</v>
      </c>
      <c r="AP194" s="476">
        <v>0</v>
      </c>
      <c r="AQ194" s="476">
        <v>0</v>
      </c>
      <c r="AR194" s="476">
        <f t="shared" si="389"/>
        <v>0</v>
      </c>
      <c r="AS194" s="476">
        <f t="shared" si="390"/>
        <v>0</v>
      </c>
      <c r="AT194" s="478">
        <f t="shared" si="391"/>
        <v>0</v>
      </c>
      <c r="AU194" s="484">
        <f t="shared" si="392"/>
        <v>1244399</v>
      </c>
      <c r="AV194" s="475">
        <f t="shared" si="393"/>
        <v>916347</v>
      </c>
      <c r="AW194" s="475">
        <f t="shared" si="394"/>
        <v>0</v>
      </c>
      <c r="AX194" s="475">
        <f t="shared" si="395"/>
        <v>309725</v>
      </c>
      <c r="AY194" s="475">
        <f t="shared" si="395"/>
        <v>18327</v>
      </c>
      <c r="AZ194" s="475">
        <f t="shared" si="396"/>
        <v>0</v>
      </c>
      <c r="BA194" s="476">
        <f t="shared" si="397"/>
        <v>2</v>
      </c>
      <c r="BB194" s="476">
        <f t="shared" si="398"/>
        <v>2</v>
      </c>
      <c r="BC194" s="478">
        <f t="shared" si="398"/>
        <v>0</v>
      </c>
    </row>
    <row r="195" spans="1:55" s="234" customFormat="1" ht="12.75" customHeight="1" x14ac:dyDescent="0.2">
      <c r="A195" s="221">
        <v>34</v>
      </c>
      <c r="B195" s="222">
        <v>4449</v>
      </c>
      <c r="C195" s="222">
        <v>650037090</v>
      </c>
      <c r="D195" s="222">
        <v>72744171</v>
      </c>
      <c r="E195" s="220" t="s">
        <v>214</v>
      </c>
      <c r="F195" s="222">
        <v>3143</v>
      </c>
      <c r="G195" s="172" t="s">
        <v>627</v>
      </c>
      <c r="H195" s="239" t="s">
        <v>278</v>
      </c>
      <c r="I195" s="477">
        <v>34019</v>
      </c>
      <c r="J195" s="472">
        <v>24057</v>
      </c>
      <c r="K195" s="472">
        <v>0</v>
      </c>
      <c r="L195" s="472">
        <v>8131</v>
      </c>
      <c r="M195" s="472">
        <v>481</v>
      </c>
      <c r="N195" s="472">
        <v>1350</v>
      </c>
      <c r="O195" s="473">
        <v>0.09</v>
      </c>
      <c r="P195" s="474">
        <v>0</v>
      </c>
      <c r="Q195" s="483">
        <v>0.09</v>
      </c>
      <c r="R195" s="485">
        <f t="shared" si="382"/>
        <v>0</v>
      </c>
      <c r="S195" s="475">
        <v>0</v>
      </c>
      <c r="T195" s="475">
        <v>0</v>
      </c>
      <c r="U195" s="475">
        <v>0</v>
      </c>
      <c r="V195" s="475">
        <v>0</v>
      </c>
      <c r="W195" s="475">
        <v>0</v>
      </c>
      <c r="X195" s="475">
        <f t="shared" si="278"/>
        <v>0</v>
      </c>
      <c r="Y195" s="475">
        <v>0</v>
      </c>
      <c r="Z195" s="475">
        <v>0</v>
      </c>
      <c r="AA195" s="475">
        <v>0</v>
      </c>
      <c r="AB195" s="475">
        <f t="shared" si="383"/>
        <v>0</v>
      </c>
      <c r="AC195" s="475">
        <f t="shared" si="384"/>
        <v>0</v>
      </c>
      <c r="AD195" s="70">
        <f t="shared" si="385"/>
        <v>0</v>
      </c>
      <c r="AE195" s="70">
        <f t="shared" si="386"/>
        <v>0</v>
      </c>
      <c r="AF195" s="475">
        <v>0</v>
      </c>
      <c r="AG195" s="475">
        <v>0</v>
      </c>
      <c r="AH195" s="475">
        <f t="shared" si="387"/>
        <v>0</v>
      </c>
      <c r="AI195" s="475">
        <f t="shared" si="388"/>
        <v>0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476">
        <f t="shared" si="389"/>
        <v>0</v>
      </c>
      <c r="AS195" s="476">
        <f t="shared" si="390"/>
        <v>0</v>
      </c>
      <c r="AT195" s="478">
        <f t="shared" si="391"/>
        <v>0</v>
      </c>
      <c r="AU195" s="484">
        <f t="shared" si="392"/>
        <v>34019</v>
      </c>
      <c r="AV195" s="475">
        <f t="shared" si="393"/>
        <v>24057</v>
      </c>
      <c r="AW195" s="475">
        <f t="shared" si="394"/>
        <v>0</v>
      </c>
      <c r="AX195" s="475">
        <f t="shared" si="395"/>
        <v>8131</v>
      </c>
      <c r="AY195" s="475">
        <f t="shared" si="395"/>
        <v>481</v>
      </c>
      <c r="AZ195" s="475">
        <f t="shared" si="396"/>
        <v>1350</v>
      </c>
      <c r="BA195" s="476">
        <f t="shared" si="397"/>
        <v>0.09</v>
      </c>
      <c r="BB195" s="476">
        <f t="shared" si="398"/>
        <v>0</v>
      </c>
      <c r="BC195" s="478">
        <f t="shared" si="398"/>
        <v>0.09</v>
      </c>
    </row>
    <row r="196" spans="1:55" s="234" customFormat="1" ht="12.75" customHeight="1" x14ac:dyDescent="0.2">
      <c r="A196" s="162">
        <v>34</v>
      </c>
      <c r="B196" s="18">
        <v>4449</v>
      </c>
      <c r="C196" s="18">
        <v>650037090</v>
      </c>
      <c r="D196" s="18">
        <v>72744171</v>
      </c>
      <c r="E196" s="171" t="s">
        <v>215</v>
      </c>
      <c r="F196" s="18"/>
      <c r="G196" s="161"/>
      <c r="H196" s="195"/>
      <c r="I196" s="529">
        <v>19130479</v>
      </c>
      <c r="J196" s="526">
        <v>13741546</v>
      </c>
      <c r="K196" s="526">
        <v>60000</v>
      </c>
      <c r="L196" s="526">
        <v>4664923</v>
      </c>
      <c r="M196" s="526">
        <v>274830</v>
      </c>
      <c r="N196" s="526">
        <v>389180</v>
      </c>
      <c r="O196" s="527">
        <v>30.391999999999999</v>
      </c>
      <c r="P196" s="527">
        <v>21.17</v>
      </c>
      <c r="Q196" s="531">
        <v>9.2219999999999995</v>
      </c>
      <c r="R196" s="529">
        <f t="shared" ref="R196:BC196" si="399">SUM(R190:R195)</f>
        <v>0</v>
      </c>
      <c r="S196" s="526">
        <f t="shared" si="399"/>
        <v>0</v>
      </c>
      <c r="T196" s="526">
        <f t="shared" si="399"/>
        <v>-384</v>
      </c>
      <c r="U196" s="526">
        <f t="shared" si="399"/>
        <v>0</v>
      </c>
      <c r="V196" s="526">
        <f t="shared" si="399"/>
        <v>0</v>
      </c>
      <c r="W196" s="526">
        <f t="shared" si="399"/>
        <v>0</v>
      </c>
      <c r="X196" s="526">
        <f t="shared" si="399"/>
        <v>-384</v>
      </c>
      <c r="Y196" s="526">
        <f t="shared" si="399"/>
        <v>0</v>
      </c>
      <c r="Z196" s="526">
        <f t="shared" si="399"/>
        <v>0</v>
      </c>
      <c r="AA196" s="526">
        <f t="shared" si="399"/>
        <v>0</v>
      </c>
      <c r="AB196" s="526">
        <f t="shared" si="399"/>
        <v>0</v>
      </c>
      <c r="AC196" s="526">
        <f t="shared" si="399"/>
        <v>-384</v>
      </c>
      <c r="AD196" s="526">
        <f t="shared" si="399"/>
        <v>-130</v>
      </c>
      <c r="AE196" s="526">
        <f t="shared" si="399"/>
        <v>-8</v>
      </c>
      <c r="AF196" s="526">
        <f t="shared" si="399"/>
        <v>0</v>
      </c>
      <c r="AG196" s="526">
        <f t="shared" si="399"/>
        <v>0</v>
      </c>
      <c r="AH196" s="526">
        <f t="shared" si="399"/>
        <v>0</v>
      </c>
      <c r="AI196" s="526">
        <f t="shared" si="399"/>
        <v>-522</v>
      </c>
      <c r="AJ196" s="527">
        <f t="shared" si="399"/>
        <v>0</v>
      </c>
      <c r="AK196" s="527">
        <f t="shared" si="399"/>
        <v>0</v>
      </c>
      <c r="AL196" s="527">
        <f t="shared" si="399"/>
        <v>0</v>
      </c>
      <c r="AM196" s="527">
        <f t="shared" si="399"/>
        <v>0</v>
      </c>
      <c r="AN196" s="527">
        <f t="shared" si="399"/>
        <v>0</v>
      </c>
      <c r="AO196" s="527">
        <f t="shared" si="399"/>
        <v>0</v>
      </c>
      <c r="AP196" s="527">
        <f t="shared" si="399"/>
        <v>0</v>
      </c>
      <c r="AQ196" s="527">
        <f t="shared" si="399"/>
        <v>0</v>
      </c>
      <c r="AR196" s="527">
        <f t="shared" si="399"/>
        <v>0</v>
      </c>
      <c r="AS196" s="527">
        <f t="shared" si="399"/>
        <v>0</v>
      </c>
      <c r="AT196" s="40">
        <f t="shared" si="399"/>
        <v>0</v>
      </c>
      <c r="AU196" s="533">
        <f t="shared" si="399"/>
        <v>19129957</v>
      </c>
      <c r="AV196" s="526">
        <f t="shared" si="399"/>
        <v>13741162</v>
      </c>
      <c r="AW196" s="526">
        <f t="shared" si="399"/>
        <v>60000</v>
      </c>
      <c r="AX196" s="526">
        <f t="shared" si="399"/>
        <v>4664793</v>
      </c>
      <c r="AY196" s="526">
        <f t="shared" si="399"/>
        <v>274822</v>
      </c>
      <c r="AZ196" s="526">
        <f t="shared" si="399"/>
        <v>389180</v>
      </c>
      <c r="BA196" s="527">
        <f t="shared" si="399"/>
        <v>30.391999999999999</v>
      </c>
      <c r="BB196" s="527">
        <f t="shared" si="399"/>
        <v>21.17</v>
      </c>
      <c r="BC196" s="40">
        <f t="shared" si="399"/>
        <v>9.2219999999999995</v>
      </c>
    </row>
    <row r="197" spans="1:55" s="234" customFormat="1" ht="12.75" customHeight="1" x14ac:dyDescent="0.2">
      <c r="A197" s="221">
        <v>35</v>
      </c>
      <c r="B197" s="222">
        <v>4401</v>
      </c>
      <c r="C197" s="222">
        <v>600074196</v>
      </c>
      <c r="D197" s="222">
        <v>71011129</v>
      </c>
      <c r="E197" s="220" t="s">
        <v>216</v>
      </c>
      <c r="F197" s="222">
        <v>3111</v>
      </c>
      <c r="G197" s="172" t="s">
        <v>311</v>
      </c>
      <c r="H197" s="223" t="s">
        <v>277</v>
      </c>
      <c r="I197" s="477">
        <v>3379516</v>
      </c>
      <c r="J197" s="472">
        <v>2357030</v>
      </c>
      <c r="K197" s="472">
        <v>90000</v>
      </c>
      <c r="L197" s="472">
        <v>827096</v>
      </c>
      <c r="M197" s="472">
        <v>47140</v>
      </c>
      <c r="N197" s="472">
        <v>58250</v>
      </c>
      <c r="O197" s="473">
        <v>5.0898000000000003</v>
      </c>
      <c r="P197" s="474">
        <v>4</v>
      </c>
      <c r="Q197" s="483">
        <v>1.0897999999999999</v>
      </c>
      <c r="R197" s="485">
        <f t="shared" ref="R197:R199" si="400">Y197*-1</f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278"/>
        <v>0</v>
      </c>
      <c r="Y197" s="475">
        <v>0</v>
      </c>
      <c r="Z197" s="475">
        <v>0</v>
      </c>
      <c r="AA197" s="475">
        <v>0</v>
      </c>
      <c r="AB197" s="475">
        <f t="shared" ref="AB197:AB199" si="401">SUM(Y197:AA197)</f>
        <v>0</v>
      </c>
      <c r="AC197" s="475">
        <f>X197+AB197</f>
        <v>0</v>
      </c>
      <c r="AD197" s="70">
        <f>ROUND((X197+Y197+Z197)*33.8%,0)</f>
        <v>0</v>
      </c>
      <c r="AE197" s="70">
        <f>ROUND(X197*2%,0)</f>
        <v>0</v>
      </c>
      <c r="AF197" s="475">
        <v>0</v>
      </c>
      <c r="AG197" s="475">
        <v>0</v>
      </c>
      <c r="AH197" s="475">
        <f t="shared" ref="AH197:AH199" si="402">SUM(AF197:AG197)</f>
        <v>0</v>
      </c>
      <c r="AI197" s="475">
        <f t="shared" ref="AI197:AI199" si="403">AC197+AD197+AE197+AH197</f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476">
        <f>AJ197+AL197+AM197+AO197+AP197</f>
        <v>0</v>
      </c>
      <c r="AS197" s="476">
        <f>AK197+AN197+AQ197</f>
        <v>0</v>
      </c>
      <c r="AT197" s="478">
        <f t="shared" ref="AT197:AT199" si="404">SUM(AR197:AS197)</f>
        <v>0</v>
      </c>
      <c r="AU197" s="484">
        <f>I197+AI197</f>
        <v>3379516</v>
      </c>
      <c r="AV197" s="475">
        <f>J197+X197</f>
        <v>2357030</v>
      </c>
      <c r="AW197" s="475">
        <f>K197+AB197</f>
        <v>90000</v>
      </c>
      <c r="AX197" s="475">
        <f t="shared" ref="AX197:AY199" si="405">L197+AD197</f>
        <v>827096</v>
      </c>
      <c r="AY197" s="475">
        <f t="shared" si="405"/>
        <v>47140</v>
      </c>
      <c r="AZ197" s="475">
        <f>N197+AH197</f>
        <v>58250</v>
      </c>
      <c r="BA197" s="476">
        <f>O197+AT197</f>
        <v>5.0898000000000003</v>
      </c>
      <c r="BB197" s="476">
        <f t="shared" ref="BB197:BC199" si="406">P197+AR197</f>
        <v>4</v>
      </c>
      <c r="BC197" s="478">
        <f t="shared" si="406"/>
        <v>1.0897999999999999</v>
      </c>
    </row>
    <row r="198" spans="1:55" s="234" customFormat="1" ht="12.75" customHeight="1" x14ac:dyDescent="0.2">
      <c r="A198" s="221">
        <v>35</v>
      </c>
      <c r="B198" s="222">
        <v>4401</v>
      </c>
      <c r="C198" s="222">
        <v>600074196</v>
      </c>
      <c r="D198" s="222">
        <v>71011129</v>
      </c>
      <c r="E198" s="220" t="s">
        <v>216</v>
      </c>
      <c r="F198" s="222">
        <v>3111</v>
      </c>
      <c r="G198" s="172" t="s">
        <v>312</v>
      </c>
      <c r="H198" s="223" t="s">
        <v>278</v>
      </c>
      <c r="I198" s="477">
        <v>352854</v>
      </c>
      <c r="J198" s="472">
        <v>259833</v>
      </c>
      <c r="K198" s="472">
        <v>0</v>
      </c>
      <c r="L198" s="472">
        <v>87824</v>
      </c>
      <c r="M198" s="472">
        <v>5197</v>
      </c>
      <c r="N198" s="472">
        <v>0</v>
      </c>
      <c r="O198" s="473">
        <v>0.75</v>
      </c>
      <c r="P198" s="474">
        <v>0.75</v>
      </c>
      <c r="Q198" s="483">
        <v>0</v>
      </c>
      <c r="R198" s="485">
        <f t="shared" si="400"/>
        <v>0</v>
      </c>
      <c r="S198" s="475">
        <v>0</v>
      </c>
      <c r="T198" s="475">
        <v>0</v>
      </c>
      <c r="U198" s="475">
        <v>0</v>
      </c>
      <c r="V198" s="475">
        <v>0</v>
      </c>
      <c r="W198" s="475">
        <v>0</v>
      </c>
      <c r="X198" s="475">
        <f t="shared" si="278"/>
        <v>0</v>
      </c>
      <c r="Y198" s="475">
        <v>0</v>
      </c>
      <c r="Z198" s="475">
        <v>0</v>
      </c>
      <c r="AA198" s="475">
        <v>0</v>
      </c>
      <c r="AB198" s="475">
        <f t="shared" si="401"/>
        <v>0</v>
      </c>
      <c r="AC198" s="475">
        <f>X198+AB198</f>
        <v>0</v>
      </c>
      <c r="AD198" s="70">
        <f>ROUND((X198+Y198+Z198)*33.8%,0)</f>
        <v>0</v>
      </c>
      <c r="AE198" s="70">
        <f>ROUND(X198*2%,0)</f>
        <v>0</v>
      </c>
      <c r="AF198" s="475">
        <v>0</v>
      </c>
      <c r="AG198" s="475">
        <v>0</v>
      </c>
      <c r="AH198" s="475">
        <f t="shared" si="402"/>
        <v>0</v>
      </c>
      <c r="AI198" s="475">
        <f t="shared" si="403"/>
        <v>0</v>
      </c>
      <c r="AJ198" s="476">
        <v>0</v>
      </c>
      <c r="AK198" s="476">
        <v>0</v>
      </c>
      <c r="AL198" s="476">
        <v>0</v>
      </c>
      <c r="AM198" s="476">
        <v>0</v>
      </c>
      <c r="AN198" s="476">
        <v>0</v>
      </c>
      <c r="AO198" s="476">
        <v>0</v>
      </c>
      <c r="AP198" s="476">
        <v>0</v>
      </c>
      <c r="AQ198" s="476">
        <v>0</v>
      </c>
      <c r="AR198" s="476">
        <f>AJ198+AL198+AM198+AO198+AP198</f>
        <v>0</v>
      </c>
      <c r="AS198" s="476">
        <f>AK198+AN198+AQ198</f>
        <v>0</v>
      </c>
      <c r="AT198" s="478">
        <f t="shared" si="404"/>
        <v>0</v>
      </c>
      <c r="AU198" s="484">
        <f>I198+AI198</f>
        <v>352854</v>
      </c>
      <c r="AV198" s="475">
        <f>J198+X198</f>
        <v>259833</v>
      </c>
      <c r="AW198" s="475">
        <f>K198+AB198</f>
        <v>0</v>
      </c>
      <c r="AX198" s="475">
        <f t="shared" si="405"/>
        <v>87824</v>
      </c>
      <c r="AY198" s="475">
        <f t="shared" si="405"/>
        <v>5197</v>
      </c>
      <c r="AZ198" s="475">
        <f>N198+AH198</f>
        <v>0</v>
      </c>
      <c r="BA198" s="476">
        <f>O198+AT198</f>
        <v>0.75</v>
      </c>
      <c r="BB198" s="476">
        <f t="shared" si="406"/>
        <v>0.75</v>
      </c>
      <c r="BC198" s="478">
        <f t="shared" si="406"/>
        <v>0</v>
      </c>
    </row>
    <row r="199" spans="1:55" s="234" customFormat="1" ht="12.75" customHeight="1" x14ac:dyDescent="0.2">
      <c r="A199" s="221">
        <v>35</v>
      </c>
      <c r="B199" s="222">
        <v>4401</v>
      </c>
      <c r="C199" s="222">
        <v>600074196</v>
      </c>
      <c r="D199" s="222">
        <v>71011129</v>
      </c>
      <c r="E199" s="215" t="s">
        <v>216</v>
      </c>
      <c r="F199" s="222">
        <v>3141</v>
      </c>
      <c r="G199" s="172" t="s">
        <v>315</v>
      </c>
      <c r="H199" s="223" t="s">
        <v>278</v>
      </c>
      <c r="I199" s="477">
        <v>256533</v>
      </c>
      <c r="J199" s="472">
        <v>187646</v>
      </c>
      <c r="K199" s="472">
        <v>0</v>
      </c>
      <c r="L199" s="472">
        <v>63424</v>
      </c>
      <c r="M199" s="472">
        <v>3753</v>
      </c>
      <c r="N199" s="472">
        <v>1710</v>
      </c>
      <c r="O199" s="473">
        <v>0.59</v>
      </c>
      <c r="P199" s="474">
        <v>0</v>
      </c>
      <c r="Q199" s="483">
        <v>0.59</v>
      </c>
      <c r="R199" s="485">
        <f t="shared" si="400"/>
        <v>0</v>
      </c>
      <c r="S199" s="475">
        <v>0</v>
      </c>
      <c r="T199" s="475">
        <v>0</v>
      </c>
      <c r="U199" s="475">
        <v>0</v>
      </c>
      <c r="V199" s="475">
        <v>0</v>
      </c>
      <c r="W199" s="475">
        <v>0</v>
      </c>
      <c r="X199" s="475">
        <f t="shared" si="278"/>
        <v>0</v>
      </c>
      <c r="Y199" s="475">
        <v>0</v>
      </c>
      <c r="Z199" s="475">
        <v>0</v>
      </c>
      <c r="AA199" s="475">
        <v>0</v>
      </c>
      <c r="AB199" s="475">
        <f t="shared" si="401"/>
        <v>0</v>
      </c>
      <c r="AC199" s="475">
        <f>X199+AB199</f>
        <v>0</v>
      </c>
      <c r="AD199" s="70">
        <f>ROUND((X199+Y199+Z199)*33.8%,0)</f>
        <v>0</v>
      </c>
      <c r="AE199" s="70">
        <f>ROUND(X199*2%,0)</f>
        <v>0</v>
      </c>
      <c r="AF199" s="475">
        <v>0</v>
      </c>
      <c r="AG199" s="475">
        <v>0</v>
      </c>
      <c r="AH199" s="475">
        <f t="shared" si="402"/>
        <v>0</v>
      </c>
      <c r="AI199" s="475">
        <f t="shared" si="403"/>
        <v>0</v>
      </c>
      <c r="AJ199" s="476">
        <v>0</v>
      </c>
      <c r="AK199" s="476">
        <v>0</v>
      </c>
      <c r="AL199" s="476">
        <v>0</v>
      </c>
      <c r="AM199" s="476">
        <v>0</v>
      </c>
      <c r="AN199" s="476">
        <v>0</v>
      </c>
      <c r="AO199" s="476">
        <v>0</v>
      </c>
      <c r="AP199" s="476">
        <v>0</v>
      </c>
      <c r="AQ199" s="476">
        <v>0</v>
      </c>
      <c r="AR199" s="476">
        <f>AJ199+AL199+AM199+AO199+AP199</f>
        <v>0</v>
      </c>
      <c r="AS199" s="476">
        <f>AK199+AN199+AQ199</f>
        <v>0</v>
      </c>
      <c r="AT199" s="478">
        <f t="shared" si="404"/>
        <v>0</v>
      </c>
      <c r="AU199" s="484">
        <f>I199+AI199</f>
        <v>256533</v>
      </c>
      <c r="AV199" s="475">
        <f>J199+X199</f>
        <v>187646</v>
      </c>
      <c r="AW199" s="475">
        <f>K199+AB199</f>
        <v>0</v>
      </c>
      <c r="AX199" s="475">
        <f t="shared" si="405"/>
        <v>63424</v>
      </c>
      <c r="AY199" s="475">
        <f t="shared" si="405"/>
        <v>3753</v>
      </c>
      <c r="AZ199" s="475">
        <f>N199+AH199</f>
        <v>1710</v>
      </c>
      <c r="BA199" s="476">
        <f>O199+AT199</f>
        <v>0.59</v>
      </c>
      <c r="BB199" s="476">
        <f t="shared" si="406"/>
        <v>0</v>
      </c>
      <c r="BC199" s="478">
        <f t="shared" si="406"/>
        <v>0.59</v>
      </c>
    </row>
    <row r="200" spans="1:55" s="234" customFormat="1" ht="12.75" customHeight="1" x14ac:dyDescent="0.2">
      <c r="A200" s="162">
        <v>35</v>
      </c>
      <c r="B200" s="18">
        <v>4401</v>
      </c>
      <c r="C200" s="18">
        <v>600074196</v>
      </c>
      <c r="D200" s="18">
        <v>71011129</v>
      </c>
      <c r="E200" s="171" t="s">
        <v>217</v>
      </c>
      <c r="F200" s="18"/>
      <c r="G200" s="161"/>
      <c r="H200" s="195"/>
      <c r="I200" s="529">
        <v>3988903</v>
      </c>
      <c r="J200" s="526">
        <v>2804509</v>
      </c>
      <c r="K200" s="526">
        <v>90000</v>
      </c>
      <c r="L200" s="526">
        <v>978344</v>
      </c>
      <c r="M200" s="526">
        <v>56090</v>
      </c>
      <c r="N200" s="526">
        <v>59960</v>
      </c>
      <c r="O200" s="527">
        <v>6.4298000000000002</v>
      </c>
      <c r="P200" s="527">
        <v>4.75</v>
      </c>
      <c r="Q200" s="531">
        <v>1.6797999999999997</v>
      </c>
      <c r="R200" s="529">
        <f t="shared" ref="R200:BC200" si="407">SUM(R197:R199)</f>
        <v>0</v>
      </c>
      <c r="S200" s="526">
        <f t="shared" si="407"/>
        <v>0</v>
      </c>
      <c r="T200" s="526">
        <f t="shared" si="407"/>
        <v>0</v>
      </c>
      <c r="U200" s="526">
        <f t="shared" si="407"/>
        <v>0</v>
      </c>
      <c r="V200" s="526">
        <f t="shared" si="407"/>
        <v>0</v>
      </c>
      <c r="W200" s="526">
        <f t="shared" si="407"/>
        <v>0</v>
      </c>
      <c r="X200" s="526">
        <f t="shared" si="407"/>
        <v>0</v>
      </c>
      <c r="Y200" s="526">
        <f t="shared" si="407"/>
        <v>0</v>
      </c>
      <c r="Z200" s="526">
        <f t="shared" si="407"/>
        <v>0</v>
      </c>
      <c r="AA200" s="526">
        <f t="shared" si="407"/>
        <v>0</v>
      </c>
      <c r="AB200" s="526">
        <f t="shared" si="407"/>
        <v>0</v>
      </c>
      <c r="AC200" s="526">
        <f t="shared" si="407"/>
        <v>0</v>
      </c>
      <c r="AD200" s="526">
        <f t="shared" si="407"/>
        <v>0</v>
      </c>
      <c r="AE200" s="526">
        <f t="shared" si="407"/>
        <v>0</v>
      </c>
      <c r="AF200" s="526">
        <f t="shared" si="407"/>
        <v>0</v>
      </c>
      <c r="AG200" s="526">
        <f t="shared" si="407"/>
        <v>0</v>
      </c>
      <c r="AH200" s="526">
        <f t="shared" si="407"/>
        <v>0</v>
      </c>
      <c r="AI200" s="526">
        <f t="shared" si="407"/>
        <v>0</v>
      </c>
      <c r="AJ200" s="527">
        <f t="shared" si="407"/>
        <v>0</v>
      </c>
      <c r="AK200" s="527">
        <f t="shared" si="407"/>
        <v>0</v>
      </c>
      <c r="AL200" s="527">
        <f t="shared" si="407"/>
        <v>0</v>
      </c>
      <c r="AM200" s="527">
        <f t="shared" si="407"/>
        <v>0</v>
      </c>
      <c r="AN200" s="527">
        <f t="shared" si="407"/>
        <v>0</v>
      </c>
      <c r="AO200" s="527">
        <f t="shared" si="407"/>
        <v>0</v>
      </c>
      <c r="AP200" s="527">
        <f t="shared" si="407"/>
        <v>0</v>
      </c>
      <c r="AQ200" s="527">
        <f t="shared" si="407"/>
        <v>0</v>
      </c>
      <c r="AR200" s="527">
        <f t="shared" si="407"/>
        <v>0</v>
      </c>
      <c r="AS200" s="527">
        <f t="shared" si="407"/>
        <v>0</v>
      </c>
      <c r="AT200" s="40">
        <f t="shared" si="407"/>
        <v>0</v>
      </c>
      <c r="AU200" s="533">
        <f t="shared" si="407"/>
        <v>3988903</v>
      </c>
      <c r="AV200" s="526">
        <f t="shared" si="407"/>
        <v>2804509</v>
      </c>
      <c r="AW200" s="526">
        <f t="shared" si="407"/>
        <v>90000</v>
      </c>
      <c r="AX200" s="526">
        <f t="shared" si="407"/>
        <v>978344</v>
      </c>
      <c r="AY200" s="526">
        <f t="shared" si="407"/>
        <v>56090</v>
      </c>
      <c r="AZ200" s="526">
        <f t="shared" si="407"/>
        <v>59960</v>
      </c>
      <c r="BA200" s="527">
        <f t="shared" si="407"/>
        <v>6.4298000000000002</v>
      </c>
      <c r="BB200" s="527">
        <f t="shared" si="407"/>
        <v>4.75</v>
      </c>
      <c r="BC200" s="40">
        <f t="shared" si="407"/>
        <v>1.6797999999999997</v>
      </c>
    </row>
    <row r="201" spans="1:55" s="234" customFormat="1" ht="12.75" customHeight="1" x14ac:dyDescent="0.2">
      <c r="A201" s="221">
        <v>36</v>
      </c>
      <c r="B201" s="222">
        <v>4453</v>
      </c>
      <c r="C201" s="222">
        <v>600074790</v>
      </c>
      <c r="D201" s="222">
        <v>71011111</v>
      </c>
      <c r="E201" s="220" t="s">
        <v>218</v>
      </c>
      <c r="F201" s="222">
        <v>3113</v>
      </c>
      <c r="G201" s="172" t="s">
        <v>314</v>
      </c>
      <c r="H201" s="223" t="s">
        <v>277</v>
      </c>
      <c r="I201" s="477">
        <v>11925009</v>
      </c>
      <c r="J201" s="472">
        <v>8579852</v>
      </c>
      <c r="K201" s="472">
        <v>30000</v>
      </c>
      <c r="L201" s="472">
        <v>2910130</v>
      </c>
      <c r="M201" s="472">
        <v>171597</v>
      </c>
      <c r="N201" s="472">
        <v>233430</v>
      </c>
      <c r="O201" s="473">
        <v>16.181799999999999</v>
      </c>
      <c r="P201" s="474">
        <v>11.6973</v>
      </c>
      <c r="Q201" s="483">
        <v>4.4845000000000006</v>
      </c>
      <c r="R201" s="485">
        <f t="shared" ref="R201:R205" si="408">Y201*-1</f>
        <v>0</v>
      </c>
      <c r="S201" s="475">
        <v>0</v>
      </c>
      <c r="T201" s="475">
        <v>0</v>
      </c>
      <c r="U201" s="475">
        <v>0</v>
      </c>
      <c r="V201" s="475">
        <v>0</v>
      </c>
      <c r="W201" s="475">
        <v>0</v>
      </c>
      <c r="X201" s="475">
        <f t="shared" si="278"/>
        <v>0</v>
      </c>
      <c r="Y201" s="475">
        <v>0</v>
      </c>
      <c r="Z201" s="475">
        <v>0</v>
      </c>
      <c r="AA201" s="475">
        <v>0</v>
      </c>
      <c r="AB201" s="475">
        <f t="shared" ref="AB201:AB205" si="409">SUM(Y201:AA201)</f>
        <v>0</v>
      </c>
      <c r="AC201" s="475">
        <f>X201+AB201</f>
        <v>0</v>
      </c>
      <c r="AD201" s="70">
        <f>ROUND((X201+Y201+Z201)*33.8%,0)</f>
        <v>0</v>
      </c>
      <c r="AE201" s="70">
        <f>ROUND(X201*2%,0)</f>
        <v>0</v>
      </c>
      <c r="AF201" s="475">
        <v>0</v>
      </c>
      <c r="AG201" s="475">
        <v>0</v>
      </c>
      <c r="AH201" s="475">
        <f t="shared" ref="AH201:AH205" si="410">SUM(AF201:AG201)</f>
        <v>0</v>
      </c>
      <c r="AI201" s="475">
        <f t="shared" ref="AI201:AI205" si="411">AC201+AD201+AE201+AH201</f>
        <v>0</v>
      </c>
      <c r="AJ201" s="476">
        <v>0</v>
      </c>
      <c r="AK201" s="476">
        <v>0</v>
      </c>
      <c r="AL201" s="476">
        <v>0</v>
      </c>
      <c r="AM201" s="476">
        <v>0</v>
      </c>
      <c r="AN201" s="476">
        <v>0</v>
      </c>
      <c r="AO201" s="476">
        <v>0</v>
      </c>
      <c r="AP201" s="476">
        <v>0</v>
      </c>
      <c r="AQ201" s="476">
        <v>0</v>
      </c>
      <c r="AR201" s="476">
        <f>AJ201+AL201+AM201+AO201+AP201</f>
        <v>0</v>
      </c>
      <c r="AS201" s="476">
        <f>AK201+AN201+AQ201</f>
        <v>0</v>
      </c>
      <c r="AT201" s="478">
        <f t="shared" ref="AT201:AT205" si="412">SUM(AR201:AS201)</f>
        <v>0</v>
      </c>
      <c r="AU201" s="484">
        <f>I201+AI201</f>
        <v>11925009</v>
      </c>
      <c r="AV201" s="475">
        <f>J201+X201</f>
        <v>8579852</v>
      </c>
      <c r="AW201" s="475">
        <f>K201+AB201</f>
        <v>30000</v>
      </c>
      <c r="AX201" s="475">
        <f t="shared" ref="AX201:AY205" si="413">L201+AD201</f>
        <v>2910130</v>
      </c>
      <c r="AY201" s="475">
        <f t="shared" si="413"/>
        <v>171597</v>
      </c>
      <c r="AZ201" s="475">
        <f>N201+AH201</f>
        <v>233430</v>
      </c>
      <c r="BA201" s="476">
        <f>O201+AT201</f>
        <v>16.181799999999999</v>
      </c>
      <c r="BB201" s="476">
        <f t="shared" ref="BB201:BC205" si="414">P201+AR201</f>
        <v>11.6973</v>
      </c>
      <c r="BC201" s="478">
        <f t="shared" si="414"/>
        <v>4.4845000000000006</v>
      </c>
    </row>
    <row r="202" spans="1:55" s="234" customFormat="1" ht="12.75" customHeight="1" x14ac:dyDescent="0.2">
      <c r="A202" s="221">
        <v>36</v>
      </c>
      <c r="B202" s="222">
        <v>4453</v>
      </c>
      <c r="C202" s="222">
        <v>600074790</v>
      </c>
      <c r="D202" s="222">
        <v>71011111</v>
      </c>
      <c r="E202" s="220" t="s">
        <v>218</v>
      </c>
      <c r="F202" s="222">
        <v>3113</v>
      </c>
      <c r="G202" s="172" t="s">
        <v>312</v>
      </c>
      <c r="H202" s="223" t="s">
        <v>278</v>
      </c>
      <c r="I202" s="477">
        <v>418201</v>
      </c>
      <c r="J202" s="472">
        <v>307954</v>
      </c>
      <c r="K202" s="472">
        <v>0</v>
      </c>
      <c r="L202" s="472">
        <v>104088</v>
      </c>
      <c r="M202" s="472">
        <v>6159</v>
      </c>
      <c r="N202" s="472">
        <v>0</v>
      </c>
      <c r="O202" s="473">
        <v>0.89</v>
      </c>
      <c r="P202" s="474">
        <v>0.89</v>
      </c>
      <c r="Q202" s="483">
        <v>0</v>
      </c>
      <c r="R202" s="485">
        <f t="shared" si="408"/>
        <v>0</v>
      </c>
      <c r="S202" s="475">
        <v>0</v>
      </c>
      <c r="T202" s="475">
        <v>0</v>
      </c>
      <c r="U202" s="475">
        <v>0</v>
      </c>
      <c r="V202" s="475">
        <v>0</v>
      </c>
      <c r="W202" s="475">
        <v>0</v>
      </c>
      <c r="X202" s="475">
        <f t="shared" si="278"/>
        <v>0</v>
      </c>
      <c r="Y202" s="475">
        <v>0</v>
      </c>
      <c r="Z202" s="475">
        <v>0</v>
      </c>
      <c r="AA202" s="475">
        <v>0</v>
      </c>
      <c r="AB202" s="475">
        <f t="shared" si="409"/>
        <v>0</v>
      </c>
      <c r="AC202" s="475">
        <f>X202+AB202</f>
        <v>0</v>
      </c>
      <c r="AD202" s="70">
        <f>ROUND((X202+Y202+Z202)*33.8%,0)</f>
        <v>0</v>
      </c>
      <c r="AE202" s="70">
        <f>ROUND(X202*2%,0)</f>
        <v>0</v>
      </c>
      <c r="AF202" s="475">
        <v>0</v>
      </c>
      <c r="AG202" s="475">
        <v>0</v>
      </c>
      <c r="AH202" s="475">
        <f t="shared" si="410"/>
        <v>0</v>
      </c>
      <c r="AI202" s="475">
        <f t="shared" si="411"/>
        <v>0</v>
      </c>
      <c r="AJ202" s="476">
        <v>0</v>
      </c>
      <c r="AK202" s="476">
        <v>0</v>
      </c>
      <c r="AL202" s="476">
        <v>0</v>
      </c>
      <c r="AM202" s="476">
        <v>0</v>
      </c>
      <c r="AN202" s="476">
        <v>0</v>
      </c>
      <c r="AO202" s="476">
        <v>0</v>
      </c>
      <c r="AP202" s="476">
        <v>0</v>
      </c>
      <c r="AQ202" s="476">
        <v>0</v>
      </c>
      <c r="AR202" s="476">
        <f>AJ202+AL202+AM202+AO202+AP202</f>
        <v>0</v>
      </c>
      <c r="AS202" s="476">
        <f>AK202+AN202+AQ202</f>
        <v>0</v>
      </c>
      <c r="AT202" s="478">
        <f t="shared" si="412"/>
        <v>0</v>
      </c>
      <c r="AU202" s="484">
        <f>I202+AI202</f>
        <v>418201</v>
      </c>
      <c r="AV202" s="475">
        <f>J202+X202</f>
        <v>307954</v>
      </c>
      <c r="AW202" s="475">
        <f>K202+AB202</f>
        <v>0</v>
      </c>
      <c r="AX202" s="475">
        <f t="shared" si="413"/>
        <v>104088</v>
      </c>
      <c r="AY202" s="475">
        <f t="shared" si="413"/>
        <v>6159</v>
      </c>
      <c r="AZ202" s="475">
        <f>N202+AH202</f>
        <v>0</v>
      </c>
      <c r="BA202" s="476">
        <f>O202+AT202</f>
        <v>0.89</v>
      </c>
      <c r="BB202" s="476">
        <f t="shared" si="414"/>
        <v>0.89</v>
      </c>
      <c r="BC202" s="478">
        <f t="shared" si="414"/>
        <v>0</v>
      </c>
    </row>
    <row r="203" spans="1:55" s="234" customFormat="1" ht="12.75" customHeight="1" x14ac:dyDescent="0.2">
      <c r="A203" s="221">
        <v>36</v>
      </c>
      <c r="B203" s="222">
        <v>4453</v>
      </c>
      <c r="C203" s="222">
        <v>600074790</v>
      </c>
      <c r="D203" s="222">
        <v>71011111</v>
      </c>
      <c r="E203" s="220" t="s">
        <v>218</v>
      </c>
      <c r="F203" s="222">
        <v>3141</v>
      </c>
      <c r="G203" s="172" t="s">
        <v>315</v>
      </c>
      <c r="H203" s="223" t="s">
        <v>278</v>
      </c>
      <c r="I203" s="477">
        <v>1386742</v>
      </c>
      <c r="J203" s="472">
        <v>1014866</v>
      </c>
      <c r="K203" s="472">
        <v>0</v>
      </c>
      <c r="L203" s="472">
        <v>343025</v>
      </c>
      <c r="M203" s="472">
        <v>20297</v>
      </c>
      <c r="N203" s="472">
        <v>8554</v>
      </c>
      <c r="O203" s="473">
        <v>3.2</v>
      </c>
      <c r="P203" s="474">
        <v>0</v>
      </c>
      <c r="Q203" s="483">
        <v>3.2</v>
      </c>
      <c r="R203" s="485">
        <f t="shared" si="408"/>
        <v>0</v>
      </c>
      <c r="S203" s="475">
        <v>0</v>
      </c>
      <c r="T203" s="475">
        <v>20561</v>
      </c>
      <c r="U203" s="475">
        <v>0</v>
      </c>
      <c r="V203" s="475">
        <v>0</v>
      </c>
      <c r="W203" s="475">
        <v>0</v>
      </c>
      <c r="X203" s="475">
        <f t="shared" si="278"/>
        <v>20561</v>
      </c>
      <c r="Y203" s="475">
        <v>0</v>
      </c>
      <c r="Z203" s="475">
        <v>0</v>
      </c>
      <c r="AA203" s="475">
        <v>0</v>
      </c>
      <c r="AB203" s="475">
        <f t="shared" si="409"/>
        <v>0</v>
      </c>
      <c r="AC203" s="475">
        <f>X203+AB203</f>
        <v>20561</v>
      </c>
      <c r="AD203" s="70">
        <f>ROUND((X203+Y203+Z203)*33.8%,0)</f>
        <v>6950</v>
      </c>
      <c r="AE203" s="70">
        <f>ROUND(X203*2%,0)</f>
        <v>411</v>
      </c>
      <c r="AF203" s="475">
        <v>0</v>
      </c>
      <c r="AG203" s="475">
        <v>0</v>
      </c>
      <c r="AH203" s="475">
        <f t="shared" si="410"/>
        <v>0</v>
      </c>
      <c r="AI203" s="475">
        <f t="shared" si="411"/>
        <v>27922</v>
      </c>
      <c r="AJ203" s="476">
        <v>0</v>
      </c>
      <c r="AK203" s="476">
        <v>0</v>
      </c>
      <c r="AL203" s="476">
        <v>0</v>
      </c>
      <c r="AM203" s="476">
        <v>0</v>
      </c>
      <c r="AN203" s="476">
        <v>0.06</v>
      </c>
      <c r="AO203" s="476">
        <v>0</v>
      </c>
      <c r="AP203" s="476">
        <v>0</v>
      </c>
      <c r="AQ203" s="476">
        <v>0</v>
      </c>
      <c r="AR203" s="476">
        <f>AJ203+AL203+AM203+AO203+AP203</f>
        <v>0</v>
      </c>
      <c r="AS203" s="476">
        <f>AK203+AN203+AQ203</f>
        <v>0.06</v>
      </c>
      <c r="AT203" s="478">
        <f t="shared" si="412"/>
        <v>0.06</v>
      </c>
      <c r="AU203" s="484">
        <f>I203+AI203</f>
        <v>1414664</v>
      </c>
      <c r="AV203" s="475">
        <f>J203+X203</f>
        <v>1035427</v>
      </c>
      <c r="AW203" s="475">
        <f>K203+AB203</f>
        <v>0</v>
      </c>
      <c r="AX203" s="475">
        <f t="shared" si="413"/>
        <v>349975</v>
      </c>
      <c r="AY203" s="475">
        <f t="shared" si="413"/>
        <v>20708</v>
      </c>
      <c r="AZ203" s="475">
        <f>N203+AH203</f>
        <v>8554</v>
      </c>
      <c r="BA203" s="476">
        <f>O203+AT203</f>
        <v>3.2600000000000002</v>
      </c>
      <c r="BB203" s="476">
        <f t="shared" si="414"/>
        <v>0</v>
      </c>
      <c r="BC203" s="478">
        <f t="shared" si="414"/>
        <v>3.2600000000000002</v>
      </c>
    </row>
    <row r="204" spans="1:55" s="234" customFormat="1" ht="12.75" customHeight="1" x14ac:dyDescent="0.2">
      <c r="A204" s="221">
        <v>36</v>
      </c>
      <c r="B204" s="222">
        <v>4453</v>
      </c>
      <c r="C204" s="222">
        <v>600074790</v>
      </c>
      <c r="D204" s="222">
        <v>71011111</v>
      </c>
      <c r="E204" s="215" t="s">
        <v>218</v>
      </c>
      <c r="F204" s="222">
        <v>3143</v>
      </c>
      <c r="G204" s="172" t="s">
        <v>626</v>
      </c>
      <c r="H204" s="239" t="s">
        <v>277</v>
      </c>
      <c r="I204" s="477">
        <v>697655</v>
      </c>
      <c r="J204" s="472">
        <v>513737</v>
      </c>
      <c r="K204" s="472">
        <v>0</v>
      </c>
      <c r="L204" s="472">
        <v>173643</v>
      </c>
      <c r="M204" s="472">
        <v>10275</v>
      </c>
      <c r="N204" s="472">
        <v>0</v>
      </c>
      <c r="O204" s="473">
        <v>1.2916000000000001</v>
      </c>
      <c r="P204" s="474">
        <v>1.2916000000000001</v>
      </c>
      <c r="Q204" s="483">
        <v>0</v>
      </c>
      <c r="R204" s="485">
        <f t="shared" si="408"/>
        <v>0</v>
      </c>
      <c r="S204" s="475">
        <v>0</v>
      </c>
      <c r="T204" s="475">
        <v>0</v>
      </c>
      <c r="U204" s="475">
        <v>0</v>
      </c>
      <c r="V204" s="475">
        <v>0</v>
      </c>
      <c r="W204" s="475">
        <v>0</v>
      </c>
      <c r="X204" s="475">
        <f t="shared" si="278"/>
        <v>0</v>
      </c>
      <c r="Y204" s="475">
        <v>0</v>
      </c>
      <c r="Z204" s="475">
        <v>0</v>
      </c>
      <c r="AA204" s="475">
        <v>0</v>
      </c>
      <c r="AB204" s="475">
        <f t="shared" si="409"/>
        <v>0</v>
      </c>
      <c r="AC204" s="475">
        <f>X204+AB204</f>
        <v>0</v>
      </c>
      <c r="AD204" s="70">
        <f>ROUND((X204+Y204+Z204)*33.8%,0)</f>
        <v>0</v>
      </c>
      <c r="AE204" s="70">
        <f>ROUND(X204*2%,0)</f>
        <v>0</v>
      </c>
      <c r="AF204" s="475">
        <v>0</v>
      </c>
      <c r="AG204" s="475">
        <v>0</v>
      </c>
      <c r="AH204" s="475">
        <f t="shared" si="410"/>
        <v>0</v>
      </c>
      <c r="AI204" s="475">
        <f t="shared" si="411"/>
        <v>0</v>
      </c>
      <c r="AJ204" s="476">
        <v>0</v>
      </c>
      <c r="AK204" s="476">
        <v>0</v>
      </c>
      <c r="AL204" s="476">
        <v>0</v>
      </c>
      <c r="AM204" s="476">
        <v>0</v>
      </c>
      <c r="AN204" s="476">
        <v>0</v>
      </c>
      <c r="AO204" s="476">
        <v>0</v>
      </c>
      <c r="AP204" s="476">
        <v>0</v>
      </c>
      <c r="AQ204" s="476">
        <v>0</v>
      </c>
      <c r="AR204" s="476">
        <f>AJ204+AL204+AM204+AO204+AP204</f>
        <v>0</v>
      </c>
      <c r="AS204" s="476">
        <f>AK204+AN204+AQ204</f>
        <v>0</v>
      </c>
      <c r="AT204" s="478">
        <f t="shared" si="412"/>
        <v>0</v>
      </c>
      <c r="AU204" s="484">
        <f>I204+AI204</f>
        <v>697655</v>
      </c>
      <c r="AV204" s="475">
        <f>J204+X204</f>
        <v>513737</v>
      </c>
      <c r="AW204" s="475">
        <f>K204+AB204</f>
        <v>0</v>
      </c>
      <c r="AX204" s="475">
        <f t="shared" si="413"/>
        <v>173643</v>
      </c>
      <c r="AY204" s="475">
        <f t="shared" si="413"/>
        <v>10275</v>
      </c>
      <c r="AZ204" s="475">
        <f>N204+AH204</f>
        <v>0</v>
      </c>
      <c r="BA204" s="476">
        <f>O204+AT204</f>
        <v>1.2916000000000001</v>
      </c>
      <c r="BB204" s="476">
        <f t="shared" si="414"/>
        <v>1.2916000000000001</v>
      </c>
      <c r="BC204" s="478">
        <f t="shared" si="414"/>
        <v>0</v>
      </c>
    </row>
    <row r="205" spans="1:55" s="234" customFormat="1" ht="12.75" customHeight="1" x14ac:dyDescent="0.2">
      <c r="A205" s="221">
        <v>36</v>
      </c>
      <c r="B205" s="222">
        <v>4453</v>
      </c>
      <c r="C205" s="222">
        <v>600074790</v>
      </c>
      <c r="D205" s="222">
        <v>71011111</v>
      </c>
      <c r="E205" s="215" t="s">
        <v>218</v>
      </c>
      <c r="F205" s="222">
        <v>3143</v>
      </c>
      <c r="G205" s="172" t="s">
        <v>627</v>
      </c>
      <c r="H205" s="239" t="s">
        <v>278</v>
      </c>
      <c r="I205" s="477">
        <v>32508</v>
      </c>
      <c r="J205" s="472">
        <v>22988</v>
      </c>
      <c r="K205" s="472">
        <v>0</v>
      </c>
      <c r="L205" s="472">
        <v>7770</v>
      </c>
      <c r="M205" s="472">
        <v>460</v>
      </c>
      <c r="N205" s="472">
        <v>1290</v>
      </c>
      <c r="O205" s="473">
        <v>0.09</v>
      </c>
      <c r="P205" s="474">
        <v>0</v>
      </c>
      <c r="Q205" s="483">
        <v>0.09</v>
      </c>
      <c r="R205" s="485">
        <f t="shared" si="408"/>
        <v>0</v>
      </c>
      <c r="S205" s="475">
        <v>0</v>
      </c>
      <c r="T205" s="475">
        <v>0</v>
      </c>
      <c r="U205" s="475">
        <v>0</v>
      </c>
      <c r="V205" s="475">
        <v>0</v>
      </c>
      <c r="W205" s="475">
        <v>0</v>
      </c>
      <c r="X205" s="475">
        <f t="shared" ref="X205:X268" si="415">SUM(R205:W205)</f>
        <v>0</v>
      </c>
      <c r="Y205" s="475">
        <v>0</v>
      </c>
      <c r="Z205" s="475">
        <v>0</v>
      </c>
      <c r="AA205" s="475">
        <v>0</v>
      </c>
      <c r="AB205" s="475">
        <f t="shared" si="409"/>
        <v>0</v>
      </c>
      <c r="AC205" s="475">
        <f>X205+AB205</f>
        <v>0</v>
      </c>
      <c r="AD205" s="70">
        <f>ROUND((X205+Y205+Z205)*33.8%,0)</f>
        <v>0</v>
      </c>
      <c r="AE205" s="70">
        <f>ROUND(X205*2%,0)</f>
        <v>0</v>
      </c>
      <c r="AF205" s="475">
        <v>0</v>
      </c>
      <c r="AG205" s="475">
        <v>0</v>
      </c>
      <c r="AH205" s="475">
        <f t="shared" si="410"/>
        <v>0</v>
      </c>
      <c r="AI205" s="475">
        <f t="shared" si="411"/>
        <v>0</v>
      </c>
      <c r="AJ205" s="476">
        <v>0</v>
      </c>
      <c r="AK205" s="476">
        <v>0</v>
      </c>
      <c r="AL205" s="476">
        <v>0</v>
      </c>
      <c r="AM205" s="476">
        <v>0</v>
      </c>
      <c r="AN205" s="476">
        <v>0</v>
      </c>
      <c r="AO205" s="476">
        <v>0</v>
      </c>
      <c r="AP205" s="476">
        <v>0</v>
      </c>
      <c r="AQ205" s="476">
        <v>0</v>
      </c>
      <c r="AR205" s="476">
        <f>AJ205+AL205+AM205+AO205+AP205</f>
        <v>0</v>
      </c>
      <c r="AS205" s="476">
        <f>AK205+AN205+AQ205</f>
        <v>0</v>
      </c>
      <c r="AT205" s="478">
        <f t="shared" si="412"/>
        <v>0</v>
      </c>
      <c r="AU205" s="484">
        <f>I205+AI205</f>
        <v>32508</v>
      </c>
      <c r="AV205" s="475">
        <f>J205+X205</f>
        <v>22988</v>
      </c>
      <c r="AW205" s="475">
        <f>K205+AB205</f>
        <v>0</v>
      </c>
      <c r="AX205" s="475">
        <f t="shared" si="413"/>
        <v>7770</v>
      </c>
      <c r="AY205" s="475">
        <f t="shared" si="413"/>
        <v>460</v>
      </c>
      <c r="AZ205" s="475">
        <f>N205+AH205</f>
        <v>1290</v>
      </c>
      <c r="BA205" s="476">
        <f>O205+AT205</f>
        <v>0.09</v>
      </c>
      <c r="BB205" s="476">
        <f t="shared" si="414"/>
        <v>0</v>
      </c>
      <c r="BC205" s="478">
        <f t="shared" si="414"/>
        <v>0.09</v>
      </c>
    </row>
    <row r="206" spans="1:55" s="234" customFormat="1" ht="12.75" customHeight="1" x14ac:dyDescent="0.2">
      <c r="A206" s="162">
        <v>36</v>
      </c>
      <c r="B206" s="18">
        <v>4453</v>
      </c>
      <c r="C206" s="18">
        <v>600074790</v>
      </c>
      <c r="D206" s="18">
        <v>71011111</v>
      </c>
      <c r="E206" s="171" t="s">
        <v>219</v>
      </c>
      <c r="F206" s="18"/>
      <c r="G206" s="161"/>
      <c r="H206" s="195"/>
      <c r="I206" s="529">
        <v>14460115</v>
      </c>
      <c r="J206" s="526">
        <v>10439397</v>
      </c>
      <c r="K206" s="526">
        <v>30000</v>
      </c>
      <c r="L206" s="526">
        <v>3538656</v>
      </c>
      <c r="M206" s="526">
        <v>208788</v>
      </c>
      <c r="N206" s="526">
        <v>243274</v>
      </c>
      <c r="O206" s="527">
        <v>21.653399999999998</v>
      </c>
      <c r="P206" s="527">
        <v>13.878900000000002</v>
      </c>
      <c r="Q206" s="531">
        <v>7.7745000000000006</v>
      </c>
      <c r="R206" s="529">
        <f t="shared" ref="R206:BC206" si="416">SUM(R201:R205)</f>
        <v>0</v>
      </c>
      <c r="S206" s="526">
        <f t="shared" si="416"/>
        <v>0</v>
      </c>
      <c r="T206" s="526">
        <f t="shared" si="416"/>
        <v>20561</v>
      </c>
      <c r="U206" s="526">
        <f t="shared" si="416"/>
        <v>0</v>
      </c>
      <c r="V206" s="526">
        <f t="shared" si="416"/>
        <v>0</v>
      </c>
      <c r="W206" s="526">
        <f t="shared" si="416"/>
        <v>0</v>
      </c>
      <c r="X206" s="526">
        <f t="shared" si="416"/>
        <v>20561</v>
      </c>
      <c r="Y206" s="526">
        <f t="shared" si="416"/>
        <v>0</v>
      </c>
      <c r="Z206" s="526">
        <f t="shared" si="416"/>
        <v>0</v>
      </c>
      <c r="AA206" s="526">
        <f t="shared" si="416"/>
        <v>0</v>
      </c>
      <c r="AB206" s="526">
        <f t="shared" si="416"/>
        <v>0</v>
      </c>
      <c r="AC206" s="526">
        <f t="shared" si="416"/>
        <v>20561</v>
      </c>
      <c r="AD206" s="526">
        <f t="shared" si="416"/>
        <v>6950</v>
      </c>
      <c r="AE206" s="526">
        <f t="shared" si="416"/>
        <v>411</v>
      </c>
      <c r="AF206" s="526">
        <f t="shared" si="416"/>
        <v>0</v>
      </c>
      <c r="AG206" s="526">
        <f t="shared" si="416"/>
        <v>0</v>
      </c>
      <c r="AH206" s="526">
        <f t="shared" si="416"/>
        <v>0</v>
      </c>
      <c r="AI206" s="526">
        <f t="shared" si="416"/>
        <v>27922</v>
      </c>
      <c r="AJ206" s="527">
        <f t="shared" si="416"/>
        <v>0</v>
      </c>
      <c r="AK206" s="527">
        <f t="shared" si="416"/>
        <v>0</v>
      </c>
      <c r="AL206" s="527">
        <f t="shared" si="416"/>
        <v>0</v>
      </c>
      <c r="AM206" s="527">
        <f t="shared" si="416"/>
        <v>0</v>
      </c>
      <c r="AN206" s="527">
        <f t="shared" si="416"/>
        <v>0.06</v>
      </c>
      <c r="AO206" s="527">
        <f t="shared" si="416"/>
        <v>0</v>
      </c>
      <c r="AP206" s="527">
        <f t="shared" si="416"/>
        <v>0</v>
      </c>
      <c r="AQ206" s="527">
        <f t="shared" si="416"/>
        <v>0</v>
      </c>
      <c r="AR206" s="527">
        <f t="shared" si="416"/>
        <v>0</v>
      </c>
      <c r="AS206" s="527">
        <f t="shared" si="416"/>
        <v>0.06</v>
      </c>
      <c r="AT206" s="40">
        <f t="shared" si="416"/>
        <v>0.06</v>
      </c>
      <c r="AU206" s="533">
        <f t="shared" si="416"/>
        <v>14488037</v>
      </c>
      <c r="AV206" s="526">
        <f t="shared" si="416"/>
        <v>10459958</v>
      </c>
      <c r="AW206" s="526">
        <f t="shared" si="416"/>
        <v>30000</v>
      </c>
      <c r="AX206" s="526">
        <f t="shared" si="416"/>
        <v>3545606</v>
      </c>
      <c r="AY206" s="526">
        <f t="shared" si="416"/>
        <v>209199</v>
      </c>
      <c r="AZ206" s="526">
        <f t="shared" si="416"/>
        <v>243274</v>
      </c>
      <c r="BA206" s="527">
        <f t="shared" si="416"/>
        <v>21.7134</v>
      </c>
      <c r="BB206" s="527">
        <f t="shared" si="416"/>
        <v>13.878900000000002</v>
      </c>
      <c r="BC206" s="40">
        <f t="shared" si="416"/>
        <v>7.8345000000000002</v>
      </c>
    </row>
    <row r="207" spans="1:55" s="234" customFormat="1" ht="12.75" customHeight="1" x14ac:dyDescent="0.2">
      <c r="A207" s="221">
        <v>37</v>
      </c>
      <c r="B207" s="222">
        <v>4467</v>
      </c>
      <c r="C207" s="222">
        <v>600074935</v>
      </c>
      <c r="D207" s="222">
        <v>48282545</v>
      </c>
      <c r="E207" s="220" t="s">
        <v>220</v>
      </c>
      <c r="F207" s="222">
        <v>3111</v>
      </c>
      <c r="G207" s="172" t="s">
        <v>311</v>
      </c>
      <c r="H207" s="223" t="s">
        <v>277</v>
      </c>
      <c r="I207" s="477">
        <v>9267198</v>
      </c>
      <c r="J207" s="472">
        <v>6782068</v>
      </c>
      <c r="K207" s="472">
        <v>0</v>
      </c>
      <c r="L207" s="472">
        <v>2292339</v>
      </c>
      <c r="M207" s="472">
        <v>135641</v>
      </c>
      <c r="N207" s="472">
        <v>57150</v>
      </c>
      <c r="O207" s="473">
        <v>15.000999999999999</v>
      </c>
      <c r="P207" s="474">
        <v>11.935499999999999</v>
      </c>
      <c r="Q207" s="483">
        <v>3.0655000000000001</v>
      </c>
      <c r="R207" s="485">
        <f t="shared" ref="R207:R214" si="417">Y207*-1</f>
        <v>0</v>
      </c>
      <c r="S207" s="475">
        <v>0</v>
      </c>
      <c r="T207" s="475">
        <v>0</v>
      </c>
      <c r="U207" s="475">
        <v>0</v>
      </c>
      <c r="V207" s="475">
        <v>0</v>
      </c>
      <c r="W207" s="475">
        <v>0</v>
      </c>
      <c r="X207" s="475">
        <f t="shared" si="415"/>
        <v>0</v>
      </c>
      <c r="Y207" s="475">
        <v>0</v>
      </c>
      <c r="Z207" s="475">
        <v>0</v>
      </c>
      <c r="AA207" s="475">
        <v>0</v>
      </c>
      <c r="AB207" s="475">
        <f t="shared" ref="AB207:AB214" si="418">SUM(Y207:AA207)</f>
        <v>0</v>
      </c>
      <c r="AC207" s="475">
        <f t="shared" ref="AC207:AC214" si="419">X207+AB207</f>
        <v>0</v>
      </c>
      <c r="AD207" s="70">
        <f t="shared" ref="AD207:AD214" si="420">ROUND((X207+Y207+Z207)*33.8%,0)</f>
        <v>0</v>
      </c>
      <c r="AE207" s="70">
        <f t="shared" ref="AE207:AE214" si="421">ROUND(X207*2%,0)</f>
        <v>0</v>
      </c>
      <c r="AF207" s="475">
        <v>0</v>
      </c>
      <c r="AG207" s="475">
        <v>0</v>
      </c>
      <c r="AH207" s="475">
        <f t="shared" ref="AH207:AH214" si="422">SUM(AF207:AG207)</f>
        <v>0</v>
      </c>
      <c r="AI207" s="475">
        <f t="shared" ref="AI207:AI214" si="423">AC207+AD207+AE207+AH207</f>
        <v>0</v>
      </c>
      <c r="AJ207" s="476">
        <v>0</v>
      </c>
      <c r="AK207" s="476">
        <v>0</v>
      </c>
      <c r="AL207" s="476">
        <v>0</v>
      </c>
      <c r="AM207" s="476">
        <v>0</v>
      </c>
      <c r="AN207" s="476">
        <v>0</v>
      </c>
      <c r="AO207" s="476">
        <v>0</v>
      </c>
      <c r="AP207" s="476">
        <v>0</v>
      </c>
      <c r="AQ207" s="476">
        <v>0</v>
      </c>
      <c r="AR207" s="476">
        <f t="shared" ref="AR207:AR214" si="424">AJ207+AL207+AM207+AO207+AP207</f>
        <v>0</v>
      </c>
      <c r="AS207" s="476">
        <f t="shared" ref="AS207:AS214" si="425">AK207+AN207+AQ207</f>
        <v>0</v>
      </c>
      <c r="AT207" s="478">
        <f t="shared" ref="AT207:AT214" si="426">SUM(AR207:AS207)</f>
        <v>0</v>
      </c>
      <c r="AU207" s="484">
        <f t="shared" ref="AU207:AU214" si="427">I207+AI207</f>
        <v>9267198</v>
      </c>
      <c r="AV207" s="475">
        <f t="shared" ref="AV207:AV214" si="428">J207+X207</f>
        <v>6782068</v>
      </c>
      <c r="AW207" s="475">
        <f t="shared" ref="AW207:AW214" si="429">K207+AB207</f>
        <v>0</v>
      </c>
      <c r="AX207" s="475">
        <f t="shared" ref="AX207:AY214" si="430">L207+AD207</f>
        <v>2292339</v>
      </c>
      <c r="AY207" s="475">
        <f t="shared" si="430"/>
        <v>135641</v>
      </c>
      <c r="AZ207" s="475">
        <f t="shared" ref="AZ207:AZ214" si="431">N207+AH207</f>
        <v>57150</v>
      </c>
      <c r="BA207" s="476">
        <f t="shared" ref="BA207:BA214" si="432">O207+AT207</f>
        <v>15.000999999999999</v>
      </c>
      <c r="BB207" s="476">
        <f t="shared" ref="BB207:BC214" si="433">P207+AR207</f>
        <v>11.935499999999999</v>
      </c>
      <c r="BC207" s="478">
        <f t="shared" si="433"/>
        <v>3.0655000000000001</v>
      </c>
    </row>
    <row r="208" spans="1:55" s="234" customFormat="1" ht="12.75" customHeight="1" x14ac:dyDescent="0.2">
      <c r="A208" s="221">
        <v>37</v>
      </c>
      <c r="B208" s="222">
        <v>4467</v>
      </c>
      <c r="C208" s="222">
        <v>600074935</v>
      </c>
      <c r="D208" s="222">
        <v>48282545</v>
      </c>
      <c r="E208" s="220" t="s">
        <v>220</v>
      </c>
      <c r="F208" s="222">
        <v>3113</v>
      </c>
      <c r="G208" s="172" t="s">
        <v>314</v>
      </c>
      <c r="H208" s="223" t="s">
        <v>277</v>
      </c>
      <c r="I208" s="477">
        <v>31673594</v>
      </c>
      <c r="J208" s="472">
        <v>22465806</v>
      </c>
      <c r="K208" s="472">
        <v>240000</v>
      </c>
      <c r="L208" s="472">
        <v>7674562</v>
      </c>
      <c r="M208" s="472">
        <v>449316</v>
      </c>
      <c r="N208" s="472">
        <v>843910</v>
      </c>
      <c r="O208" s="473">
        <v>41.245900000000006</v>
      </c>
      <c r="P208" s="474">
        <v>31.592200000000002</v>
      </c>
      <c r="Q208" s="483">
        <v>9.6536999999999988</v>
      </c>
      <c r="R208" s="485">
        <f t="shared" si="417"/>
        <v>0</v>
      </c>
      <c r="S208" s="475">
        <v>0</v>
      </c>
      <c r="T208" s="475">
        <v>-253090</v>
      </c>
      <c r="U208" s="475">
        <v>0</v>
      </c>
      <c r="V208" s="475">
        <v>0</v>
      </c>
      <c r="W208" s="475">
        <v>0</v>
      </c>
      <c r="X208" s="475">
        <f t="shared" si="415"/>
        <v>-253090</v>
      </c>
      <c r="Y208" s="475">
        <v>0</v>
      </c>
      <c r="Z208" s="475">
        <v>0</v>
      </c>
      <c r="AA208" s="475">
        <v>0</v>
      </c>
      <c r="AB208" s="475">
        <f t="shared" si="418"/>
        <v>0</v>
      </c>
      <c r="AC208" s="475">
        <f t="shared" si="419"/>
        <v>-253090</v>
      </c>
      <c r="AD208" s="70">
        <f t="shared" si="420"/>
        <v>-85544</v>
      </c>
      <c r="AE208" s="70">
        <f t="shared" si="421"/>
        <v>-5062</v>
      </c>
      <c r="AF208" s="475">
        <v>0</v>
      </c>
      <c r="AG208" s="475">
        <v>0</v>
      </c>
      <c r="AH208" s="475">
        <f t="shared" si="422"/>
        <v>0</v>
      </c>
      <c r="AI208" s="475">
        <f t="shared" si="423"/>
        <v>-343696</v>
      </c>
      <c r="AJ208" s="476">
        <v>0</v>
      </c>
      <c r="AK208" s="476">
        <v>0</v>
      </c>
      <c r="AL208" s="476">
        <v>0</v>
      </c>
      <c r="AM208" s="476">
        <v>-0.41</v>
      </c>
      <c r="AN208" s="476">
        <v>0</v>
      </c>
      <c r="AO208" s="476">
        <v>0</v>
      </c>
      <c r="AP208" s="476">
        <v>0</v>
      </c>
      <c r="AQ208" s="476">
        <v>0</v>
      </c>
      <c r="AR208" s="476">
        <f t="shared" si="424"/>
        <v>-0.41</v>
      </c>
      <c r="AS208" s="476">
        <f t="shared" si="425"/>
        <v>0</v>
      </c>
      <c r="AT208" s="478">
        <f t="shared" si="426"/>
        <v>-0.41</v>
      </c>
      <c r="AU208" s="484">
        <f t="shared" si="427"/>
        <v>31329898</v>
      </c>
      <c r="AV208" s="475">
        <f t="shared" si="428"/>
        <v>22212716</v>
      </c>
      <c r="AW208" s="475">
        <f t="shared" si="429"/>
        <v>240000</v>
      </c>
      <c r="AX208" s="475">
        <f t="shared" si="430"/>
        <v>7589018</v>
      </c>
      <c r="AY208" s="475">
        <f t="shared" si="430"/>
        <v>444254</v>
      </c>
      <c r="AZ208" s="475">
        <f t="shared" si="431"/>
        <v>843910</v>
      </c>
      <c r="BA208" s="476">
        <f t="shared" si="432"/>
        <v>40.835900000000009</v>
      </c>
      <c r="BB208" s="476">
        <f t="shared" si="433"/>
        <v>31.182200000000002</v>
      </c>
      <c r="BC208" s="478">
        <f t="shared" si="433"/>
        <v>9.6536999999999988</v>
      </c>
    </row>
    <row r="209" spans="1:55" s="234" customFormat="1" ht="12.75" customHeight="1" x14ac:dyDescent="0.2">
      <c r="A209" s="221">
        <v>37</v>
      </c>
      <c r="B209" s="222">
        <v>4467</v>
      </c>
      <c r="C209" s="222">
        <v>600074935</v>
      </c>
      <c r="D209" s="222">
        <v>48282545</v>
      </c>
      <c r="E209" s="220" t="s">
        <v>220</v>
      </c>
      <c r="F209" s="222">
        <v>3113</v>
      </c>
      <c r="G209" s="172" t="s">
        <v>313</v>
      </c>
      <c r="H209" s="223" t="s">
        <v>277</v>
      </c>
      <c r="I209" s="477">
        <v>1835477</v>
      </c>
      <c r="J209" s="472">
        <v>1351603</v>
      </c>
      <c r="K209" s="472">
        <v>0</v>
      </c>
      <c r="L209" s="472">
        <v>456842</v>
      </c>
      <c r="M209" s="472">
        <v>27032</v>
      </c>
      <c r="N209" s="472">
        <v>0</v>
      </c>
      <c r="O209" s="473">
        <v>3.9167000000000001</v>
      </c>
      <c r="P209" s="474">
        <v>3.9167000000000001</v>
      </c>
      <c r="Q209" s="483">
        <v>0</v>
      </c>
      <c r="R209" s="485">
        <f t="shared" si="417"/>
        <v>0</v>
      </c>
      <c r="S209" s="475">
        <v>0</v>
      </c>
      <c r="T209" s="475">
        <v>0</v>
      </c>
      <c r="U209" s="475">
        <v>0</v>
      </c>
      <c r="V209" s="475">
        <v>0</v>
      </c>
      <c r="W209" s="475">
        <v>0</v>
      </c>
      <c r="X209" s="475">
        <f t="shared" si="415"/>
        <v>0</v>
      </c>
      <c r="Y209" s="475">
        <v>0</v>
      </c>
      <c r="Z209" s="475">
        <v>0</v>
      </c>
      <c r="AA209" s="475">
        <v>0</v>
      </c>
      <c r="AB209" s="475">
        <f t="shared" si="418"/>
        <v>0</v>
      </c>
      <c r="AC209" s="475">
        <f t="shared" si="419"/>
        <v>0</v>
      </c>
      <c r="AD209" s="70">
        <f t="shared" si="420"/>
        <v>0</v>
      </c>
      <c r="AE209" s="70">
        <f t="shared" si="421"/>
        <v>0</v>
      </c>
      <c r="AF209" s="475">
        <v>0</v>
      </c>
      <c r="AG209" s="475">
        <v>0</v>
      </c>
      <c r="AH209" s="475">
        <f t="shared" si="422"/>
        <v>0</v>
      </c>
      <c r="AI209" s="475">
        <f t="shared" si="423"/>
        <v>0</v>
      </c>
      <c r="AJ209" s="476">
        <v>0</v>
      </c>
      <c r="AK209" s="476">
        <v>0</v>
      </c>
      <c r="AL209" s="476">
        <v>0</v>
      </c>
      <c r="AM209" s="476">
        <v>0</v>
      </c>
      <c r="AN209" s="476">
        <v>0</v>
      </c>
      <c r="AO209" s="476">
        <v>0</v>
      </c>
      <c r="AP209" s="476">
        <v>0</v>
      </c>
      <c r="AQ209" s="476">
        <v>0</v>
      </c>
      <c r="AR209" s="476">
        <f t="shared" si="424"/>
        <v>0</v>
      </c>
      <c r="AS209" s="476">
        <f t="shared" si="425"/>
        <v>0</v>
      </c>
      <c r="AT209" s="478">
        <f t="shared" si="426"/>
        <v>0</v>
      </c>
      <c r="AU209" s="484">
        <f t="shared" si="427"/>
        <v>1835477</v>
      </c>
      <c r="AV209" s="475">
        <f t="shared" si="428"/>
        <v>1351603</v>
      </c>
      <c r="AW209" s="475">
        <f t="shared" si="429"/>
        <v>0</v>
      </c>
      <c r="AX209" s="475">
        <f t="shared" si="430"/>
        <v>456842</v>
      </c>
      <c r="AY209" s="475">
        <f t="shared" si="430"/>
        <v>27032</v>
      </c>
      <c r="AZ209" s="475">
        <f t="shared" si="431"/>
        <v>0</v>
      </c>
      <c r="BA209" s="476">
        <f t="shared" si="432"/>
        <v>3.9167000000000001</v>
      </c>
      <c r="BB209" s="476">
        <f t="shared" si="433"/>
        <v>3.9167000000000001</v>
      </c>
      <c r="BC209" s="478">
        <f t="shared" si="433"/>
        <v>0</v>
      </c>
    </row>
    <row r="210" spans="1:55" s="234" customFormat="1" ht="12.75" customHeight="1" x14ac:dyDescent="0.2">
      <c r="A210" s="221">
        <v>37</v>
      </c>
      <c r="B210" s="222">
        <v>4467</v>
      </c>
      <c r="C210" s="222">
        <v>600074935</v>
      </c>
      <c r="D210" s="222">
        <v>48282545</v>
      </c>
      <c r="E210" s="220" t="s">
        <v>220</v>
      </c>
      <c r="F210" s="222">
        <v>3113</v>
      </c>
      <c r="G210" s="172" t="s">
        <v>312</v>
      </c>
      <c r="H210" s="223" t="s">
        <v>278</v>
      </c>
      <c r="I210" s="477">
        <v>3923224</v>
      </c>
      <c r="J210" s="472">
        <v>2881608</v>
      </c>
      <c r="K210" s="472">
        <v>0</v>
      </c>
      <c r="L210" s="472">
        <v>973984</v>
      </c>
      <c r="M210" s="472">
        <v>57632</v>
      </c>
      <c r="N210" s="472">
        <v>10000</v>
      </c>
      <c r="O210" s="473">
        <v>8.2999999999999989</v>
      </c>
      <c r="P210" s="474">
        <v>8.2999999999999989</v>
      </c>
      <c r="Q210" s="483">
        <v>0</v>
      </c>
      <c r="R210" s="485">
        <f t="shared" si="417"/>
        <v>0</v>
      </c>
      <c r="S210" s="475">
        <v>43306</v>
      </c>
      <c r="T210" s="475">
        <v>0</v>
      </c>
      <c r="U210" s="475">
        <v>0</v>
      </c>
      <c r="V210" s="475">
        <v>0</v>
      </c>
      <c r="W210" s="475">
        <v>0</v>
      </c>
      <c r="X210" s="475">
        <f t="shared" si="415"/>
        <v>43306</v>
      </c>
      <c r="Y210" s="475">
        <v>0</v>
      </c>
      <c r="Z210" s="475">
        <v>0</v>
      </c>
      <c r="AA210" s="475">
        <v>0</v>
      </c>
      <c r="AB210" s="475">
        <f t="shared" si="418"/>
        <v>0</v>
      </c>
      <c r="AC210" s="475">
        <f t="shared" si="419"/>
        <v>43306</v>
      </c>
      <c r="AD210" s="70">
        <f t="shared" si="420"/>
        <v>14637</v>
      </c>
      <c r="AE210" s="70">
        <f t="shared" si="421"/>
        <v>866</v>
      </c>
      <c r="AF210" s="475">
        <v>2000</v>
      </c>
      <c r="AG210" s="475">
        <v>0</v>
      </c>
      <c r="AH210" s="475">
        <f t="shared" si="422"/>
        <v>2000</v>
      </c>
      <c r="AI210" s="475">
        <f t="shared" si="423"/>
        <v>60809</v>
      </c>
      <c r="AJ210" s="476">
        <v>0</v>
      </c>
      <c r="AK210" s="476">
        <v>0</v>
      </c>
      <c r="AL210" s="476">
        <v>0.13</v>
      </c>
      <c r="AM210" s="476">
        <v>0</v>
      </c>
      <c r="AN210" s="476">
        <v>0</v>
      </c>
      <c r="AO210" s="476">
        <v>0</v>
      </c>
      <c r="AP210" s="476">
        <v>0</v>
      </c>
      <c r="AQ210" s="476">
        <v>0</v>
      </c>
      <c r="AR210" s="476">
        <f t="shared" si="424"/>
        <v>0.13</v>
      </c>
      <c r="AS210" s="476">
        <f t="shared" si="425"/>
        <v>0</v>
      </c>
      <c r="AT210" s="478">
        <f t="shared" si="426"/>
        <v>0.13</v>
      </c>
      <c r="AU210" s="484">
        <f t="shared" si="427"/>
        <v>3984033</v>
      </c>
      <c r="AV210" s="475">
        <f t="shared" si="428"/>
        <v>2924914</v>
      </c>
      <c r="AW210" s="475">
        <f t="shared" si="429"/>
        <v>0</v>
      </c>
      <c r="AX210" s="475">
        <f t="shared" si="430"/>
        <v>988621</v>
      </c>
      <c r="AY210" s="475">
        <f t="shared" si="430"/>
        <v>58498</v>
      </c>
      <c r="AZ210" s="475">
        <f t="shared" si="431"/>
        <v>12000</v>
      </c>
      <c r="BA210" s="476">
        <f t="shared" si="432"/>
        <v>8.43</v>
      </c>
      <c r="BB210" s="476">
        <f t="shared" si="433"/>
        <v>8.43</v>
      </c>
      <c r="BC210" s="478">
        <f t="shared" si="433"/>
        <v>0</v>
      </c>
    </row>
    <row r="211" spans="1:55" s="234" customFormat="1" ht="12.75" customHeight="1" x14ac:dyDescent="0.2">
      <c r="A211" s="221">
        <v>37</v>
      </c>
      <c r="B211" s="222">
        <v>4467</v>
      </c>
      <c r="C211" s="222">
        <v>600074935</v>
      </c>
      <c r="D211" s="222">
        <v>48282545</v>
      </c>
      <c r="E211" s="220" t="s">
        <v>220</v>
      </c>
      <c r="F211" s="222">
        <v>3141</v>
      </c>
      <c r="G211" s="172" t="s">
        <v>315</v>
      </c>
      <c r="H211" s="223" t="s">
        <v>278</v>
      </c>
      <c r="I211" s="477">
        <v>3075062</v>
      </c>
      <c r="J211" s="472">
        <v>2247894</v>
      </c>
      <c r="K211" s="472">
        <v>0</v>
      </c>
      <c r="L211" s="472">
        <v>759788</v>
      </c>
      <c r="M211" s="472">
        <v>44958</v>
      </c>
      <c r="N211" s="472">
        <v>22422</v>
      </c>
      <c r="O211" s="473">
        <v>7.08</v>
      </c>
      <c r="P211" s="474">
        <v>0</v>
      </c>
      <c r="Q211" s="483">
        <v>7.08</v>
      </c>
      <c r="R211" s="485">
        <f t="shared" si="417"/>
        <v>0</v>
      </c>
      <c r="S211" s="475">
        <v>0</v>
      </c>
      <c r="T211" s="475">
        <v>-18501</v>
      </c>
      <c r="U211" s="475">
        <v>0</v>
      </c>
      <c r="V211" s="475">
        <v>0</v>
      </c>
      <c r="W211" s="475">
        <v>0</v>
      </c>
      <c r="X211" s="475">
        <f t="shared" si="415"/>
        <v>-18501</v>
      </c>
      <c r="Y211" s="475">
        <v>0</v>
      </c>
      <c r="Z211" s="475">
        <v>0</v>
      </c>
      <c r="AA211" s="475">
        <v>0</v>
      </c>
      <c r="AB211" s="475">
        <f t="shared" si="418"/>
        <v>0</v>
      </c>
      <c r="AC211" s="475">
        <f t="shared" si="419"/>
        <v>-18501</v>
      </c>
      <c r="AD211" s="70">
        <f t="shared" si="420"/>
        <v>-6253</v>
      </c>
      <c r="AE211" s="70">
        <f t="shared" si="421"/>
        <v>-370</v>
      </c>
      <c r="AF211" s="475">
        <v>0</v>
      </c>
      <c r="AG211" s="475">
        <v>0</v>
      </c>
      <c r="AH211" s="475">
        <f t="shared" si="422"/>
        <v>0</v>
      </c>
      <c r="AI211" s="475">
        <f t="shared" si="423"/>
        <v>-25124</v>
      </c>
      <c r="AJ211" s="476">
        <v>0</v>
      </c>
      <c r="AK211" s="476">
        <v>0</v>
      </c>
      <c r="AL211" s="476">
        <v>0</v>
      </c>
      <c r="AM211" s="476">
        <v>0</v>
      </c>
      <c r="AN211" s="476">
        <v>-0.05</v>
      </c>
      <c r="AO211" s="476">
        <v>0</v>
      </c>
      <c r="AP211" s="476">
        <v>0</v>
      </c>
      <c r="AQ211" s="476">
        <v>0</v>
      </c>
      <c r="AR211" s="476">
        <f t="shared" si="424"/>
        <v>0</v>
      </c>
      <c r="AS211" s="476">
        <f t="shared" si="425"/>
        <v>-0.05</v>
      </c>
      <c r="AT211" s="478">
        <f t="shared" si="426"/>
        <v>-0.05</v>
      </c>
      <c r="AU211" s="484">
        <f t="shared" si="427"/>
        <v>3049938</v>
      </c>
      <c r="AV211" s="475">
        <f t="shared" si="428"/>
        <v>2229393</v>
      </c>
      <c r="AW211" s="475">
        <f t="shared" si="429"/>
        <v>0</v>
      </c>
      <c r="AX211" s="475">
        <f t="shared" si="430"/>
        <v>753535</v>
      </c>
      <c r="AY211" s="475">
        <f t="shared" si="430"/>
        <v>44588</v>
      </c>
      <c r="AZ211" s="475">
        <f t="shared" si="431"/>
        <v>22422</v>
      </c>
      <c r="BA211" s="476">
        <f t="shared" si="432"/>
        <v>7.03</v>
      </c>
      <c r="BB211" s="476">
        <f t="shared" si="433"/>
        <v>0</v>
      </c>
      <c r="BC211" s="478">
        <f t="shared" si="433"/>
        <v>7.03</v>
      </c>
    </row>
    <row r="212" spans="1:55" s="234" customFormat="1" ht="12.75" customHeight="1" x14ac:dyDescent="0.2">
      <c r="A212" s="221">
        <v>37</v>
      </c>
      <c r="B212" s="222">
        <v>4467</v>
      </c>
      <c r="C212" s="222">
        <v>600074935</v>
      </c>
      <c r="D212" s="222">
        <v>48282545</v>
      </c>
      <c r="E212" s="215" t="s">
        <v>220</v>
      </c>
      <c r="F212" s="222">
        <v>3143</v>
      </c>
      <c r="G212" s="172" t="s">
        <v>626</v>
      </c>
      <c r="H212" s="239" t="s">
        <v>277</v>
      </c>
      <c r="I212" s="477">
        <v>2205188</v>
      </c>
      <c r="J212" s="472">
        <v>1623850</v>
      </c>
      <c r="K212" s="472">
        <v>0</v>
      </c>
      <c r="L212" s="472">
        <v>548861</v>
      </c>
      <c r="M212" s="472">
        <v>32477</v>
      </c>
      <c r="N212" s="472">
        <v>0</v>
      </c>
      <c r="O212" s="473">
        <v>3.25</v>
      </c>
      <c r="P212" s="474">
        <v>3.25</v>
      </c>
      <c r="Q212" s="483">
        <v>0</v>
      </c>
      <c r="R212" s="485">
        <f t="shared" si="417"/>
        <v>0</v>
      </c>
      <c r="S212" s="475">
        <v>0</v>
      </c>
      <c r="T212" s="475">
        <v>0</v>
      </c>
      <c r="U212" s="475">
        <v>0</v>
      </c>
      <c r="V212" s="475">
        <v>0</v>
      </c>
      <c r="W212" s="475">
        <v>0</v>
      </c>
      <c r="X212" s="475">
        <f t="shared" si="415"/>
        <v>0</v>
      </c>
      <c r="Y212" s="475">
        <v>0</v>
      </c>
      <c r="Z212" s="475">
        <v>0</v>
      </c>
      <c r="AA212" s="475">
        <v>0</v>
      </c>
      <c r="AB212" s="475">
        <f t="shared" si="418"/>
        <v>0</v>
      </c>
      <c r="AC212" s="475">
        <f t="shared" si="419"/>
        <v>0</v>
      </c>
      <c r="AD212" s="70">
        <f t="shared" si="420"/>
        <v>0</v>
      </c>
      <c r="AE212" s="70">
        <f t="shared" si="421"/>
        <v>0</v>
      </c>
      <c r="AF212" s="475">
        <v>0</v>
      </c>
      <c r="AG212" s="475">
        <v>0</v>
      </c>
      <c r="AH212" s="475">
        <f t="shared" si="422"/>
        <v>0</v>
      </c>
      <c r="AI212" s="475">
        <f t="shared" si="423"/>
        <v>0</v>
      </c>
      <c r="AJ212" s="476">
        <v>0</v>
      </c>
      <c r="AK212" s="476">
        <v>0</v>
      </c>
      <c r="AL212" s="476">
        <v>0</v>
      </c>
      <c r="AM212" s="476">
        <v>0</v>
      </c>
      <c r="AN212" s="476">
        <v>0</v>
      </c>
      <c r="AO212" s="476">
        <v>0</v>
      </c>
      <c r="AP212" s="476">
        <v>0</v>
      </c>
      <c r="AQ212" s="476">
        <v>0</v>
      </c>
      <c r="AR212" s="476">
        <f t="shared" si="424"/>
        <v>0</v>
      </c>
      <c r="AS212" s="476">
        <f t="shared" si="425"/>
        <v>0</v>
      </c>
      <c r="AT212" s="478">
        <f t="shared" si="426"/>
        <v>0</v>
      </c>
      <c r="AU212" s="484">
        <f t="shared" si="427"/>
        <v>2205188</v>
      </c>
      <c r="AV212" s="475">
        <f t="shared" si="428"/>
        <v>1623850</v>
      </c>
      <c r="AW212" s="475">
        <f t="shared" si="429"/>
        <v>0</v>
      </c>
      <c r="AX212" s="475">
        <f t="shared" si="430"/>
        <v>548861</v>
      </c>
      <c r="AY212" s="475">
        <f t="shared" si="430"/>
        <v>32477</v>
      </c>
      <c r="AZ212" s="475">
        <f t="shared" si="431"/>
        <v>0</v>
      </c>
      <c r="BA212" s="476">
        <f t="shared" si="432"/>
        <v>3.25</v>
      </c>
      <c r="BB212" s="476">
        <f t="shared" si="433"/>
        <v>3.25</v>
      </c>
      <c r="BC212" s="478">
        <f t="shared" si="433"/>
        <v>0</v>
      </c>
    </row>
    <row r="213" spans="1:55" s="234" customFormat="1" ht="12.75" customHeight="1" x14ac:dyDescent="0.2">
      <c r="A213" s="221">
        <v>37</v>
      </c>
      <c r="B213" s="222">
        <v>4467</v>
      </c>
      <c r="C213" s="222">
        <v>600074935</v>
      </c>
      <c r="D213" s="222">
        <v>48282545</v>
      </c>
      <c r="E213" s="215" t="s">
        <v>220</v>
      </c>
      <c r="F213" s="222">
        <v>3143</v>
      </c>
      <c r="G213" s="172" t="s">
        <v>627</v>
      </c>
      <c r="H213" s="239" t="s">
        <v>278</v>
      </c>
      <c r="I213" s="477">
        <v>65772</v>
      </c>
      <c r="J213" s="472">
        <v>46511</v>
      </c>
      <c r="K213" s="472">
        <v>0</v>
      </c>
      <c r="L213" s="472">
        <v>15721</v>
      </c>
      <c r="M213" s="472">
        <v>930</v>
      </c>
      <c r="N213" s="472">
        <v>2610</v>
      </c>
      <c r="O213" s="473">
        <v>0.18</v>
      </c>
      <c r="P213" s="474">
        <v>0</v>
      </c>
      <c r="Q213" s="483">
        <v>0.18</v>
      </c>
      <c r="R213" s="485">
        <f t="shared" si="417"/>
        <v>0</v>
      </c>
      <c r="S213" s="475">
        <v>0</v>
      </c>
      <c r="T213" s="475">
        <v>0</v>
      </c>
      <c r="U213" s="475">
        <v>0</v>
      </c>
      <c r="V213" s="475">
        <v>0</v>
      </c>
      <c r="W213" s="475">
        <v>0</v>
      </c>
      <c r="X213" s="475">
        <f t="shared" si="415"/>
        <v>0</v>
      </c>
      <c r="Y213" s="475">
        <v>0</v>
      </c>
      <c r="Z213" s="475">
        <v>0</v>
      </c>
      <c r="AA213" s="475">
        <v>0</v>
      </c>
      <c r="AB213" s="475">
        <f t="shared" si="418"/>
        <v>0</v>
      </c>
      <c r="AC213" s="475">
        <f t="shared" si="419"/>
        <v>0</v>
      </c>
      <c r="AD213" s="70">
        <f t="shared" si="420"/>
        <v>0</v>
      </c>
      <c r="AE213" s="70">
        <f t="shared" si="421"/>
        <v>0</v>
      </c>
      <c r="AF213" s="475">
        <v>0</v>
      </c>
      <c r="AG213" s="475">
        <v>0</v>
      </c>
      <c r="AH213" s="475">
        <f t="shared" si="422"/>
        <v>0</v>
      </c>
      <c r="AI213" s="475">
        <f t="shared" si="423"/>
        <v>0</v>
      </c>
      <c r="AJ213" s="476">
        <v>0</v>
      </c>
      <c r="AK213" s="476">
        <v>0</v>
      </c>
      <c r="AL213" s="476">
        <v>0</v>
      </c>
      <c r="AM213" s="476">
        <v>0</v>
      </c>
      <c r="AN213" s="476">
        <v>0</v>
      </c>
      <c r="AO213" s="476">
        <v>0</v>
      </c>
      <c r="AP213" s="476">
        <v>0</v>
      </c>
      <c r="AQ213" s="476">
        <v>0</v>
      </c>
      <c r="AR213" s="476">
        <f t="shared" si="424"/>
        <v>0</v>
      </c>
      <c r="AS213" s="476">
        <f t="shared" si="425"/>
        <v>0</v>
      </c>
      <c r="AT213" s="478">
        <f t="shared" si="426"/>
        <v>0</v>
      </c>
      <c r="AU213" s="484">
        <f t="shared" si="427"/>
        <v>65772</v>
      </c>
      <c r="AV213" s="475">
        <f t="shared" si="428"/>
        <v>46511</v>
      </c>
      <c r="AW213" s="475">
        <f t="shared" si="429"/>
        <v>0</v>
      </c>
      <c r="AX213" s="475">
        <f t="shared" si="430"/>
        <v>15721</v>
      </c>
      <c r="AY213" s="475">
        <f t="shared" si="430"/>
        <v>930</v>
      </c>
      <c r="AZ213" s="475">
        <f t="shared" si="431"/>
        <v>2610</v>
      </c>
      <c r="BA213" s="476">
        <f t="shared" si="432"/>
        <v>0.18</v>
      </c>
      <c r="BB213" s="476">
        <f t="shared" si="433"/>
        <v>0</v>
      </c>
      <c r="BC213" s="478">
        <f t="shared" si="433"/>
        <v>0.18</v>
      </c>
    </row>
    <row r="214" spans="1:55" s="234" customFormat="1" ht="12.75" customHeight="1" x14ac:dyDescent="0.2">
      <c r="A214" s="221">
        <v>37</v>
      </c>
      <c r="B214" s="222">
        <v>4467</v>
      </c>
      <c r="C214" s="222">
        <v>600074935</v>
      </c>
      <c r="D214" s="222">
        <v>48282545</v>
      </c>
      <c r="E214" s="220" t="s">
        <v>220</v>
      </c>
      <c r="F214" s="222">
        <v>3233</v>
      </c>
      <c r="G214" s="172" t="s">
        <v>318</v>
      </c>
      <c r="H214" s="223" t="s">
        <v>278</v>
      </c>
      <c r="I214" s="477">
        <v>1770515</v>
      </c>
      <c r="J214" s="472">
        <v>1265420</v>
      </c>
      <c r="K214" s="472">
        <v>30000</v>
      </c>
      <c r="L214" s="472">
        <v>437852</v>
      </c>
      <c r="M214" s="472">
        <v>25308</v>
      </c>
      <c r="N214" s="472">
        <v>11935</v>
      </c>
      <c r="O214" s="473">
        <v>2.67</v>
      </c>
      <c r="P214" s="474">
        <v>1.92</v>
      </c>
      <c r="Q214" s="483">
        <v>0.75</v>
      </c>
      <c r="R214" s="485">
        <f t="shared" si="417"/>
        <v>0</v>
      </c>
      <c r="S214" s="475">
        <v>0</v>
      </c>
      <c r="T214" s="475">
        <v>0</v>
      </c>
      <c r="U214" s="475">
        <v>0</v>
      </c>
      <c r="V214" s="475">
        <v>0</v>
      </c>
      <c r="W214" s="475">
        <v>0</v>
      </c>
      <c r="X214" s="475">
        <f t="shared" si="415"/>
        <v>0</v>
      </c>
      <c r="Y214" s="475">
        <v>0</v>
      </c>
      <c r="Z214" s="475">
        <v>0</v>
      </c>
      <c r="AA214" s="475">
        <v>0</v>
      </c>
      <c r="AB214" s="475">
        <f t="shared" si="418"/>
        <v>0</v>
      </c>
      <c r="AC214" s="475">
        <f t="shared" si="419"/>
        <v>0</v>
      </c>
      <c r="AD214" s="70">
        <f t="shared" si="420"/>
        <v>0</v>
      </c>
      <c r="AE214" s="70">
        <f t="shared" si="421"/>
        <v>0</v>
      </c>
      <c r="AF214" s="475">
        <v>0</v>
      </c>
      <c r="AG214" s="475">
        <v>0</v>
      </c>
      <c r="AH214" s="475">
        <f t="shared" si="422"/>
        <v>0</v>
      </c>
      <c r="AI214" s="475">
        <f t="shared" si="423"/>
        <v>0</v>
      </c>
      <c r="AJ214" s="476">
        <v>0</v>
      </c>
      <c r="AK214" s="476">
        <v>0</v>
      </c>
      <c r="AL214" s="476">
        <v>0</v>
      </c>
      <c r="AM214" s="476">
        <v>0</v>
      </c>
      <c r="AN214" s="476">
        <v>0</v>
      </c>
      <c r="AO214" s="476">
        <v>0</v>
      </c>
      <c r="AP214" s="476">
        <v>0</v>
      </c>
      <c r="AQ214" s="476">
        <v>0</v>
      </c>
      <c r="AR214" s="476">
        <f t="shared" si="424"/>
        <v>0</v>
      </c>
      <c r="AS214" s="476">
        <f t="shared" si="425"/>
        <v>0</v>
      </c>
      <c r="AT214" s="478">
        <f t="shared" si="426"/>
        <v>0</v>
      </c>
      <c r="AU214" s="484">
        <f t="shared" si="427"/>
        <v>1770515</v>
      </c>
      <c r="AV214" s="475">
        <f t="shared" si="428"/>
        <v>1265420</v>
      </c>
      <c r="AW214" s="475">
        <f t="shared" si="429"/>
        <v>30000</v>
      </c>
      <c r="AX214" s="475">
        <f t="shared" si="430"/>
        <v>437852</v>
      </c>
      <c r="AY214" s="475">
        <f t="shared" si="430"/>
        <v>25308</v>
      </c>
      <c r="AZ214" s="475">
        <f t="shared" si="431"/>
        <v>11935</v>
      </c>
      <c r="BA214" s="476">
        <f t="shared" si="432"/>
        <v>2.67</v>
      </c>
      <c r="BB214" s="476">
        <f t="shared" si="433"/>
        <v>1.92</v>
      </c>
      <c r="BC214" s="478">
        <f t="shared" si="433"/>
        <v>0.75</v>
      </c>
    </row>
    <row r="215" spans="1:55" s="234" customFormat="1" ht="12.75" customHeight="1" x14ac:dyDescent="0.2">
      <c r="A215" s="162">
        <v>37</v>
      </c>
      <c r="B215" s="18">
        <v>4467</v>
      </c>
      <c r="C215" s="18">
        <v>600074935</v>
      </c>
      <c r="D215" s="18">
        <v>48282545</v>
      </c>
      <c r="E215" s="171" t="s">
        <v>221</v>
      </c>
      <c r="F215" s="18"/>
      <c r="G215" s="161"/>
      <c r="H215" s="195"/>
      <c r="I215" s="529">
        <v>53816030</v>
      </c>
      <c r="J215" s="526">
        <v>38664760</v>
      </c>
      <c r="K215" s="526">
        <v>270000</v>
      </c>
      <c r="L215" s="526">
        <v>13159949</v>
      </c>
      <c r="M215" s="526">
        <v>773294</v>
      </c>
      <c r="N215" s="526">
        <v>948027</v>
      </c>
      <c r="O215" s="527">
        <v>81.643600000000006</v>
      </c>
      <c r="P215" s="527">
        <v>60.914400000000001</v>
      </c>
      <c r="Q215" s="531">
        <v>20.729199999999999</v>
      </c>
      <c r="R215" s="529">
        <f t="shared" ref="R215:BC215" si="434">SUM(R207:R214)</f>
        <v>0</v>
      </c>
      <c r="S215" s="526">
        <f t="shared" si="434"/>
        <v>43306</v>
      </c>
      <c r="T215" s="526">
        <f t="shared" si="434"/>
        <v>-271591</v>
      </c>
      <c r="U215" s="526">
        <f t="shared" si="434"/>
        <v>0</v>
      </c>
      <c r="V215" s="526">
        <f t="shared" si="434"/>
        <v>0</v>
      </c>
      <c r="W215" s="526">
        <f t="shared" si="434"/>
        <v>0</v>
      </c>
      <c r="X215" s="526">
        <f t="shared" si="434"/>
        <v>-228285</v>
      </c>
      <c r="Y215" s="526">
        <f t="shared" si="434"/>
        <v>0</v>
      </c>
      <c r="Z215" s="526">
        <f t="shared" si="434"/>
        <v>0</v>
      </c>
      <c r="AA215" s="526">
        <f t="shared" si="434"/>
        <v>0</v>
      </c>
      <c r="AB215" s="526">
        <f t="shared" si="434"/>
        <v>0</v>
      </c>
      <c r="AC215" s="526">
        <f t="shared" si="434"/>
        <v>-228285</v>
      </c>
      <c r="AD215" s="526">
        <f t="shared" si="434"/>
        <v>-77160</v>
      </c>
      <c r="AE215" s="526">
        <f t="shared" si="434"/>
        <v>-4566</v>
      </c>
      <c r="AF215" s="526">
        <f t="shared" si="434"/>
        <v>2000</v>
      </c>
      <c r="AG215" s="526">
        <f t="shared" si="434"/>
        <v>0</v>
      </c>
      <c r="AH215" s="526">
        <f t="shared" si="434"/>
        <v>2000</v>
      </c>
      <c r="AI215" s="526">
        <f t="shared" si="434"/>
        <v>-308011</v>
      </c>
      <c r="AJ215" s="527">
        <f t="shared" si="434"/>
        <v>0</v>
      </c>
      <c r="AK215" s="527">
        <f t="shared" si="434"/>
        <v>0</v>
      </c>
      <c r="AL215" s="527">
        <f t="shared" si="434"/>
        <v>0.13</v>
      </c>
      <c r="AM215" s="527">
        <f t="shared" si="434"/>
        <v>-0.41</v>
      </c>
      <c r="AN215" s="527">
        <f t="shared" si="434"/>
        <v>-0.05</v>
      </c>
      <c r="AO215" s="527">
        <f t="shared" si="434"/>
        <v>0</v>
      </c>
      <c r="AP215" s="527">
        <f t="shared" si="434"/>
        <v>0</v>
      </c>
      <c r="AQ215" s="527">
        <f t="shared" si="434"/>
        <v>0</v>
      </c>
      <c r="AR215" s="527">
        <f t="shared" si="434"/>
        <v>-0.27999999999999997</v>
      </c>
      <c r="AS215" s="527">
        <f t="shared" si="434"/>
        <v>-0.05</v>
      </c>
      <c r="AT215" s="40">
        <f t="shared" si="434"/>
        <v>-0.32999999999999996</v>
      </c>
      <c r="AU215" s="533">
        <f t="shared" si="434"/>
        <v>53508019</v>
      </c>
      <c r="AV215" s="526">
        <f t="shared" si="434"/>
        <v>38436475</v>
      </c>
      <c r="AW215" s="526">
        <f t="shared" si="434"/>
        <v>270000</v>
      </c>
      <c r="AX215" s="526">
        <f t="shared" si="434"/>
        <v>13082789</v>
      </c>
      <c r="AY215" s="526">
        <f t="shared" si="434"/>
        <v>768728</v>
      </c>
      <c r="AZ215" s="526">
        <f t="shared" si="434"/>
        <v>950027</v>
      </c>
      <c r="BA215" s="527">
        <f t="shared" si="434"/>
        <v>81.313600000000022</v>
      </c>
      <c r="BB215" s="527">
        <f t="shared" si="434"/>
        <v>60.634399999999999</v>
      </c>
      <c r="BC215" s="40">
        <f t="shared" si="434"/>
        <v>20.679199999999998</v>
      </c>
    </row>
    <row r="216" spans="1:55" s="234" customFormat="1" ht="12.75" customHeight="1" x14ac:dyDescent="0.2">
      <c r="A216" s="221">
        <v>38</v>
      </c>
      <c r="B216" s="222">
        <v>4460</v>
      </c>
      <c r="C216" s="222">
        <v>600074579</v>
      </c>
      <c r="D216" s="222">
        <v>48283011</v>
      </c>
      <c r="E216" s="220" t="s">
        <v>222</v>
      </c>
      <c r="F216" s="222">
        <v>3111</v>
      </c>
      <c r="G216" s="172" t="s">
        <v>311</v>
      </c>
      <c r="H216" s="223" t="s">
        <v>277</v>
      </c>
      <c r="I216" s="477">
        <v>6467615</v>
      </c>
      <c r="J216" s="472">
        <v>4722883</v>
      </c>
      <c r="K216" s="472">
        <v>5000</v>
      </c>
      <c r="L216" s="472">
        <v>1598024</v>
      </c>
      <c r="M216" s="472">
        <v>94458</v>
      </c>
      <c r="N216" s="472">
        <v>47250</v>
      </c>
      <c r="O216" s="473">
        <v>10.043699999999999</v>
      </c>
      <c r="P216" s="474">
        <v>8</v>
      </c>
      <c r="Q216" s="483">
        <v>2.0436999999999999</v>
      </c>
      <c r="R216" s="485">
        <f t="shared" ref="R216:R221" si="435">Y216*-1</f>
        <v>0</v>
      </c>
      <c r="S216" s="475">
        <v>0</v>
      </c>
      <c r="T216" s="475">
        <v>0</v>
      </c>
      <c r="U216" s="475">
        <v>0</v>
      </c>
      <c r="V216" s="475">
        <v>0</v>
      </c>
      <c r="W216" s="475">
        <v>0</v>
      </c>
      <c r="X216" s="475">
        <f t="shared" si="415"/>
        <v>0</v>
      </c>
      <c r="Y216" s="475">
        <v>0</v>
      </c>
      <c r="Z216" s="475">
        <v>0</v>
      </c>
      <c r="AA216" s="475">
        <v>0</v>
      </c>
      <c r="AB216" s="475">
        <f t="shared" ref="AB216:AB221" si="436">SUM(Y216:AA216)</f>
        <v>0</v>
      </c>
      <c r="AC216" s="475">
        <f t="shared" ref="AC216:AC221" si="437">X216+AB216</f>
        <v>0</v>
      </c>
      <c r="AD216" s="70">
        <f t="shared" ref="AD216:AD221" si="438">ROUND((X216+Y216+Z216)*33.8%,0)</f>
        <v>0</v>
      </c>
      <c r="AE216" s="70">
        <f t="shared" ref="AE216:AE221" si="439">ROUND(X216*2%,0)</f>
        <v>0</v>
      </c>
      <c r="AF216" s="475">
        <v>0</v>
      </c>
      <c r="AG216" s="475">
        <v>0</v>
      </c>
      <c r="AH216" s="475">
        <f t="shared" ref="AH216:AH221" si="440">SUM(AF216:AG216)</f>
        <v>0</v>
      </c>
      <c r="AI216" s="475">
        <f t="shared" ref="AI216:AI221" si="441">AC216+AD216+AE216+AH216</f>
        <v>0</v>
      </c>
      <c r="AJ216" s="476">
        <v>0</v>
      </c>
      <c r="AK216" s="476">
        <v>0</v>
      </c>
      <c r="AL216" s="476">
        <v>0</v>
      </c>
      <c r="AM216" s="476">
        <v>0</v>
      </c>
      <c r="AN216" s="476">
        <v>0</v>
      </c>
      <c r="AO216" s="476">
        <v>0</v>
      </c>
      <c r="AP216" s="476">
        <v>0</v>
      </c>
      <c r="AQ216" s="476">
        <v>0</v>
      </c>
      <c r="AR216" s="476">
        <f t="shared" ref="AR216:AR221" si="442">AJ216+AL216+AM216+AO216+AP216</f>
        <v>0</v>
      </c>
      <c r="AS216" s="476">
        <f t="shared" ref="AS216:AS221" si="443">AK216+AN216+AQ216</f>
        <v>0</v>
      </c>
      <c r="AT216" s="478">
        <f t="shared" ref="AT216:AT221" si="444">SUM(AR216:AS216)</f>
        <v>0</v>
      </c>
      <c r="AU216" s="484">
        <f t="shared" ref="AU216:AU221" si="445">I216+AI216</f>
        <v>6467615</v>
      </c>
      <c r="AV216" s="475">
        <f t="shared" ref="AV216:AV221" si="446">J216+X216</f>
        <v>4722883</v>
      </c>
      <c r="AW216" s="475">
        <f t="shared" ref="AW216:AW221" si="447">K216+AB216</f>
        <v>5000</v>
      </c>
      <c r="AX216" s="475">
        <f t="shared" ref="AX216:AY221" si="448">L216+AD216</f>
        <v>1598024</v>
      </c>
      <c r="AY216" s="475">
        <f t="shared" si="448"/>
        <v>94458</v>
      </c>
      <c r="AZ216" s="475">
        <f t="shared" ref="AZ216:AZ221" si="449">N216+AH216</f>
        <v>47250</v>
      </c>
      <c r="BA216" s="476">
        <f t="shared" ref="BA216:BA221" si="450">O216+AT216</f>
        <v>10.043699999999999</v>
      </c>
      <c r="BB216" s="476">
        <f t="shared" ref="BB216:BC221" si="451">P216+AR216</f>
        <v>8</v>
      </c>
      <c r="BC216" s="478">
        <f t="shared" si="451"/>
        <v>2.0436999999999999</v>
      </c>
    </row>
    <row r="217" spans="1:55" s="234" customFormat="1" ht="12.75" customHeight="1" x14ac:dyDescent="0.2">
      <c r="A217" s="221">
        <v>38</v>
      </c>
      <c r="B217" s="222">
        <v>4460</v>
      </c>
      <c r="C217" s="222">
        <v>600074579</v>
      </c>
      <c r="D217" s="222">
        <v>48283011</v>
      </c>
      <c r="E217" s="220" t="s">
        <v>222</v>
      </c>
      <c r="F217" s="222">
        <v>3113</v>
      </c>
      <c r="G217" s="172" t="s">
        <v>314</v>
      </c>
      <c r="H217" s="223" t="s">
        <v>277</v>
      </c>
      <c r="I217" s="477">
        <v>27009065</v>
      </c>
      <c r="J217" s="472">
        <v>19295243</v>
      </c>
      <c r="K217" s="472">
        <v>140040</v>
      </c>
      <c r="L217" s="472">
        <v>6569127</v>
      </c>
      <c r="M217" s="472">
        <v>385905</v>
      </c>
      <c r="N217" s="472">
        <v>618750</v>
      </c>
      <c r="O217" s="473">
        <v>35.201599999999999</v>
      </c>
      <c r="P217" s="474">
        <v>26.364000000000001</v>
      </c>
      <c r="Q217" s="483">
        <v>8.8376000000000001</v>
      </c>
      <c r="R217" s="485">
        <f t="shared" si="435"/>
        <v>0</v>
      </c>
      <c r="S217" s="475">
        <v>0</v>
      </c>
      <c r="T217" s="475">
        <v>-321373</v>
      </c>
      <c r="U217" s="475">
        <v>0</v>
      </c>
      <c r="V217" s="475">
        <v>0</v>
      </c>
      <c r="W217" s="475">
        <v>0</v>
      </c>
      <c r="X217" s="475">
        <f t="shared" si="415"/>
        <v>-321373</v>
      </c>
      <c r="Y217" s="475">
        <v>0</v>
      </c>
      <c r="Z217" s="475">
        <v>0</v>
      </c>
      <c r="AA217" s="475">
        <v>0</v>
      </c>
      <c r="AB217" s="475">
        <f t="shared" si="436"/>
        <v>0</v>
      </c>
      <c r="AC217" s="475">
        <f t="shared" si="437"/>
        <v>-321373</v>
      </c>
      <c r="AD217" s="70">
        <f t="shared" si="438"/>
        <v>-108624</v>
      </c>
      <c r="AE217" s="70">
        <f t="shared" si="439"/>
        <v>-6427</v>
      </c>
      <c r="AF217" s="475">
        <v>0</v>
      </c>
      <c r="AG217" s="475">
        <v>0</v>
      </c>
      <c r="AH217" s="475">
        <f t="shared" si="440"/>
        <v>0</v>
      </c>
      <c r="AI217" s="475">
        <f t="shared" si="441"/>
        <v>-436424</v>
      </c>
      <c r="AJ217" s="476">
        <v>0</v>
      </c>
      <c r="AK217" s="476">
        <v>0</v>
      </c>
      <c r="AL217" s="476">
        <v>0</v>
      </c>
      <c r="AM217" s="476">
        <v>-0.51</v>
      </c>
      <c r="AN217" s="476">
        <v>0</v>
      </c>
      <c r="AO217" s="476">
        <v>0</v>
      </c>
      <c r="AP217" s="476">
        <v>0</v>
      </c>
      <c r="AQ217" s="476">
        <v>0</v>
      </c>
      <c r="AR217" s="476">
        <f t="shared" si="442"/>
        <v>-0.51</v>
      </c>
      <c r="AS217" s="476">
        <f t="shared" si="443"/>
        <v>0</v>
      </c>
      <c r="AT217" s="478">
        <f t="shared" si="444"/>
        <v>-0.51</v>
      </c>
      <c r="AU217" s="484">
        <f t="shared" si="445"/>
        <v>26572641</v>
      </c>
      <c r="AV217" s="475">
        <f t="shared" si="446"/>
        <v>18973870</v>
      </c>
      <c r="AW217" s="475">
        <f t="shared" si="447"/>
        <v>140040</v>
      </c>
      <c r="AX217" s="475">
        <f t="shared" si="448"/>
        <v>6460503</v>
      </c>
      <c r="AY217" s="475">
        <f t="shared" si="448"/>
        <v>379478</v>
      </c>
      <c r="AZ217" s="475">
        <f t="shared" si="449"/>
        <v>618750</v>
      </c>
      <c r="BA217" s="476">
        <f t="shared" si="450"/>
        <v>34.691600000000001</v>
      </c>
      <c r="BB217" s="476">
        <f t="shared" si="451"/>
        <v>25.853999999999999</v>
      </c>
      <c r="BC217" s="478">
        <f t="shared" si="451"/>
        <v>8.8376000000000001</v>
      </c>
    </row>
    <row r="218" spans="1:55" s="234" customFormat="1" ht="12.75" customHeight="1" x14ac:dyDescent="0.2">
      <c r="A218" s="221">
        <v>38</v>
      </c>
      <c r="B218" s="222">
        <v>4460</v>
      </c>
      <c r="C218" s="222">
        <v>600074579</v>
      </c>
      <c r="D218" s="222">
        <v>48283011</v>
      </c>
      <c r="E218" s="220" t="s">
        <v>222</v>
      </c>
      <c r="F218" s="222">
        <v>3113</v>
      </c>
      <c r="G218" s="172" t="s">
        <v>312</v>
      </c>
      <c r="H218" s="223" t="s">
        <v>278</v>
      </c>
      <c r="I218" s="477">
        <v>1095590</v>
      </c>
      <c r="J218" s="472">
        <v>806768</v>
      </c>
      <c r="K218" s="472">
        <v>0</v>
      </c>
      <c r="L218" s="472">
        <v>272687</v>
      </c>
      <c r="M218" s="472">
        <v>16135</v>
      </c>
      <c r="N218" s="472">
        <v>0</v>
      </c>
      <c r="O218" s="473">
        <v>2.3299999999999996</v>
      </c>
      <c r="P218" s="474">
        <v>2.3299999999999996</v>
      </c>
      <c r="Q218" s="483">
        <v>0</v>
      </c>
      <c r="R218" s="485">
        <f t="shared" si="435"/>
        <v>0</v>
      </c>
      <c r="S218" s="475">
        <v>303945</v>
      </c>
      <c r="T218" s="475">
        <v>0</v>
      </c>
      <c r="U218" s="475">
        <v>0</v>
      </c>
      <c r="V218" s="475">
        <v>0</v>
      </c>
      <c r="W218" s="475">
        <v>0</v>
      </c>
      <c r="X218" s="475">
        <f t="shared" si="415"/>
        <v>303945</v>
      </c>
      <c r="Y218" s="475">
        <v>0</v>
      </c>
      <c r="Z218" s="475">
        <v>0</v>
      </c>
      <c r="AA218" s="475">
        <v>0</v>
      </c>
      <c r="AB218" s="475">
        <f t="shared" si="436"/>
        <v>0</v>
      </c>
      <c r="AC218" s="475">
        <f t="shared" si="437"/>
        <v>303945</v>
      </c>
      <c r="AD218" s="70">
        <f t="shared" si="438"/>
        <v>102733</v>
      </c>
      <c r="AE218" s="70">
        <f t="shared" si="439"/>
        <v>6079</v>
      </c>
      <c r="AF218" s="475">
        <v>6000</v>
      </c>
      <c r="AG218" s="475">
        <v>0</v>
      </c>
      <c r="AH218" s="475">
        <f t="shared" si="440"/>
        <v>6000</v>
      </c>
      <c r="AI218" s="475">
        <f t="shared" si="441"/>
        <v>418757</v>
      </c>
      <c r="AJ218" s="476">
        <v>0</v>
      </c>
      <c r="AK218" s="476">
        <v>0</v>
      </c>
      <c r="AL218" s="476">
        <v>0.88</v>
      </c>
      <c r="AM218" s="476">
        <v>0</v>
      </c>
      <c r="AN218" s="476">
        <v>0</v>
      </c>
      <c r="AO218" s="476">
        <v>0</v>
      </c>
      <c r="AP218" s="476">
        <v>0</v>
      </c>
      <c r="AQ218" s="476">
        <v>0</v>
      </c>
      <c r="AR218" s="476">
        <f t="shared" si="442"/>
        <v>0.88</v>
      </c>
      <c r="AS218" s="476">
        <f t="shared" si="443"/>
        <v>0</v>
      </c>
      <c r="AT218" s="478">
        <f t="shared" si="444"/>
        <v>0.88</v>
      </c>
      <c r="AU218" s="484">
        <f t="shared" si="445"/>
        <v>1514347</v>
      </c>
      <c r="AV218" s="475">
        <f t="shared" si="446"/>
        <v>1110713</v>
      </c>
      <c r="AW218" s="475">
        <f t="shared" si="447"/>
        <v>0</v>
      </c>
      <c r="AX218" s="475">
        <f t="shared" si="448"/>
        <v>375420</v>
      </c>
      <c r="AY218" s="475">
        <f t="shared" si="448"/>
        <v>22214</v>
      </c>
      <c r="AZ218" s="475">
        <f t="shared" si="449"/>
        <v>6000</v>
      </c>
      <c r="BA218" s="476">
        <f t="shared" si="450"/>
        <v>3.2099999999999995</v>
      </c>
      <c r="BB218" s="476">
        <f t="shared" si="451"/>
        <v>3.2099999999999995</v>
      </c>
      <c r="BC218" s="478">
        <f t="shared" si="451"/>
        <v>0</v>
      </c>
    </row>
    <row r="219" spans="1:55" s="234" customFormat="1" ht="12.75" customHeight="1" x14ac:dyDescent="0.2">
      <c r="A219" s="221">
        <v>38</v>
      </c>
      <c r="B219" s="222">
        <v>4460</v>
      </c>
      <c r="C219" s="222">
        <v>600074579</v>
      </c>
      <c r="D219" s="222">
        <v>48283011</v>
      </c>
      <c r="E219" s="220" t="s">
        <v>222</v>
      </c>
      <c r="F219" s="222">
        <v>3141</v>
      </c>
      <c r="G219" s="172" t="s">
        <v>315</v>
      </c>
      <c r="H219" s="223" t="s">
        <v>278</v>
      </c>
      <c r="I219" s="477">
        <v>3404311</v>
      </c>
      <c r="J219" s="472">
        <v>2486886</v>
      </c>
      <c r="K219" s="472">
        <v>0</v>
      </c>
      <c r="L219" s="472">
        <v>840567</v>
      </c>
      <c r="M219" s="472">
        <v>49738</v>
      </c>
      <c r="N219" s="472">
        <v>27120</v>
      </c>
      <c r="O219" s="473">
        <v>7.83</v>
      </c>
      <c r="P219" s="474">
        <v>0</v>
      </c>
      <c r="Q219" s="483">
        <v>7.83</v>
      </c>
      <c r="R219" s="485">
        <f t="shared" si="435"/>
        <v>0</v>
      </c>
      <c r="S219" s="475">
        <v>0</v>
      </c>
      <c r="T219" s="475">
        <v>-19307</v>
      </c>
      <c r="U219" s="475">
        <v>0</v>
      </c>
      <c r="V219" s="475">
        <v>0</v>
      </c>
      <c r="W219" s="475">
        <v>0</v>
      </c>
      <c r="X219" s="475">
        <f t="shared" si="415"/>
        <v>-19307</v>
      </c>
      <c r="Y219" s="475">
        <v>0</v>
      </c>
      <c r="Z219" s="475">
        <v>0</v>
      </c>
      <c r="AA219" s="475">
        <v>0</v>
      </c>
      <c r="AB219" s="475">
        <f t="shared" si="436"/>
        <v>0</v>
      </c>
      <c r="AC219" s="475">
        <f t="shared" si="437"/>
        <v>-19307</v>
      </c>
      <c r="AD219" s="70">
        <f t="shared" si="438"/>
        <v>-6526</v>
      </c>
      <c r="AE219" s="70">
        <f t="shared" si="439"/>
        <v>-386</v>
      </c>
      <c r="AF219" s="475">
        <v>0</v>
      </c>
      <c r="AG219" s="475">
        <v>0</v>
      </c>
      <c r="AH219" s="475">
        <f t="shared" si="440"/>
        <v>0</v>
      </c>
      <c r="AI219" s="475">
        <f t="shared" si="441"/>
        <v>-26219</v>
      </c>
      <c r="AJ219" s="476">
        <v>0</v>
      </c>
      <c r="AK219" s="476">
        <v>0</v>
      </c>
      <c r="AL219" s="476">
        <v>0</v>
      </c>
      <c r="AM219" s="476">
        <v>0</v>
      </c>
      <c r="AN219" s="476">
        <v>-0.06</v>
      </c>
      <c r="AO219" s="476">
        <v>0</v>
      </c>
      <c r="AP219" s="476">
        <v>0</v>
      </c>
      <c r="AQ219" s="476">
        <v>0</v>
      </c>
      <c r="AR219" s="476">
        <f t="shared" si="442"/>
        <v>0</v>
      </c>
      <c r="AS219" s="476">
        <f t="shared" si="443"/>
        <v>-0.06</v>
      </c>
      <c r="AT219" s="478">
        <f t="shared" si="444"/>
        <v>-0.06</v>
      </c>
      <c r="AU219" s="484">
        <f t="shared" si="445"/>
        <v>3378092</v>
      </c>
      <c r="AV219" s="475">
        <f t="shared" si="446"/>
        <v>2467579</v>
      </c>
      <c r="AW219" s="475">
        <f t="shared" si="447"/>
        <v>0</v>
      </c>
      <c r="AX219" s="475">
        <f t="shared" si="448"/>
        <v>834041</v>
      </c>
      <c r="AY219" s="475">
        <f t="shared" si="448"/>
        <v>49352</v>
      </c>
      <c r="AZ219" s="475">
        <f t="shared" si="449"/>
        <v>27120</v>
      </c>
      <c r="BA219" s="476">
        <f t="shared" si="450"/>
        <v>7.7700000000000005</v>
      </c>
      <c r="BB219" s="476">
        <f t="shared" si="451"/>
        <v>0</v>
      </c>
      <c r="BC219" s="478">
        <f t="shared" si="451"/>
        <v>7.7700000000000005</v>
      </c>
    </row>
    <row r="220" spans="1:55" s="234" customFormat="1" ht="12.75" customHeight="1" x14ac:dyDescent="0.2">
      <c r="A220" s="221">
        <v>38</v>
      </c>
      <c r="B220" s="222">
        <v>4460</v>
      </c>
      <c r="C220" s="222">
        <v>600074579</v>
      </c>
      <c r="D220" s="222">
        <v>48283011</v>
      </c>
      <c r="E220" s="220" t="s">
        <v>222</v>
      </c>
      <c r="F220" s="222">
        <v>3143</v>
      </c>
      <c r="G220" s="172" t="s">
        <v>626</v>
      </c>
      <c r="H220" s="239" t="s">
        <v>277</v>
      </c>
      <c r="I220" s="477">
        <v>2257222</v>
      </c>
      <c r="J220" s="472">
        <v>1662167</v>
      </c>
      <c r="K220" s="472">
        <v>0</v>
      </c>
      <c r="L220" s="472">
        <v>561812</v>
      </c>
      <c r="M220" s="472">
        <v>33243</v>
      </c>
      <c r="N220" s="472">
        <v>0</v>
      </c>
      <c r="O220" s="473">
        <v>3.3159999999999998</v>
      </c>
      <c r="P220" s="474">
        <v>3.3159999999999998</v>
      </c>
      <c r="Q220" s="483">
        <v>0</v>
      </c>
      <c r="R220" s="485">
        <f t="shared" si="435"/>
        <v>0</v>
      </c>
      <c r="S220" s="475">
        <v>0</v>
      </c>
      <c r="T220" s="475">
        <v>0</v>
      </c>
      <c r="U220" s="475">
        <v>0</v>
      </c>
      <c r="V220" s="475">
        <v>0</v>
      </c>
      <c r="W220" s="475">
        <v>0</v>
      </c>
      <c r="X220" s="475">
        <f t="shared" si="415"/>
        <v>0</v>
      </c>
      <c r="Y220" s="475">
        <v>0</v>
      </c>
      <c r="Z220" s="475">
        <v>0</v>
      </c>
      <c r="AA220" s="475">
        <v>0</v>
      </c>
      <c r="AB220" s="475">
        <f t="shared" si="436"/>
        <v>0</v>
      </c>
      <c r="AC220" s="475">
        <f t="shared" si="437"/>
        <v>0</v>
      </c>
      <c r="AD220" s="70">
        <f t="shared" si="438"/>
        <v>0</v>
      </c>
      <c r="AE220" s="70">
        <f t="shared" si="439"/>
        <v>0</v>
      </c>
      <c r="AF220" s="475">
        <v>0</v>
      </c>
      <c r="AG220" s="475">
        <v>0</v>
      </c>
      <c r="AH220" s="475">
        <f t="shared" si="440"/>
        <v>0</v>
      </c>
      <c r="AI220" s="475">
        <f t="shared" si="441"/>
        <v>0</v>
      </c>
      <c r="AJ220" s="476">
        <v>0</v>
      </c>
      <c r="AK220" s="476">
        <v>0</v>
      </c>
      <c r="AL220" s="476">
        <v>0</v>
      </c>
      <c r="AM220" s="476">
        <v>0</v>
      </c>
      <c r="AN220" s="476">
        <v>0</v>
      </c>
      <c r="AO220" s="476">
        <v>0</v>
      </c>
      <c r="AP220" s="476">
        <v>0</v>
      </c>
      <c r="AQ220" s="476">
        <v>0</v>
      </c>
      <c r="AR220" s="476">
        <f t="shared" si="442"/>
        <v>0</v>
      </c>
      <c r="AS220" s="476">
        <f t="shared" si="443"/>
        <v>0</v>
      </c>
      <c r="AT220" s="478">
        <f t="shared" si="444"/>
        <v>0</v>
      </c>
      <c r="AU220" s="484">
        <f t="shared" si="445"/>
        <v>2257222</v>
      </c>
      <c r="AV220" s="475">
        <f t="shared" si="446"/>
        <v>1662167</v>
      </c>
      <c r="AW220" s="475">
        <f t="shared" si="447"/>
        <v>0</v>
      </c>
      <c r="AX220" s="475">
        <f t="shared" si="448"/>
        <v>561812</v>
      </c>
      <c r="AY220" s="475">
        <f t="shared" si="448"/>
        <v>33243</v>
      </c>
      <c r="AZ220" s="475">
        <f t="shared" si="449"/>
        <v>0</v>
      </c>
      <c r="BA220" s="476">
        <f t="shared" si="450"/>
        <v>3.3159999999999998</v>
      </c>
      <c r="BB220" s="476">
        <f t="shared" si="451"/>
        <v>3.3159999999999998</v>
      </c>
      <c r="BC220" s="478">
        <f t="shared" si="451"/>
        <v>0</v>
      </c>
    </row>
    <row r="221" spans="1:55" s="234" customFormat="1" ht="12.75" customHeight="1" x14ac:dyDescent="0.2">
      <c r="A221" s="221">
        <v>38</v>
      </c>
      <c r="B221" s="222">
        <v>4460</v>
      </c>
      <c r="C221" s="222">
        <v>600074579</v>
      </c>
      <c r="D221" s="222">
        <v>48283011</v>
      </c>
      <c r="E221" s="220" t="s">
        <v>222</v>
      </c>
      <c r="F221" s="222">
        <v>3143</v>
      </c>
      <c r="G221" s="172" t="s">
        <v>627</v>
      </c>
      <c r="H221" s="239" t="s">
        <v>278</v>
      </c>
      <c r="I221" s="477">
        <v>78623</v>
      </c>
      <c r="J221" s="472">
        <v>55599</v>
      </c>
      <c r="K221" s="472">
        <v>0</v>
      </c>
      <c r="L221" s="472">
        <v>18792</v>
      </c>
      <c r="M221" s="472">
        <v>1112</v>
      </c>
      <c r="N221" s="472">
        <v>3120</v>
      </c>
      <c r="O221" s="473">
        <v>0.22</v>
      </c>
      <c r="P221" s="474">
        <v>0</v>
      </c>
      <c r="Q221" s="483">
        <v>0.22</v>
      </c>
      <c r="R221" s="485">
        <f t="shared" si="435"/>
        <v>0</v>
      </c>
      <c r="S221" s="475">
        <v>0</v>
      </c>
      <c r="T221" s="475">
        <v>0</v>
      </c>
      <c r="U221" s="475">
        <v>0</v>
      </c>
      <c r="V221" s="475">
        <v>0</v>
      </c>
      <c r="W221" s="475">
        <v>0</v>
      </c>
      <c r="X221" s="475">
        <f t="shared" si="415"/>
        <v>0</v>
      </c>
      <c r="Y221" s="475">
        <v>0</v>
      </c>
      <c r="Z221" s="475">
        <v>0</v>
      </c>
      <c r="AA221" s="475">
        <v>0</v>
      </c>
      <c r="AB221" s="475">
        <f t="shared" si="436"/>
        <v>0</v>
      </c>
      <c r="AC221" s="475">
        <f t="shared" si="437"/>
        <v>0</v>
      </c>
      <c r="AD221" s="70">
        <f t="shared" si="438"/>
        <v>0</v>
      </c>
      <c r="AE221" s="70">
        <f t="shared" si="439"/>
        <v>0</v>
      </c>
      <c r="AF221" s="475">
        <v>0</v>
      </c>
      <c r="AG221" s="475">
        <v>0</v>
      </c>
      <c r="AH221" s="475">
        <f t="shared" si="440"/>
        <v>0</v>
      </c>
      <c r="AI221" s="475">
        <f t="shared" si="441"/>
        <v>0</v>
      </c>
      <c r="AJ221" s="476">
        <v>0</v>
      </c>
      <c r="AK221" s="476">
        <v>0</v>
      </c>
      <c r="AL221" s="476">
        <v>0</v>
      </c>
      <c r="AM221" s="476">
        <v>0</v>
      </c>
      <c r="AN221" s="476">
        <v>0</v>
      </c>
      <c r="AO221" s="476">
        <v>0</v>
      </c>
      <c r="AP221" s="476">
        <v>0</v>
      </c>
      <c r="AQ221" s="476">
        <v>0</v>
      </c>
      <c r="AR221" s="476">
        <f t="shared" si="442"/>
        <v>0</v>
      </c>
      <c r="AS221" s="476">
        <f t="shared" si="443"/>
        <v>0</v>
      </c>
      <c r="AT221" s="478">
        <f t="shared" si="444"/>
        <v>0</v>
      </c>
      <c r="AU221" s="484">
        <f t="shared" si="445"/>
        <v>78623</v>
      </c>
      <c r="AV221" s="475">
        <f t="shared" si="446"/>
        <v>55599</v>
      </c>
      <c r="AW221" s="475">
        <f t="shared" si="447"/>
        <v>0</v>
      </c>
      <c r="AX221" s="475">
        <f t="shared" si="448"/>
        <v>18792</v>
      </c>
      <c r="AY221" s="475">
        <f t="shared" si="448"/>
        <v>1112</v>
      </c>
      <c r="AZ221" s="475">
        <f t="shared" si="449"/>
        <v>3120</v>
      </c>
      <c r="BA221" s="476">
        <f t="shared" si="450"/>
        <v>0.22</v>
      </c>
      <c r="BB221" s="476">
        <f t="shared" si="451"/>
        <v>0</v>
      </c>
      <c r="BC221" s="478">
        <f t="shared" si="451"/>
        <v>0.22</v>
      </c>
    </row>
    <row r="222" spans="1:55" s="234" customFormat="1" ht="12.75" customHeight="1" x14ac:dyDescent="0.2">
      <c r="A222" s="162">
        <v>38</v>
      </c>
      <c r="B222" s="18">
        <v>4460</v>
      </c>
      <c r="C222" s="18">
        <v>600074579</v>
      </c>
      <c r="D222" s="18">
        <v>48283011</v>
      </c>
      <c r="E222" s="171" t="s">
        <v>223</v>
      </c>
      <c r="F222" s="18"/>
      <c r="G222" s="161"/>
      <c r="H222" s="195"/>
      <c r="I222" s="529">
        <v>40312426</v>
      </c>
      <c r="J222" s="526">
        <v>29029546</v>
      </c>
      <c r="K222" s="526">
        <v>145040</v>
      </c>
      <c r="L222" s="526">
        <v>9861009</v>
      </c>
      <c r="M222" s="526">
        <v>580591</v>
      </c>
      <c r="N222" s="526">
        <v>696240</v>
      </c>
      <c r="O222" s="527">
        <v>58.941299999999998</v>
      </c>
      <c r="P222" s="527">
        <v>40.010000000000005</v>
      </c>
      <c r="Q222" s="531">
        <v>18.9313</v>
      </c>
      <c r="R222" s="529">
        <f t="shared" ref="R222:BC222" si="452">SUM(R216:R221)</f>
        <v>0</v>
      </c>
      <c r="S222" s="526">
        <f t="shared" si="452"/>
        <v>303945</v>
      </c>
      <c r="T222" s="526">
        <f t="shared" si="452"/>
        <v>-340680</v>
      </c>
      <c r="U222" s="526">
        <f t="shared" si="452"/>
        <v>0</v>
      </c>
      <c r="V222" s="526">
        <f t="shared" si="452"/>
        <v>0</v>
      </c>
      <c r="W222" s="526">
        <f t="shared" si="452"/>
        <v>0</v>
      </c>
      <c r="X222" s="526">
        <f t="shared" si="452"/>
        <v>-36735</v>
      </c>
      <c r="Y222" s="526">
        <f t="shared" si="452"/>
        <v>0</v>
      </c>
      <c r="Z222" s="526">
        <f t="shared" si="452"/>
        <v>0</v>
      </c>
      <c r="AA222" s="526">
        <f t="shared" si="452"/>
        <v>0</v>
      </c>
      <c r="AB222" s="526">
        <f t="shared" si="452"/>
        <v>0</v>
      </c>
      <c r="AC222" s="526">
        <f t="shared" si="452"/>
        <v>-36735</v>
      </c>
      <c r="AD222" s="526">
        <f t="shared" si="452"/>
        <v>-12417</v>
      </c>
      <c r="AE222" s="526">
        <f t="shared" si="452"/>
        <v>-734</v>
      </c>
      <c r="AF222" s="526">
        <f t="shared" si="452"/>
        <v>6000</v>
      </c>
      <c r="AG222" s="526">
        <f t="shared" si="452"/>
        <v>0</v>
      </c>
      <c r="AH222" s="526">
        <f t="shared" si="452"/>
        <v>6000</v>
      </c>
      <c r="AI222" s="526">
        <f t="shared" si="452"/>
        <v>-43886</v>
      </c>
      <c r="AJ222" s="527">
        <f t="shared" si="452"/>
        <v>0</v>
      </c>
      <c r="AK222" s="527">
        <f t="shared" si="452"/>
        <v>0</v>
      </c>
      <c r="AL222" s="527">
        <f t="shared" si="452"/>
        <v>0.88</v>
      </c>
      <c r="AM222" s="527">
        <f t="shared" si="452"/>
        <v>-0.51</v>
      </c>
      <c r="AN222" s="527">
        <f t="shared" si="452"/>
        <v>-0.06</v>
      </c>
      <c r="AO222" s="527">
        <f t="shared" si="452"/>
        <v>0</v>
      </c>
      <c r="AP222" s="527">
        <f t="shared" si="452"/>
        <v>0</v>
      </c>
      <c r="AQ222" s="527">
        <f t="shared" si="452"/>
        <v>0</v>
      </c>
      <c r="AR222" s="527">
        <f t="shared" si="452"/>
        <v>0.37</v>
      </c>
      <c r="AS222" s="527">
        <f t="shared" si="452"/>
        <v>-0.06</v>
      </c>
      <c r="AT222" s="40">
        <f t="shared" si="452"/>
        <v>0.31</v>
      </c>
      <c r="AU222" s="533">
        <f t="shared" si="452"/>
        <v>40268540</v>
      </c>
      <c r="AV222" s="526">
        <f t="shared" si="452"/>
        <v>28992811</v>
      </c>
      <c r="AW222" s="526">
        <f t="shared" si="452"/>
        <v>145040</v>
      </c>
      <c r="AX222" s="526">
        <f t="shared" si="452"/>
        <v>9848592</v>
      </c>
      <c r="AY222" s="526">
        <f t="shared" si="452"/>
        <v>579857</v>
      </c>
      <c r="AZ222" s="526">
        <f t="shared" si="452"/>
        <v>702240</v>
      </c>
      <c r="BA222" s="527">
        <f t="shared" si="452"/>
        <v>59.251300000000008</v>
      </c>
      <c r="BB222" s="527">
        <f t="shared" si="452"/>
        <v>40.380000000000003</v>
      </c>
      <c r="BC222" s="40">
        <f t="shared" si="452"/>
        <v>18.871299999999998</v>
      </c>
    </row>
    <row r="223" spans="1:55" s="234" customFormat="1" ht="12.75" customHeight="1" x14ac:dyDescent="0.2">
      <c r="A223" s="221">
        <v>39</v>
      </c>
      <c r="B223" s="222">
        <v>4472</v>
      </c>
      <c r="C223" s="222">
        <v>600075095</v>
      </c>
      <c r="D223" s="222">
        <v>48282561</v>
      </c>
      <c r="E223" s="220" t="s">
        <v>224</v>
      </c>
      <c r="F223" s="222">
        <v>3231</v>
      </c>
      <c r="G223" s="172" t="s">
        <v>316</v>
      </c>
      <c r="H223" s="223" t="s">
        <v>277</v>
      </c>
      <c r="I223" s="477">
        <v>10157712</v>
      </c>
      <c r="J223" s="472">
        <v>7404692</v>
      </c>
      <c r="K223" s="472">
        <v>50000</v>
      </c>
      <c r="L223" s="472">
        <v>2519686</v>
      </c>
      <c r="M223" s="472">
        <v>148094</v>
      </c>
      <c r="N223" s="472">
        <v>35240</v>
      </c>
      <c r="O223" s="473">
        <v>13.753099999999998</v>
      </c>
      <c r="P223" s="474">
        <v>12.163</v>
      </c>
      <c r="Q223" s="483">
        <v>1.5901000000000001</v>
      </c>
      <c r="R223" s="485">
        <f t="shared" ref="R223" si="453">Y223*-1</f>
        <v>-10000</v>
      </c>
      <c r="S223" s="475">
        <v>0</v>
      </c>
      <c r="T223" s="475">
        <v>0</v>
      </c>
      <c r="U223" s="475">
        <v>0</v>
      </c>
      <c r="V223" s="475">
        <v>0</v>
      </c>
      <c r="W223" s="475">
        <v>0</v>
      </c>
      <c r="X223" s="475">
        <f t="shared" si="415"/>
        <v>-10000</v>
      </c>
      <c r="Y223" s="475">
        <v>10000</v>
      </c>
      <c r="Z223" s="475">
        <v>0</v>
      </c>
      <c r="AA223" s="475">
        <v>0</v>
      </c>
      <c r="AB223" s="475">
        <f t="shared" ref="AB223" si="454">SUM(Y223:AA223)</f>
        <v>10000</v>
      </c>
      <c r="AC223" s="475">
        <f>X223+AB223</f>
        <v>0</v>
      </c>
      <c r="AD223" s="70">
        <f>ROUND((X223+Y223+Z223)*33.8%,0)</f>
        <v>0</v>
      </c>
      <c r="AE223" s="70">
        <f>ROUND(X223*2%,0)</f>
        <v>-200</v>
      </c>
      <c r="AF223" s="475">
        <v>0</v>
      </c>
      <c r="AG223" s="475">
        <v>0</v>
      </c>
      <c r="AH223" s="475">
        <f t="shared" ref="AH223" si="455">SUM(AF223:AG223)</f>
        <v>0</v>
      </c>
      <c r="AI223" s="475">
        <f t="shared" ref="AI223" si="456">AC223+AD223+AE223+AH223</f>
        <v>-200</v>
      </c>
      <c r="AJ223" s="476">
        <v>-0.02</v>
      </c>
      <c r="AK223" s="476">
        <v>0</v>
      </c>
      <c r="AL223" s="476">
        <v>0</v>
      </c>
      <c r="AM223" s="476">
        <v>0</v>
      </c>
      <c r="AN223" s="476">
        <v>0</v>
      </c>
      <c r="AO223" s="476">
        <v>0</v>
      </c>
      <c r="AP223" s="476">
        <v>0</v>
      </c>
      <c r="AQ223" s="476">
        <v>0</v>
      </c>
      <c r="AR223" s="476">
        <f>AJ223+AL223+AM223+AO223+AP223</f>
        <v>-0.02</v>
      </c>
      <c r="AS223" s="476">
        <f>AK223+AN223+AQ223</f>
        <v>0</v>
      </c>
      <c r="AT223" s="478">
        <f t="shared" ref="AT223" si="457">SUM(AR223:AS223)</f>
        <v>-0.02</v>
      </c>
      <c r="AU223" s="484">
        <f>I223+AI223</f>
        <v>10157512</v>
      </c>
      <c r="AV223" s="475">
        <f>J223+X223</f>
        <v>7394692</v>
      </c>
      <c r="AW223" s="475">
        <f>K223+AB223</f>
        <v>60000</v>
      </c>
      <c r="AX223" s="475">
        <f>L223+AD223</f>
        <v>2519686</v>
      </c>
      <c r="AY223" s="475">
        <f>M223+AE223</f>
        <v>147894</v>
      </c>
      <c r="AZ223" s="475">
        <f>N223+AH223</f>
        <v>35240</v>
      </c>
      <c r="BA223" s="476">
        <f>O223+AT223</f>
        <v>13.733099999999999</v>
      </c>
      <c r="BB223" s="476">
        <f>P223+AR223</f>
        <v>12.143000000000001</v>
      </c>
      <c r="BC223" s="478">
        <f>Q223+AS223</f>
        <v>1.5901000000000001</v>
      </c>
    </row>
    <row r="224" spans="1:55" s="234" customFormat="1" ht="12.75" customHeight="1" x14ac:dyDescent="0.2">
      <c r="A224" s="162">
        <v>39</v>
      </c>
      <c r="B224" s="18">
        <v>4472</v>
      </c>
      <c r="C224" s="18">
        <v>600075095</v>
      </c>
      <c r="D224" s="18">
        <v>48282561</v>
      </c>
      <c r="E224" s="171" t="s">
        <v>225</v>
      </c>
      <c r="F224" s="18"/>
      <c r="G224" s="161"/>
      <c r="H224" s="195"/>
      <c r="I224" s="529">
        <v>10157712</v>
      </c>
      <c r="J224" s="526">
        <v>7404692</v>
      </c>
      <c r="K224" s="526">
        <v>50000</v>
      </c>
      <c r="L224" s="526">
        <v>2519686</v>
      </c>
      <c r="M224" s="526">
        <v>148094</v>
      </c>
      <c r="N224" s="526">
        <v>35240</v>
      </c>
      <c r="O224" s="527">
        <v>13.753099999999998</v>
      </c>
      <c r="P224" s="527">
        <v>12.163</v>
      </c>
      <c r="Q224" s="531">
        <v>1.5901000000000001</v>
      </c>
      <c r="R224" s="529">
        <f t="shared" ref="R224:BC224" si="458">SUM(R223)</f>
        <v>-10000</v>
      </c>
      <c r="S224" s="526">
        <f t="shared" si="458"/>
        <v>0</v>
      </c>
      <c r="T224" s="526">
        <f t="shared" si="458"/>
        <v>0</v>
      </c>
      <c r="U224" s="526">
        <f t="shared" si="458"/>
        <v>0</v>
      </c>
      <c r="V224" s="526">
        <f t="shared" si="458"/>
        <v>0</v>
      </c>
      <c r="W224" s="526">
        <f t="shared" si="458"/>
        <v>0</v>
      </c>
      <c r="X224" s="526">
        <f t="shared" si="458"/>
        <v>-10000</v>
      </c>
      <c r="Y224" s="526">
        <f t="shared" si="458"/>
        <v>10000</v>
      </c>
      <c r="Z224" s="526">
        <f t="shared" si="458"/>
        <v>0</v>
      </c>
      <c r="AA224" s="526">
        <f t="shared" si="458"/>
        <v>0</v>
      </c>
      <c r="AB224" s="526">
        <f t="shared" si="458"/>
        <v>10000</v>
      </c>
      <c r="AC224" s="526">
        <f t="shared" si="458"/>
        <v>0</v>
      </c>
      <c r="AD224" s="526">
        <f t="shared" si="458"/>
        <v>0</v>
      </c>
      <c r="AE224" s="526">
        <f t="shared" si="458"/>
        <v>-200</v>
      </c>
      <c r="AF224" s="526">
        <f t="shared" si="458"/>
        <v>0</v>
      </c>
      <c r="AG224" s="526">
        <f t="shared" si="458"/>
        <v>0</v>
      </c>
      <c r="AH224" s="526">
        <f t="shared" si="458"/>
        <v>0</v>
      </c>
      <c r="AI224" s="526">
        <f t="shared" si="458"/>
        <v>-200</v>
      </c>
      <c r="AJ224" s="527">
        <f t="shared" si="458"/>
        <v>-0.02</v>
      </c>
      <c r="AK224" s="527">
        <f t="shared" si="458"/>
        <v>0</v>
      </c>
      <c r="AL224" s="527">
        <f t="shared" si="458"/>
        <v>0</v>
      </c>
      <c r="AM224" s="527">
        <f t="shared" si="458"/>
        <v>0</v>
      </c>
      <c r="AN224" s="527">
        <f t="shared" si="458"/>
        <v>0</v>
      </c>
      <c r="AO224" s="527">
        <f t="shared" si="458"/>
        <v>0</v>
      </c>
      <c r="AP224" s="527">
        <f t="shared" si="458"/>
        <v>0</v>
      </c>
      <c r="AQ224" s="527">
        <f t="shared" si="458"/>
        <v>0</v>
      </c>
      <c r="AR224" s="527">
        <f t="shared" si="458"/>
        <v>-0.02</v>
      </c>
      <c r="AS224" s="527">
        <f t="shared" si="458"/>
        <v>0</v>
      </c>
      <c r="AT224" s="40">
        <f t="shared" si="458"/>
        <v>-0.02</v>
      </c>
      <c r="AU224" s="533">
        <f t="shared" si="458"/>
        <v>10157512</v>
      </c>
      <c r="AV224" s="526">
        <f t="shared" si="458"/>
        <v>7394692</v>
      </c>
      <c r="AW224" s="526">
        <f t="shared" si="458"/>
        <v>60000</v>
      </c>
      <c r="AX224" s="526">
        <f t="shared" si="458"/>
        <v>2519686</v>
      </c>
      <c r="AY224" s="526">
        <f t="shared" si="458"/>
        <v>147894</v>
      </c>
      <c r="AZ224" s="526">
        <f t="shared" si="458"/>
        <v>35240</v>
      </c>
      <c r="BA224" s="527">
        <f t="shared" si="458"/>
        <v>13.733099999999999</v>
      </c>
      <c r="BB224" s="527">
        <f t="shared" si="458"/>
        <v>12.143000000000001</v>
      </c>
      <c r="BC224" s="40">
        <f t="shared" si="458"/>
        <v>1.5901000000000001</v>
      </c>
    </row>
    <row r="225" spans="1:55" s="234" customFormat="1" ht="12.75" customHeight="1" x14ac:dyDescent="0.2">
      <c r="A225" s="221">
        <v>40</v>
      </c>
      <c r="B225" s="222">
        <v>4418</v>
      </c>
      <c r="C225" s="222">
        <v>600074048</v>
      </c>
      <c r="D225" s="222">
        <v>72742411</v>
      </c>
      <c r="E225" s="220" t="s">
        <v>226</v>
      </c>
      <c r="F225" s="222">
        <v>3111</v>
      </c>
      <c r="G225" s="172" t="s">
        <v>311</v>
      </c>
      <c r="H225" s="223" t="s">
        <v>277</v>
      </c>
      <c r="I225" s="477">
        <v>2139470</v>
      </c>
      <c r="J225" s="472">
        <v>1500088</v>
      </c>
      <c r="K225" s="472">
        <v>50000</v>
      </c>
      <c r="L225" s="472">
        <v>523930</v>
      </c>
      <c r="M225" s="472">
        <v>30002</v>
      </c>
      <c r="N225" s="472">
        <v>35450</v>
      </c>
      <c r="O225" s="473">
        <v>3.0058000000000002</v>
      </c>
      <c r="P225" s="474">
        <v>2.3509000000000002</v>
      </c>
      <c r="Q225" s="483">
        <v>0.65490000000000026</v>
      </c>
      <c r="R225" s="485">
        <f t="shared" ref="R225:R227" si="459">Y225*-1</f>
        <v>0</v>
      </c>
      <c r="S225" s="475">
        <v>0</v>
      </c>
      <c r="T225" s="475">
        <v>0</v>
      </c>
      <c r="U225" s="475">
        <v>0</v>
      </c>
      <c r="V225" s="475">
        <v>0</v>
      </c>
      <c r="W225" s="475">
        <v>0</v>
      </c>
      <c r="X225" s="475">
        <f t="shared" si="415"/>
        <v>0</v>
      </c>
      <c r="Y225" s="475">
        <v>0</v>
      </c>
      <c r="Z225" s="475">
        <v>0</v>
      </c>
      <c r="AA225" s="475">
        <v>0</v>
      </c>
      <c r="AB225" s="475">
        <f t="shared" ref="AB225:AB227" si="460">SUM(Y225:AA225)</f>
        <v>0</v>
      </c>
      <c r="AC225" s="475">
        <f>X225+AB225</f>
        <v>0</v>
      </c>
      <c r="AD225" s="70">
        <f>ROUND((X225+Y225+Z225)*33.8%,0)</f>
        <v>0</v>
      </c>
      <c r="AE225" s="70">
        <f>ROUND(X225*2%,0)</f>
        <v>0</v>
      </c>
      <c r="AF225" s="475">
        <v>0</v>
      </c>
      <c r="AG225" s="475">
        <v>0</v>
      </c>
      <c r="AH225" s="475">
        <f t="shared" ref="AH225:AH227" si="461">SUM(AF225:AG225)</f>
        <v>0</v>
      </c>
      <c r="AI225" s="475">
        <f t="shared" ref="AI225:AI227" si="462">AC225+AD225+AE225+AH225</f>
        <v>0</v>
      </c>
      <c r="AJ225" s="476">
        <v>0</v>
      </c>
      <c r="AK225" s="476">
        <v>0</v>
      </c>
      <c r="AL225" s="476">
        <v>0</v>
      </c>
      <c r="AM225" s="476">
        <v>0</v>
      </c>
      <c r="AN225" s="476">
        <v>0</v>
      </c>
      <c r="AO225" s="476">
        <v>0</v>
      </c>
      <c r="AP225" s="476">
        <v>0</v>
      </c>
      <c r="AQ225" s="476">
        <v>0</v>
      </c>
      <c r="AR225" s="476">
        <f>AJ225+AL225+AM225+AO225+AP225</f>
        <v>0</v>
      </c>
      <c r="AS225" s="476">
        <f>AK225+AN225+AQ225</f>
        <v>0</v>
      </c>
      <c r="AT225" s="478">
        <f t="shared" ref="AT225:AT227" si="463">SUM(AR225:AS225)</f>
        <v>0</v>
      </c>
      <c r="AU225" s="484">
        <f>I225+AI225</f>
        <v>2139470</v>
      </c>
      <c r="AV225" s="475">
        <f>J225+X225</f>
        <v>1500088</v>
      </c>
      <c r="AW225" s="475">
        <f>K225+AB225</f>
        <v>50000</v>
      </c>
      <c r="AX225" s="475">
        <f t="shared" ref="AX225:AY227" si="464">L225+AD225</f>
        <v>523930</v>
      </c>
      <c r="AY225" s="475">
        <f t="shared" si="464"/>
        <v>30002</v>
      </c>
      <c r="AZ225" s="475">
        <f>N225+AH225</f>
        <v>35450</v>
      </c>
      <c r="BA225" s="476">
        <f>O225+AT225</f>
        <v>3.0058000000000002</v>
      </c>
      <c r="BB225" s="476">
        <f t="shared" ref="BB225:BC227" si="465">P225+AR225</f>
        <v>2.3509000000000002</v>
      </c>
      <c r="BC225" s="478">
        <f t="shared" si="465"/>
        <v>0.65490000000000026</v>
      </c>
    </row>
    <row r="226" spans="1:55" s="234" customFormat="1" ht="12.75" customHeight="1" x14ac:dyDescent="0.2">
      <c r="A226" s="221">
        <v>40</v>
      </c>
      <c r="B226" s="222">
        <v>4418</v>
      </c>
      <c r="C226" s="222">
        <v>600074048</v>
      </c>
      <c r="D226" s="222">
        <v>72742411</v>
      </c>
      <c r="E226" s="220" t="s">
        <v>226</v>
      </c>
      <c r="F226" s="222">
        <v>3111</v>
      </c>
      <c r="G226" s="172" t="s">
        <v>312</v>
      </c>
      <c r="H226" s="223" t="s">
        <v>278</v>
      </c>
      <c r="I226" s="477">
        <v>235235</v>
      </c>
      <c r="J226" s="472">
        <v>173222</v>
      </c>
      <c r="K226" s="472">
        <v>0</v>
      </c>
      <c r="L226" s="472">
        <v>58549</v>
      </c>
      <c r="M226" s="472">
        <v>3464</v>
      </c>
      <c r="N226" s="472">
        <v>0</v>
      </c>
      <c r="O226" s="473">
        <v>0.5</v>
      </c>
      <c r="P226" s="474">
        <v>0.5</v>
      </c>
      <c r="Q226" s="483">
        <v>0</v>
      </c>
      <c r="R226" s="485">
        <f t="shared" si="459"/>
        <v>0</v>
      </c>
      <c r="S226" s="475">
        <v>-57741</v>
      </c>
      <c r="T226" s="475">
        <v>0</v>
      </c>
      <c r="U226" s="475">
        <v>0</v>
      </c>
      <c r="V226" s="475">
        <v>0</v>
      </c>
      <c r="W226" s="475">
        <v>0</v>
      </c>
      <c r="X226" s="475">
        <f t="shared" si="415"/>
        <v>-57741</v>
      </c>
      <c r="Y226" s="475">
        <v>0</v>
      </c>
      <c r="Z226" s="475">
        <v>0</v>
      </c>
      <c r="AA226" s="475">
        <v>0</v>
      </c>
      <c r="AB226" s="475">
        <f t="shared" si="460"/>
        <v>0</v>
      </c>
      <c r="AC226" s="475">
        <f>X226+AB226</f>
        <v>-57741</v>
      </c>
      <c r="AD226" s="70">
        <f>ROUND((X226+Y226+Z226)*33.8%,0)</f>
        <v>-19516</v>
      </c>
      <c r="AE226" s="70">
        <f>ROUND(X226*2%,0)</f>
        <v>-1155</v>
      </c>
      <c r="AF226" s="475">
        <v>0</v>
      </c>
      <c r="AG226" s="475">
        <v>0</v>
      </c>
      <c r="AH226" s="475">
        <f t="shared" si="461"/>
        <v>0</v>
      </c>
      <c r="AI226" s="475">
        <f t="shared" si="462"/>
        <v>-78412</v>
      </c>
      <c r="AJ226" s="476">
        <v>0</v>
      </c>
      <c r="AK226" s="476">
        <v>0</v>
      </c>
      <c r="AL226" s="476">
        <v>-0.17</v>
      </c>
      <c r="AM226" s="476">
        <v>0</v>
      </c>
      <c r="AN226" s="476">
        <v>0</v>
      </c>
      <c r="AO226" s="476">
        <v>0</v>
      </c>
      <c r="AP226" s="476">
        <v>0</v>
      </c>
      <c r="AQ226" s="476">
        <v>0</v>
      </c>
      <c r="AR226" s="476">
        <f>AJ226+AL226+AM226+AO226+AP226</f>
        <v>-0.17</v>
      </c>
      <c r="AS226" s="476">
        <f>AK226+AN226+AQ226</f>
        <v>0</v>
      </c>
      <c r="AT226" s="478">
        <f t="shared" si="463"/>
        <v>-0.17</v>
      </c>
      <c r="AU226" s="484">
        <f>I226+AI226</f>
        <v>156823</v>
      </c>
      <c r="AV226" s="475">
        <f>J226+X226</f>
        <v>115481</v>
      </c>
      <c r="AW226" s="475">
        <f>K226+AB226</f>
        <v>0</v>
      </c>
      <c r="AX226" s="475">
        <f t="shared" si="464"/>
        <v>39033</v>
      </c>
      <c r="AY226" s="475">
        <f t="shared" si="464"/>
        <v>2309</v>
      </c>
      <c r="AZ226" s="475">
        <f>N226+AH226</f>
        <v>0</v>
      </c>
      <c r="BA226" s="476">
        <f>O226+AT226</f>
        <v>0.32999999999999996</v>
      </c>
      <c r="BB226" s="476">
        <f t="shared" si="465"/>
        <v>0.32999999999999996</v>
      </c>
      <c r="BC226" s="478">
        <f t="shared" si="465"/>
        <v>0</v>
      </c>
    </row>
    <row r="227" spans="1:55" s="234" customFormat="1" ht="12.75" customHeight="1" x14ac:dyDescent="0.2">
      <c r="A227" s="221">
        <v>40</v>
      </c>
      <c r="B227" s="222">
        <v>4418</v>
      </c>
      <c r="C227" s="222">
        <v>600074048</v>
      </c>
      <c r="D227" s="222">
        <v>72742411</v>
      </c>
      <c r="E227" s="215" t="s">
        <v>226</v>
      </c>
      <c r="F227" s="222">
        <v>3141</v>
      </c>
      <c r="G227" s="172" t="s">
        <v>315</v>
      </c>
      <c r="H227" s="223" t="s">
        <v>278</v>
      </c>
      <c r="I227" s="477">
        <v>404655</v>
      </c>
      <c r="J227" s="472">
        <v>292027</v>
      </c>
      <c r="K227" s="472">
        <v>5000</v>
      </c>
      <c r="L227" s="472">
        <v>100395</v>
      </c>
      <c r="M227" s="472">
        <v>5841</v>
      </c>
      <c r="N227" s="472">
        <v>1392</v>
      </c>
      <c r="O227" s="473">
        <v>0.94</v>
      </c>
      <c r="P227" s="474">
        <v>0</v>
      </c>
      <c r="Q227" s="483">
        <v>0.94</v>
      </c>
      <c r="R227" s="485">
        <f t="shared" si="459"/>
        <v>0</v>
      </c>
      <c r="S227" s="475">
        <v>0</v>
      </c>
      <c r="T227" s="475">
        <v>-13132</v>
      </c>
      <c r="U227" s="475">
        <v>0</v>
      </c>
      <c r="V227" s="475">
        <v>0</v>
      </c>
      <c r="W227" s="475">
        <v>0</v>
      </c>
      <c r="X227" s="475">
        <f t="shared" si="415"/>
        <v>-13132</v>
      </c>
      <c r="Y227" s="475">
        <v>0</v>
      </c>
      <c r="Z227" s="475">
        <v>0</v>
      </c>
      <c r="AA227" s="475">
        <v>0</v>
      </c>
      <c r="AB227" s="475">
        <f t="shared" si="460"/>
        <v>0</v>
      </c>
      <c r="AC227" s="475">
        <f>X227+AB227</f>
        <v>-13132</v>
      </c>
      <c r="AD227" s="70">
        <f>ROUND((X227+Y227+Z227)*33.8%,0)</f>
        <v>-4439</v>
      </c>
      <c r="AE227" s="70">
        <f>ROUND(X227*2%,0)</f>
        <v>-263</v>
      </c>
      <c r="AF227" s="475">
        <v>0</v>
      </c>
      <c r="AG227" s="475">
        <v>0</v>
      </c>
      <c r="AH227" s="475">
        <f t="shared" si="461"/>
        <v>0</v>
      </c>
      <c r="AI227" s="475">
        <f t="shared" si="462"/>
        <v>-17834</v>
      </c>
      <c r="AJ227" s="476">
        <v>0</v>
      </c>
      <c r="AK227" s="476">
        <v>0</v>
      </c>
      <c r="AL227" s="476">
        <v>0</v>
      </c>
      <c r="AM227" s="476">
        <v>0</v>
      </c>
      <c r="AN227" s="476">
        <v>-0.04</v>
      </c>
      <c r="AO227" s="476">
        <v>0</v>
      </c>
      <c r="AP227" s="476">
        <v>0</v>
      </c>
      <c r="AQ227" s="476">
        <v>0</v>
      </c>
      <c r="AR227" s="476">
        <f>AJ227+AL227+AM227+AO227+AP227</f>
        <v>0</v>
      </c>
      <c r="AS227" s="476">
        <f>AK227+AN227+AQ227</f>
        <v>-0.04</v>
      </c>
      <c r="AT227" s="478">
        <f t="shared" si="463"/>
        <v>-0.04</v>
      </c>
      <c r="AU227" s="484">
        <f>I227+AI227</f>
        <v>386821</v>
      </c>
      <c r="AV227" s="475">
        <f>J227+X227</f>
        <v>278895</v>
      </c>
      <c r="AW227" s="475">
        <f>K227+AB227</f>
        <v>5000</v>
      </c>
      <c r="AX227" s="475">
        <f t="shared" si="464"/>
        <v>95956</v>
      </c>
      <c r="AY227" s="475">
        <f t="shared" si="464"/>
        <v>5578</v>
      </c>
      <c r="AZ227" s="475">
        <f>N227+AH227</f>
        <v>1392</v>
      </c>
      <c r="BA227" s="476">
        <f>O227+AT227</f>
        <v>0.89999999999999991</v>
      </c>
      <c r="BB227" s="476">
        <f t="shared" si="465"/>
        <v>0</v>
      </c>
      <c r="BC227" s="478">
        <f t="shared" si="465"/>
        <v>0.89999999999999991</v>
      </c>
    </row>
    <row r="228" spans="1:55" s="234" customFormat="1" ht="12.75" customHeight="1" x14ac:dyDescent="0.2">
      <c r="A228" s="162">
        <v>40</v>
      </c>
      <c r="B228" s="18">
        <v>4418</v>
      </c>
      <c r="C228" s="18">
        <v>600074048</v>
      </c>
      <c r="D228" s="18">
        <v>72742411</v>
      </c>
      <c r="E228" s="171" t="s">
        <v>227</v>
      </c>
      <c r="F228" s="18"/>
      <c r="G228" s="161"/>
      <c r="H228" s="195"/>
      <c r="I228" s="529">
        <v>2779360</v>
      </c>
      <c r="J228" s="526">
        <v>1965337</v>
      </c>
      <c r="K228" s="526">
        <v>55000</v>
      </c>
      <c r="L228" s="526">
        <v>682874</v>
      </c>
      <c r="M228" s="526">
        <v>39307</v>
      </c>
      <c r="N228" s="526">
        <v>36842</v>
      </c>
      <c r="O228" s="527">
        <v>4.4458000000000002</v>
      </c>
      <c r="P228" s="527">
        <v>2.8509000000000002</v>
      </c>
      <c r="Q228" s="531">
        <v>1.5949000000000002</v>
      </c>
      <c r="R228" s="529">
        <f t="shared" ref="R228:BC228" si="466">SUM(R225:R227)</f>
        <v>0</v>
      </c>
      <c r="S228" s="526">
        <f t="shared" si="466"/>
        <v>-57741</v>
      </c>
      <c r="T228" s="526">
        <f t="shared" si="466"/>
        <v>-13132</v>
      </c>
      <c r="U228" s="526">
        <f t="shared" si="466"/>
        <v>0</v>
      </c>
      <c r="V228" s="526">
        <f t="shared" si="466"/>
        <v>0</v>
      </c>
      <c r="W228" s="526">
        <f t="shared" si="466"/>
        <v>0</v>
      </c>
      <c r="X228" s="526">
        <f t="shared" si="466"/>
        <v>-70873</v>
      </c>
      <c r="Y228" s="526">
        <f t="shared" si="466"/>
        <v>0</v>
      </c>
      <c r="Z228" s="526">
        <f t="shared" si="466"/>
        <v>0</v>
      </c>
      <c r="AA228" s="526">
        <f t="shared" si="466"/>
        <v>0</v>
      </c>
      <c r="AB228" s="526">
        <f t="shared" si="466"/>
        <v>0</v>
      </c>
      <c r="AC228" s="526">
        <f t="shared" si="466"/>
        <v>-70873</v>
      </c>
      <c r="AD228" s="526">
        <f t="shared" si="466"/>
        <v>-23955</v>
      </c>
      <c r="AE228" s="526">
        <f t="shared" si="466"/>
        <v>-1418</v>
      </c>
      <c r="AF228" s="526">
        <f t="shared" si="466"/>
        <v>0</v>
      </c>
      <c r="AG228" s="526">
        <f t="shared" si="466"/>
        <v>0</v>
      </c>
      <c r="AH228" s="526">
        <f t="shared" si="466"/>
        <v>0</v>
      </c>
      <c r="AI228" s="526">
        <f t="shared" si="466"/>
        <v>-96246</v>
      </c>
      <c r="AJ228" s="527">
        <f t="shared" si="466"/>
        <v>0</v>
      </c>
      <c r="AK228" s="527">
        <f t="shared" si="466"/>
        <v>0</v>
      </c>
      <c r="AL228" s="527">
        <f t="shared" si="466"/>
        <v>-0.17</v>
      </c>
      <c r="AM228" s="527">
        <f t="shared" si="466"/>
        <v>0</v>
      </c>
      <c r="AN228" s="527">
        <f t="shared" si="466"/>
        <v>-0.04</v>
      </c>
      <c r="AO228" s="527">
        <f t="shared" si="466"/>
        <v>0</v>
      </c>
      <c r="AP228" s="527">
        <f t="shared" si="466"/>
        <v>0</v>
      </c>
      <c r="AQ228" s="527">
        <f t="shared" si="466"/>
        <v>0</v>
      </c>
      <c r="AR228" s="527">
        <f t="shared" si="466"/>
        <v>-0.17</v>
      </c>
      <c r="AS228" s="527">
        <f t="shared" si="466"/>
        <v>-0.04</v>
      </c>
      <c r="AT228" s="40">
        <f t="shared" si="466"/>
        <v>-0.21000000000000002</v>
      </c>
      <c r="AU228" s="533">
        <f t="shared" si="466"/>
        <v>2683114</v>
      </c>
      <c r="AV228" s="526">
        <f t="shared" si="466"/>
        <v>1894464</v>
      </c>
      <c r="AW228" s="526">
        <f t="shared" si="466"/>
        <v>55000</v>
      </c>
      <c r="AX228" s="526">
        <f t="shared" si="466"/>
        <v>658919</v>
      </c>
      <c r="AY228" s="526">
        <f t="shared" si="466"/>
        <v>37889</v>
      </c>
      <c r="AZ228" s="526">
        <f t="shared" si="466"/>
        <v>36842</v>
      </c>
      <c r="BA228" s="527">
        <f t="shared" si="466"/>
        <v>4.2358000000000002</v>
      </c>
      <c r="BB228" s="527">
        <f t="shared" si="466"/>
        <v>2.6809000000000003</v>
      </c>
      <c r="BC228" s="40">
        <f t="shared" si="466"/>
        <v>1.5549000000000002</v>
      </c>
    </row>
    <row r="229" spans="1:55" s="234" customFormat="1" ht="12.75" customHeight="1" x14ac:dyDescent="0.2">
      <c r="A229" s="221">
        <v>41</v>
      </c>
      <c r="B229" s="222">
        <v>4432</v>
      </c>
      <c r="C229" s="222">
        <v>600074625</v>
      </c>
      <c r="D229" s="222">
        <v>70695903</v>
      </c>
      <c r="E229" s="220" t="s">
        <v>228</v>
      </c>
      <c r="F229" s="222">
        <v>3111</v>
      </c>
      <c r="G229" s="172" t="s">
        <v>311</v>
      </c>
      <c r="H229" s="223" t="s">
        <v>277</v>
      </c>
      <c r="I229" s="477">
        <v>1562886</v>
      </c>
      <c r="J229" s="472">
        <v>1143583</v>
      </c>
      <c r="K229" s="472">
        <v>0</v>
      </c>
      <c r="L229" s="472">
        <v>386531</v>
      </c>
      <c r="M229" s="472">
        <v>22872</v>
      </c>
      <c r="N229" s="472">
        <v>9900</v>
      </c>
      <c r="O229" s="473">
        <v>2.5608999999999997</v>
      </c>
      <c r="P229" s="474">
        <v>2.0499999999999998</v>
      </c>
      <c r="Q229" s="483">
        <v>0.51090000000000002</v>
      </c>
      <c r="R229" s="485">
        <f t="shared" ref="R229:R234" si="467">Y229*-1</f>
        <v>0</v>
      </c>
      <c r="S229" s="475">
        <v>0</v>
      </c>
      <c r="T229" s="475">
        <v>0</v>
      </c>
      <c r="U229" s="475">
        <v>0</v>
      </c>
      <c r="V229" s="475">
        <v>0</v>
      </c>
      <c r="W229" s="475">
        <v>0</v>
      </c>
      <c r="X229" s="475">
        <f t="shared" si="415"/>
        <v>0</v>
      </c>
      <c r="Y229" s="475">
        <v>0</v>
      </c>
      <c r="Z229" s="475">
        <v>0</v>
      </c>
      <c r="AA229" s="475">
        <v>0</v>
      </c>
      <c r="AB229" s="475">
        <f t="shared" ref="AB229:AB234" si="468">SUM(Y229:AA229)</f>
        <v>0</v>
      </c>
      <c r="AC229" s="475">
        <f t="shared" ref="AC229:AC234" si="469">X229+AB229</f>
        <v>0</v>
      </c>
      <c r="AD229" s="70">
        <f t="shared" ref="AD229:AD234" si="470">ROUND((X229+Y229+Z229)*33.8%,0)</f>
        <v>0</v>
      </c>
      <c r="AE229" s="70">
        <f t="shared" ref="AE229:AE234" si="471">ROUND(X229*2%,0)</f>
        <v>0</v>
      </c>
      <c r="AF229" s="475">
        <v>0</v>
      </c>
      <c r="AG229" s="475">
        <v>0</v>
      </c>
      <c r="AH229" s="475">
        <f t="shared" ref="AH229:AH234" si="472">SUM(AF229:AG229)</f>
        <v>0</v>
      </c>
      <c r="AI229" s="475">
        <f t="shared" ref="AI229:AI234" si="473">AC229+AD229+AE229+AH229</f>
        <v>0</v>
      </c>
      <c r="AJ229" s="476">
        <v>0</v>
      </c>
      <c r="AK229" s="476">
        <v>0</v>
      </c>
      <c r="AL229" s="476">
        <v>0</v>
      </c>
      <c r="AM229" s="476">
        <v>0</v>
      </c>
      <c r="AN229" s="476">
        <v>0</v>
      </c>
      <c r="AO229" s="476">
        <v>0</v>
      </c>
      <c r="AP229" s="476">
        <v>0</v>
      </c>
      <c r="AQ229" s="476">
        <v>0</v>
      </c>
      <c r="AR229" s="476">
        <f t="shared" ref="AR229:AR234" si="474">AJ229+AL229+AM229+AO229+AP229</f>
        <v>0</v>
      </c>
      <c r="AS229" s="476">
        <f t="shared" ref="AS229:AS234" si="475">AK229+AN229+AQ229</f>
        <v>0</v>
      </c>
      <c r="AT229" s="478">
        <f t="shared" ref="AT229:AT234" si="476">SUM(AR229:AS229)</f>
        <v>0</v>
      </c>
      <c r="AU229" s="484">
        <f t="shared" ref="AU229:AU234" si="477">I229+AI229</f>
        <v>1562886</v>
      </c>
      <c r="AV229" s="475">
        <f t="shared" ref="AV229:AV234" si="478">J229+X229</f>
        <v>1143583</v>
      </c>
      <c r="AW229" s="475">
        <f t="shared" ref="AW229:AW234" si="479">K229+AB229</f>
        <v>0</v>
      </c>
      <c r="AX229" s="475">
        <f t="shared" ref="AX229:AY234" si="480">L229+AD229</f>
        <v>386531</v>
      </c>
      <c r="AY229" s="475">
        <f t="shared" si="480"/>
        <v>22872</v>
      </c>
      <c r="AZ229" s="475">
        <f t="shared" ref="AZ229:AZ234" si="481">N229+AH229</f>
        <v>9900</v>
      </c>
      <c r="BA229" s="476">
        <f t="shared" ref="BA229:BA234" si="482">O229+AT229</f>
        <v>2.5608999999999997</v>
      </c>
      <c r="BB229" s="476">
        <f t="shared" ref="BB229:BC234" si="483">P229+AR229</f>
        <v>2.0499999999999998</v>
      </c>
      <c r="BC229" s="478">
        <f t="shared" si="483"/>
        <v>0.51090000000000002</v>
      </c>
    </row>
    <row r="230" spans="1:55" s="234" customFormat="1" ht="12.75" customHeight="1" x14ac:dyDescent="0.2">
      <c r="A230" s="221">
        <v>41</v>
      </c>
      <c r="B230" s="222">
        <v>4432</v>
      </c>
      <c r="C230" s="222">
        <v>600074625</v>
      </c>
      <c r="D230" s="222">
        <v>70695903</v>
      </c>
      <c r="E230" s="220" t="s">
        <v>228</v>
      </c>
      <c r="F230" s="222">
        <v>3117</v>
      </c>
      <c r="G230" s="172" t="s">
        <v>314</v>
      </c>
      <c r="H230" s="223" t="s">
        <v>277</v>
      </c>
      <c r="I230" s="477">
        <v>2797970</v>
      </c>
      <c r="J230" s="472">
        <v>2020014</v>
      </c>
      <c r="K230" s="472">
        <v>9000</v>
      </c>
      <c r="L230" s="472">
        <v>685806</v>
      </c>
      <c r="M230" s="472">
        <v>40400</v>
      </c>
      <c r="N230" s="472">
        <v>42750</v>
      </c>
      <c r="O230" s="473">
        <v>3.9054000000000002</v>
      </c>
      <c r="P230" s="474">
        <v>2.8330000000000002</v>
      </c>
      <c r="Q230" s="483">
        <v>1.0724</v>
      </c>
      <c r="R230" s="485">
        <f t="shared" si="467"/>
        <v>0</v>
      </c>
      <c r="S230" s="475">
        <v>0</v>
      </c>
      <c r="T230" s="475">
        <v>104399</v>
      </c>
      <c r="U230" s="475">
        <v>0</v>
      </c>
      <c r="V230" s="475">
        <v>0</v>
      </c>
      <c r="W230" s="475">
        <v>0</v>
      </c>
      <c r="X230" s="475">
        <f t="shared" si="415"/>
        <v>104399</v>
      </c>
      <c r="Y230" s="475">
        <v>0</v>
      </c>
      <c r="Z230" s="475">
        <v>0</v>
      </c>
      <c r="AA230" s="475">
        <v>0</v>
      </c>
      <c r="AB230" s="475">
        <f t="shared" si="468"/>
        <v>0</v>
      </c>
      <c r="AC230" s="475">
        <f t="shared" si="469"/>
        <v>104399</v>
      </c>
      <c r="AD230" s="70">
        <f t="shared" si="470"/>
        <v>35287</v>
      </c>
      <c r="AE230" s="70">
        <f t="shared" si="471"/>
        <v>2088</v>
      </c>
      <c r="AF230" s="475">
        <v>0</v>
      </c>
      <c r="AG230" s="475">
        <v>0</v>
      </c>
      <c r="AH230" s="475">
        <f t="shared" si="472"/>
        <v>0</v>
      </c>
      <c r="AI230" s="475">
        <f t="shared" si="473"/>
        <v>141774</v>
      </c>
      <c r="AJ230" s="476">
        <v>0</v>
      </c>
      <c r="AK230" s="476">
        <v>0</v>
      </c>
      <c r="AL230" s="476">
        <v>0</v>
      </c>
      <c r="AM230" s="476">
        <v>0.23</v>
      </c>
      <c r="AN230" s="476">
        <v>0</v>
      </c>
      <c r="AO230" s="476">
        <v>0</v>
      </c>
      <c r="AP230" s="476">
        <v>0</v>
      </c>
      <c r="AQ230" s="476">
        <v>0</v>
      </c>
      <c r="AR230" s="476">
        <f t="shared" si="474"/>
        <v>0.23</v>
      </c>
      <c r="AS230" s="476">
        <f t="shared" si="475"/>
        <v>0</v>
      </c>
      <c r="AT230" s="478">
        <f t="shared" si="476"/>
        <v>0.23</v>
      </c>
      <c r="AU230" s="484">
        <f t="shared" si="477"/>
        <v>2939744</v>
      </c>
      <c r="AV230" s="475">
        <f t="shared" si="478"/>
        <v>2124413</v>
      </c>
      <c r="AW230" s="475">
        <f t="shared" si="479"/>
        <v>9000</v>
      </c>
      <c r="AX230" s="475">
        <f t="shared" si="480"/>
        <v>721093</v>
      </c>
      <c r="AY230" s="475">
        <f t="shared" si="480"/>
        <v>42488</v>
      </c>
      <c r="AZ230" s="475">
        <f t="shared" si="481"/>
        <v>42750</v>
      </c>
      <c r="BA230" s="476">
        <f t="shared" si="482"/>
        <v>4.1354000000000006</v>
      </c>
      <c r="BB230" s="476">
        <f t="shared" si="483"/>
        <v>3.0630000000000002</v>
      </c>
      <c r="BC230" s="478">
        <f t="shared" si="483"/>
        <v>1.0724</v>
      </c>
    </row>
    <row r="231" spans="1:55" s="234" customFormat="1" ht="12.75" customHeight="1" x14ac:dyDescent="0.2">
      <c r="A231" s="221">
        <v>41</v>
      </c>
      <c r="B231" s="222">
        <v>4432</v>
      </c>
      <c r="C231" s="222">
        <v>600074625</v>
      </c>
      <c r="D231" s="222">
        <v>70695903</v>
      </c>
      <c r="E231" s="220" t="s">
        <v>228</v>
      </c>
      <c r="F231" s="222">
        <v>3117</v>
      </c>
      <c r="G231" s="172" t="s">
        <v>312</v>
      </c>
      <c r="H231" s="223" t="s">
        <v>278</v>
      </c>
      <c r="I231" s="477">
        <v>2077668</v>
      </c>
      <c r="J231" s="472">
        <v>1515588</v>
      </c>
      <c r="K231" s="472">
        <v>0</v>
      </c>
      <c r="L231" s="472">
        <v>512268</v>
      </c>
      <c r="M231" s="472">
        <v>30312</v>
      </c>
      <c r="N231" s="472">
        <v>19500</v>
      </c>
      <c r="O231" s="473">
        <v>4.46</v>
      </c>
      <c r="P231" s="474">
        <v>4.46</v>
      </c>
      <c r="Q231" s="483">
        <v>0</v>
      </c>
      <c r="R231" s="485">
        <f t="shared" si="467"/>
        <v>0</v>
      </c>
      <c r="S231" s="475">
        <v>-230962</v>
      </c>
      <c r="T231" s="475">
        <v>0</v>
      </c>
      <c r="U231" s="475">
        <v>0</v>
      </c>
      <c r="V231" s="475">
        <v>0</v>
      </c>
      <c r="W231" s="475">
        <v>0</v>
      </c>
      <c r="X231" s="475">
        <f t="shared" si="415"/>
        <v>-230962</v>
      </c>
      <c r="Y231" s="475">
        <v>0</v>
      </c>
      <c r="Z231" s="475">
        <v>0</v>
      </c>
      <c r="AA231" s="475">
        <v>0</v>
      </c>
      <c r="AB231" s="475">
        <f t="shared" si="468"/>
        <v>0</v>
      </c>
      <c r="AC231" s="475">
        <f t="shared" si="469"/>
        <v>-230962</v>
      </c>
      <c r="AD231" s="70">
        <f t="shared" si="470"/>
        <v>-78065</v>
      </c>
      <c r="AE231" s="70">
        <f t="shared" si="471"/>
        <v>-4619</v>
      </c>
      <c r="AF231" s="475">
        <v>2500</v>
      </c>
      <c r="AG231" s="475">
        <v>0</v>
      </c>
      <c r="AH231" s="475">
        <f t="shared" si="472"/>
        <v>2500</v>
      </c>
      <c r="AI231" s="475">
        <f t="shared" si="473"/>
        <v>-311146</v>
      </c>
      <c r="AJ231" s="476">
        <v>0</v>
      </c>
      <c r="AK231" s="476">
        <v>0</v>
      </c>
      <c r="AL231" s="476">
        <v>-0.67</v>
      </c>
      <c r="AM231" s="476">
        <v>0</v>
      </c>
      <c r="AN231" s="476">
        <v>0</v>
      </c>
      <c r="AO231" s="476">
        <v>0</v>
      </c>
      <c r="AP231" s="476">
        <v>0</v>
      </c>
      <c r="AQ231" s="476">
        <v>0</v>
      </c>
      <c r="AR231" s="476">
        <f t="shared" si="474"/>
        <v>-0.67</v>
      </c>
      <c r="AS231" s="476">
        <f t="shared" si="475"/>
        <v>0</v>
      </c>
      <c r="AT231" s="478">
        <f t="shared" si="476"/>
        <v>-0.67</v>
      </c>
      <c r="AU231" s="484">
        <f t="shared" si="477"/>
        <v>1766522</v>
      </c>
      <c r="AV231" s="475">
        <f t="shared" si="478"/>
        <v>1284626</v>
      </c>
      <c r="AW231" s="475">
        <f t="shared" si="479"/>
        <v>0</v>
      </c>
      <c r="AX231" s="475">
        <f t="shared" si="480"/>
        <v>434203</v>
      </c>
      <c r="AY231" s="475">
        <f t="shared" si="480"/>
        <v>25693</v>
      </c>
      <c r="AZ231" s="475">
        <f t="shared" si="481"/>
        <v>22000</v>
      </c>
      <c r="BA231" s="476">
        <f t="shared" si="482"/>
        <v>3.79</v>
      </c>
      <c r="BB231" s="476">
        <f t="shared" si="483"/>
        <v>3.79</v>
      </c>
      <c r="BC231" s="478">
        <f t="shared" si="483"/>
        <v>0</v>
      </c>
    </row>
    <row r="232" spans="1:55" s="234" customFormat="1" ht="12.75" customHeight="1" x14ac:dyDescent="0.2">
      <c r="A232" s="221">
        <v>41</v>
      </c>
      <c r="B232" s="222">
        <v>4432</v>
      </c>
      <c r="C232" s="222">
        <v>600074625</v>
      </c>
      <c r="D232" s="222">
        <v>70695903</v>
      </c>
      <c r="E232" s="220" t="s">
        <v>228</v>
      </c>
      <c r="F232" s="222">
        <v>3141</v>
      </c>
      <c r="G232" s="172" t="s">
        <v>315</v>
      </c>
      <c r="H232" s="223" t="s">
        <v>278</v>
      </c>
      <c r="I232" s="477">
        <v>694374</v>
      </c>
      <c r="J232" s="472">
        <v>509271</v>
      </c>
      <c r="K232" s="472">
        <v>0</v>
      </c>
      <c r="L232" s="472">
        <v>172134</v>
      </c>
      <c r="M232" s="472">
        <v>10185</v>
      </c>
      <c r="N232" s="472">
        <v>2784</v>
      </c>
      <c r="O232" s="473">
        <v>1.6</v>
      </c>
      <c r="P232" s="474">
        <v>0</v>
      </c>
      <c r="Q232" s="483">
        <v>1.6</v>
      </c>
      <c r="R232" s="485">
        <f t="shared" si="467"/>
        <v>0</v>
      </c>
      <c r="S232" s="475">
        <v>0</v>
      </c>
      <c r="T232" s="475">
        <v>17985</v>
      </c>
      <c r="U232" s="475">
        <v>0</v>
      </c>
      <c r="V232" s="475">
        <v>0</v>
      </c>
      <c r="W232" s="475">
        <v>0</v>
      </c>
      <c r="X232" s="475">
        <f t="shared" si="415"/>
        <v>17985</v>
      </c>
      <c r="Y232" s="475">
        <v>0</v>
      </c>
      <c r="Z232" s="475">
        <v>0</v>
      </c>
      <c r="AA232" s="475">
        <v>0</v>
      </c>
      <c r="AB232" s="475">
        <f t="shared" si="468"/>
        <v>0</v>
      </c>
      <c r="AC232" s="475">
        <f t="shared" si="469"/>
        <v>17985</v>
      </c>
      <c r="AD232" s="70">
        <f t="shared" si="470"/>
        <v>6079</v>
      </c>
      <c r="AE232" s="70">
        <f t="shared" si="471"/>
        <v>360</v>
      </c>
      <c r="AF232" s="475">
        <v>0</v>
      </c>
      <c r="AG232" s="475">
        <v>0</v>
      </c>
      <c r="AH232" s="475">
        <f t="shared" si="472"/>
        <v>0</v>
      </c>
      <c r="AI232" s="475">
        <f t="shared" si="473"/>
        <v>24424</v>
      </c>
      <c r="AJ232" s="476">
        <v>0</v>
      </c>
      <c r="AK232" s="476">
        <v>0</v>
      </c>
      <c r="AL232" s="476">
        <v>0</v>
      </c>
      <c r="AM232" s="476">
        <v>0</v>
      </c>
      <c r="AN232" s="476">
        <v>0.06</v>
      </c>
      <c r="AO232" s="476">
        <v>0</v>
      </c>
      <c r="AP232" s="476">
        <v>0</v>
      </c>
      <c r="AQ232" s="476">
        <v>0</v>
      </c>
      <c r="AR232" s="476">
        <f t="shared" si="474"/>
        <v>0</v>
      </c>
      <c r="AS232" s="476">
        <f t="shared" si="475"/>
        <v>0.06</v>
      </c>
      <c r="AT232" s="478">
        <f t="shared" si="476"/>
        <v>0.06</v>
      </c>
      <c r="AU232" s="484">
        <f t="shared" si="477"/>
        <v>718798</v>
      </c>
      <c r="AV232" s="475">
        <f t="shared" si="478"/>
        <v>527256</v>
      </c>
      <c r="AW232" s="475">
        <f t="shared" si="479"/>
        <v>0</v>
      </c>
      <c r="AX232" s="475">
        <f t="shared" si="480"/>
        <v>178213</v>
      </c>
      <c r="AY232" s="475">
        <f t="shared" si="480"/>
        <v>10545</v>
      </c>
      <c r="AZ232" s="475">
        <f t="shared" si="481"/>
        <v>2784</v>
      </c>
      <c r="BA232" s="476">
        <f t="shared" si="482"/>
        <v>1.6600000000000001</v>
      </c>
      <c r="BB232" s="476">
        <f t="shared" si="483"/>
        <v>0</v>
      </c>
      <c r="BC232" s="478">
        <f t="shared" si="483"/>
        <v>1.6600000000000001</v>
      </c>
    </row>
    <row r="233" spans="1:55" s="234" customFormat="1" ht="12.75" customHeight="1" x14ac:dyDescent="0.2">
      <c r="A233" s="221">
        <v>41</v>
      </c>
      <c r="B233" s="222">
        <v>4432</v>
      </c>
      <c r="C233" s="222">
        <v>600074625</v>
      </c>
      <c r="D233" s="222">
        <v>70695903</v>
      </c>
      <c r="E233" s="220" t="s">
        <v>228</v>
      </c>
      <c r="F233" s="222">
        <v>3143</v>
      </c>
      <c r="G233" s="172" t="s">
        <v>626</v>
      </c>
      <c r="H233" s="239" t="s">
        <v>277</v>
      </c>
      <c r="I233" s="477">
        <v>773821</v>
      </c>
      <c r="J233" s="472">
        <v>569824</v>
      </c>
      <c r="K233" s="472">
        <v>0</v>
      </c>
      <c r="L233" s="472">
        <v>192601</v>
      </c>
      <c r="M233" s="472">
        <v>11396</v>
      </c>
      <c r="N233" s="472">
        <v>0</v>
      </c>
      <c r="O233" s="473">
        <v>1.2473000000000001</v>
      </c>
      <c r="P233" s="474">
        <v>1.2473000000000001</v>
      </c>
      <c r="Q233" s="483">
        <v>0</v>
      </c>
      <c r="R233" s="485">
        <f t="shared" si="467"/>
        <v>0</v>
      </c>
      <c r="S233" s="475">
        <v>0</v>
      </c>
      <c r="T233" s="475">
        <v>0</v>
      </c>
      <c r="U233" s="475">
        <v>0</v>
      </c>
      <c r="V233" s="475">
        <v>0</v>
      </c>
      <c r="W233" s="475">
        <v>0</v>
      </c>
      <c r="X233" s="475">
        <f t="shared" si="415"/>
        <v>0</v>
      </c>
      <c r="Y233" s="475">
        <v>0</v>
      </c>
      <c r="Z233" s="475">
        <v>0</v>
      </c>
      <c r="AA233" s="475">
        <v>0</v>
      </c>
      <c r="AB233" s="475">
        <f t="shared" si="468"/>
        <v>0</v>
      </c>
      <c r="AC233" s="475">
        <f t="shared" si="469"/>
        <v>0</v>
      </c>
      <c r="AD233" s="70">
        <f t="shared" si="470"/>
        <v>0</v>
      </c>
      <c r="AE233" s="70">
        <f t="shared" si="471"/>
        <v>0</v>
      </c>
      <c r="AF233" s="475">
        <v>0</v>
      </c>
      <c r="AG233" s="475">
        <v>0</v>
      </c>
      <c r="AH233" s="475">
        <f t="shared" si="472"/>
        <v>0</v>
      </c>
      <c r="AI233" s="475">
        <f t="shared" si="473"/>
        <v>0</v>
      </c>
      <c r="AJ233" s="476">
        <v>0</v>
      </c>
      <c r="AK233" s="476">
        <v>0</v>
      </c>
      <c r="AL233" s="476">
        <v>0</v>
      </c>
      <c r="AM233" s="476">
        <v>0</v>
      </c>
      <c r="AN233" s="476">
        <v>0</v>
      </c>
      <c r="AO233" s="476">
        <v>0</v>
      </c>
      <c r="AP233" s="476">
        <v>0</v>
      </c>
      <c r="AQ233" s="476">
        <v>0</v>
      </c>
      <c r="AR233" s="476">
        <f t="shared" si="474"/>
        <v>0</v>
      </c>
      <c r="AS233" s="476">
        <f t="shared" si="475"/>
        <v>0</v>
      </c>
      <c r="AT233" s="478">
        <f t="shared" si="476"/>
        <v>0</v>
      </c>
      <c r="AU233" s="484">
        <f t="shared" si="477"/>
        <v>773821</v>
      </c>
      <c r="AV233" s="475">
        <f t="shared" si="478"/>
        <v>569824</v>
      </c>
      <c r="AW233" s="475">
        <f t="shared" si="479"/>
        <v>0</v>
      </c>
      <c r="AX233" s="475">
        <f t="shared" si="480"/>
        <v>192601</v>
      </c>
      <c r="AY233" s="475">
        <f t="shared" si="480"/>
        <v>11396</v>
      </c>
      <c r="AZ233" s="475">
        <f t="shared" si="481"/>
        <v>0</v>
      </c>
      <c r="BA233" s="476">
        <f t="shared" si="482"/>
        <v>1.2473000000000001</v>
      </c>
      <c r="BB233" s="476">
        <f t="shared" si="483"/>
        <v>1.2473000000000001</v>
      </c>
      <c r="BC233" s="478">
        <f t="shared" si="483"/>
        <v>0</v>
      </c>
    </row>
    <row r="234" spans="1:55" s="234" customFormat="1" ht="12.75" customHeight="1" x14ac:dyDescent="0.2">
      <c r="A234" s="221">
        <v>41</v>
      </c>
      <c r="B234" s="222">
        <v>4432</v>
      </c>
      <c r="C234" s="222">
        <v>600074625</v>
      </c>
      <c r="D234" s="222">
        <v>70695903</v>
      </c>
      <c r="E234" s="220" t="s">
        <v>228</v>
      </c>
      <c r="F234" s="222">
        <v>3143</v>
      </c>
      <c r="G234" s="172" t="s">
        <v>627</v>
      </c>
      <c r="H234" s="239" t="s">
        <v>278</v>
      </c>
      <c r="I234" s="477">
        <v>15120</v>
      </c>
      <c r="J234" s="472">
        <v>10692</v>
      </c>
      <c r="K234" s="472">
        <v>0</v>
      </c>
      <c r="L234" s="472">
        <v>3614</v>
      </c>
      <c r="M234" s="472">
        <v>214</v>
      </c>
      <c r="N234" s="472">
        <v>600</v>
      </c>
      <c r="O234" s="473">
        <v>0.04</v>
      </c>
      <c r="P234" s="474">
        <v>0</v>
      </c>
      <c r="Q234" s="483">
        <v>0.04</v>
      </c>
      <c r="R234" s="485">
        <f t="shared" si="467"/>
        <v>0</v>
      </c>
      <c r="S234" s="475">
        <v>0</v>
      </c>
      <c r="T234" s="475">
        <v>0</v>
      </c>
      <c r="U234" s="475">
        <v>0</v>
      </c>
      <c r="V234" s="475">
        <v>0</v>
      </c>
      <c r="W234" s="475">
        <v>0</v>
      </c>
      <c r="X234" s="475">
        <f t="shared" si="415"/>
        <v>0</v>
      </c>
      <c r="Y234" s="475">
        <v>0</v>
      </c>
      <c r="Z234" s="475">
        <v>0</v>
      </c>
      <c r="AA234" s="475">
        <v>0</v>
      </c>
      <c r="AB234" s="475">
        <f t="shared" si="468"/>
        <v>0</v>
      </c>
      <c r="AC234" s="475">
        <f t="shared" si="469"/>
        <v>0</v>
      </c>
      <c r="AD234" s="70">
        <f t="shared" si="470"/>
        <v>0</v>
      </c>
      <c r="AE234" s="70">
        <f t="shared" si="471"/>
        <v>0</v>
      </c>
      <c r="AF234" s="475">
        <v>0</v>
      </c>
      <c r="AG234" s="475">
        <v>0</v>
      </c>
      <c r="AH234" s="475">
        <f t="shared" si="472"/>
        <v>0</v>
      </c>
      <c r="AI234" s="475">
        <f t="shared" si="473"/>
        <v>0</v>
      </c>
      <c r="AJ234" s="476">
        <v>0</v>
      </c>
      <c r="AK234" s="476">
        <v>0</v>
      </c>
      <c r="AL234" s="476">
        <v>0</v>
      </c>
      <c r="AM234" s="476">
        <v>0</v>
      </c>
      <c r="AN234" s="476">
        <v>0</v>
      </c>
      <c r="AO234" s="476">
        <v>0</v>
      </c>
      <c r="AP234" s="476">
        <v>0</v>
      </c>
      <c r="AQ234" s="476">
        <v>0</v>
      </c>
      <c r="AR234" s="476">
        <f t="shared" si="474"/>
        <v>0</v>
      </c>
      <c r="AS234" s="476">
        <f t="shared" si="475"/>
        <v>0</v>
      </c>
      <c r="AT234" s="478">
        <f t="shared" si="476"/>
        <v>0</v>
      </c>
      <c r="AU234" s="484">
        <f t="shared" si="477"/>
        <v>15120</v>
      </c>
      <c r="AV234" s="475">
        <f t="shared" si="478"/>
        <v>10692</v>
      </c>
      <c r="AW234" s="475">
        <f t="shared" si="479"/>
        <v>0</v>
      </c>
      <c r="AX234" s="475">
        <f t="shared" si="480"/>
        <v>3614</v>
      </c>
      <c r="AY234" s="475">
        <f t="shared" si="480"/>
        <v>214</v>
      </c>
      <c r="AZ234" s="475">
        <f t="shared" si="481"/>
        <v>600</v>
      </c>
      <c r="BA234" s="476">
        <f t="shared" si="482"/>
        <v>0.04</v>
      </c>
      <c r="BB234" s="476">
        <f t="shared" si="483"/>
        <v>0</v>
      </c>
      <c r="BC234" s="478">
        <f t="shared" si="483"/>
        <v>0.04</v>
      </c>
    </row>
    <row r="235" spans="1:55" s="234" customFormat="1" ht="12.75" customHeight="1" x14ac:dyDescent="0.2">
      <c r="A235" s="162">
        <v>41</v>
      </c>
      <c r="B235" s="18">
        <v>4432</v>
      </c>
      <c r="C235" s="18">
        <v>600074625</v>
      </c>
      <c r="D235" s="18">
        <v>70695903</v>
      </c>
      <c r="E235" s="171" t="s">
        <v>229</v>
      </c>
      <c r="F235" s="18"/>
      <c r="G235" s="161"/>
      <c r="H235" s="195"/>
      <c r="I235" s="529">
        <v>7921839</v>
      </c>
      <c r="J235" s="526">
        <v>5768972</v>
      </c>
      <c r="K235" s="526">
        <v>9000</v>
      </c>
      <c r="L235" s="526">
        <v>1952954</v>
      </c>
      <c r="M235" s="526">
        <v>115379</v>
      </c>
      <c r="N235" s="526">
        <v>75534</v>
      </c>
      <c r="O235" s="527">
        <v>13.813600000000001</v>
      </c>
      <c r="P235" s="527">
        <v>10.590299999999999</v>
      </c>
      <c r="Q235" s="531">
        <v>3.2233000000000001</v>
      </c>
      <c r="R235" s="529">
        <f t="shared" ref="R235:BC235" si="484">SUM(R229:R234)</f>
        <v>0</v>
      </c>
      <c r="S235" s="526">
        <f t="shared" si="484"/>
        <v>-230962</v>
      </c>
      <c r="T235" s="526">
        <f t="shared" si="484"/>
        <v>122384</v>
      </c>
      <c r="U235" s="526">
        <f t="shared" si="484"/>
        <v>0</v>
      </c>
      <c r="V235" s="526">
        <f t="shared" si="484"/>
        <v>0</v>
      </c>
      <c r="W235" s="526">
        <f t="shared" si="484"/>
        <v>0</v>
      </c>
      <c r="X235" s="526">
        <f t="shared" si="484"/>
        <v>-108578</v>
      </c>
      <c r="Y235" s="526">
        <f t="shared" si="484"/>
        <v>0</v>
      </c>
      <c r="Z235" s="526">
        <f t="shared" si="484"/>
        <v>0</v>
      </c>
      <c r="AA235" s="526">
        <f t="shared" si="484"/>
        <v>0</v>
      </c>
      <c r="AB235" s="526">
        <f t="shared" si="484"/>
        <v>0</v>
      </c>
      <c r="AC235" s="526">
        <f t="shared" si="484"/>
        <v>-108578</v>
      </c>
      <c r="AD235" s="526">
        <f t="shared" si="484"/>
        <v>-36699</v>
      </c>
      <c r="AE235" s="526">
        <f t="shared" si="484"/>
        <v>-2171</v>
      </c>
      <c r="AF235" s="526">
        <f t="shared" si="484"/>
        <v>2500</v>
      </c>
      <c r="AG235" s="526">
        <f t="shared" si="484"/>
        <v>0</v>
      </c>
      <c r="AH235" s="526">
        <f t="shared" si="484"/>
        <v>2500</v>
      </c>
      <c r="AI235" s="526">
        <f t="shared" si="484"/>
        <v>-144948</v>
      </c>
      <c r="AJ235" s="527">
        <f t="shared" si="484"/>
        <v>0</v>
      </c>
      <c r="AK235" s="527">
        <f t="shared" si="484"/>
        <v>0</v>
      </c>
      <c r="AL235" s="527">
        <f t="shared" si="484"/>
        <v>-0.67</v>
      </c>
      <c r="AM235" s="527">
        <f t="shared" si="484"/>
        <v>0.23</v>
      </c>
      <c r="AN235" s="527">
        <f t="shared" si="484"/>
        <v>0.06</v>
      </c>
      <c r="AO235" s="527">
        <f t="shared" si="484"/>
        <v>0</v>
      </c>
      <c r="AP235" s="527">
        <f t="shared" si="484"/>
        <v>0</v>
      </c>
      <c r="AQ235" s="527">
        <f t="shared" si="484"/>
        <v>0</v>
      </c>
      <c r="AR235" s="527">
        <f t="shared" si="484"/>
        <v>-0.44000000000000006</v>
      </c>
      <c r="AS235" s="527">
        <f t="shared" si="484"/>
        <v>0.06</v>
      </c>
      <c r="AT235" s="40">
        <f t="shared" si="484"/>
        <v>-0.38000000000000006</v>
      </c>
      <c r="AU235" s="533">
        <f t="shared" si="484"/>
        <v>7776891</v>
      </c>
      <c r="AV235" s="526">
        <f t="shared" si="484"/>
        <v>5660394</v>
      </c>
      <c r="AW235" s="526">
        <f t="shared" si="484"/>
        <v>9000</v>
      </c>
      <c r="AX235" s="526">
        <f t="shared" si="484"/>
        <v>1916255</v>
      </c>
      <c r="AY235" s="526">
        <f t="shared" si="484"/>
        <v>113208</v>
      </c>
      <c r="AZ235" s="526">
        <f t="shared" si="484"/>
        <v>78034</v>
      </c>
      <c r="BA235" s="527">
        <f t="shared" si="484"/>
        <v>13.433599999999998</v>
      </c>
      <c r="BB235" s="527">
        <f t="shared" si="484"/>
        <v>10.150299999999998</v>
      </c>
      <c r="BC235" s="40">
        <f t="shared" si="484"/>
        <v>3.2833000000000001</v>
      </c>
    </row>
    <row r="236" spans="1:55" s="234" customFormat="1" ht="12.75" customHeight="1" x14ac:dyDescent="0.2">
      <c r="A236" s="221">
        <v>42</v>
      </c>
      <c r="B236" s="222">
        <v>4459</v>
      </c>
      <c r="C236" s="222">
        <v>650037171</v>
      </c>
      <c r="D236" s="222">
        <v>72742356</v>
      </c>
      <c r="E236" s="220" t="s">
        <v>230</v>
      </c>
      <c r="F236" s="222">
        <v>3111</v>
      </c>
      <c r="G236" s="172" t="s">
        <v>311</v>
      </c>
      <c r="H236" s="223" t="s">
        <v>277</v>
      </c>
      <c r="I236" s="477">
        <v>2988620</v>
      </c>
      <c r="J236" s="472">
        <v>2186171</v>
      </c>
      <c r="K236" s="472">
        <v>0</v>
      </c>
      <c r="L236" s="472">
        <v>738926</v>
      </c>
      <c r="M236" s="472">
        <v>43723</v>
      </c>
      <c r="N236" s="472">
        <v>19800</v>
      </c>
      <c r="O236" s="473">
        <v>4.9733999999999998</v>
      </c>
      <c r="P236" s="474">
        <v>3.9516</v>
      </c>
      <c r="Q236" s="483">
        <v>1.0218</v>
      </c>
      <c r="R236" s="485">
        <f t="shared" ref="R236:R241" si="485">Y236*-1</f>
        <v>0</v>
      </c>
      <c r="S236" s="475">
        <v>0</v>
      </c>
      <c r="T236" s="475">
        <v>0</v>
      </c>
      <c r="U236" s="475">
        <v>0</v>
      </c>
      <c r="V236" s="475">
        <v>0</v>
      </c>
      <c r="W236" s="475">
        <v>0</v>
      </c>
      <c r="X236" s="475">
        <f t="shared" si="415"/>
        <v>0</v>
      </c>
      <c r="Y236" s="475">
        <v>0</v>
      </c>
      <c r="Z236" s="475">
        <v>0</v>
      </c>
      <c r="AA236" s="475">
        <v>0</v>
      </c>
      <c r="AB236" s="475">
        <f t="shared" ref="AB236:AB241" si="486">SUM(Y236:AA236)</f>
        <v>0</v>
      </c>
      <c r="AC236" s="475">
        <f t="shared" ref="AC236:AC241" si="487">X236+AB236</f>
        <v>0</v>
      </c>
      <c r="AD236" s="70">
        <f t="shared" ref="AD236:AD241" si="488">ROUND((X236+Y236+Z236)*33.8%,0)</f>
        <v>0</v>
      </c>
      <c r="AE236" s="70">
        <f t="shared" ref="AE236:AE241" si="489">ROUND(X236*2%,0)</f>
        <v>0</v>
      </c>
      <c r="AF236" s="475">
        <v>0</v>
      </c>
      <c r="AG236" s="475">
        <v>0</v>
      </c>
      <c r="AH236" s="475">
        <f t="shared" ref="AH236:AH241" si="490">SUM(AF236:AG236)</f>
        <v>0</v>
      </c>
      <c r="AI236" s="475">
        <f t="shared" ref="AI236:AI241" si="491">AC236+AD236+AE236+AH236</f>
        <v>0</v>
      </c>
      <c r="AJ236" s="476">
        <v>0</v>
      </c>
      <c r="AK236" s="476">
        <v>0</v>
      </c>
      <c r="AL236" s="476">
        <v>0</v>
      </c>
      <c r="AM236" s="476">
        <v>0</v>
      </c>
      <c r="AN236" s="476">
        <v>0</v>
      </c>
      <c r="AO236" s="476">
        <v>0</v>
      </c>
      <c r="AP236" s="476">
        <v>0</v>
      </c>
      <c r="AQ236" s="476">
        <v>0</v>
      </c>
      <c r="AR236" s="476">
        <f t="shared" ref="AR236:AR241" si="492">AJ236+AL236+AM236+AO236+AP236</f>
        <v>0</v>
      </c>
      <c r="AS236" s="476">
        <f t="shared" ref="AS236:AS241" si="493">AK236+AN236+AQ236</f>
        <v>0</v>
      </c>
      <c r="AT236" s="478">
        <f t="shared" ref="AT236:AT241" si="494">SUM(AR236:AS236)</f>
        <v>0</v>
      </c>
      <c r="AU236" s="484">
        <f t="shared" ref="AU236:AU241" si="495">I236+AI236</f>
        <v>2988620</v>
      </c>
      <c r="AV236" s="475">
        <f t="shared" ref="AV236:AV241" si="496">J236+X236</f>
        <v>2186171</v>
      </c>
      <c r="AW236" s="475">
        <f t="shared" ref="AW236:AW241" si="497">K236+AB236</f>
        <v>0</v>
      </c>
      <c r="AX236" s="475">
        <f t="shared" ref="AX236:AY241" si="498">L236+AD236</f>
        <v>738926</v>
      </c>
      <c r="AY236" s="475">
        <f t="shared" si="498"/>
        <v>43723</v>
      </c>
      <c r="AZ236" s="475">
        <f t="shared" ref="AZ236:AZ241" si="499">N236+AH236</f>
        <v>19800</v>
      </c>
      <c r="BA236" s="476">
        <f t="shared" ref="BA236:BA241" si="500">O236+AT236</f>
        <v>4.9733999999999998</v>
      </c>
      <c r="BB236" s="476">
        <f t="shared" ref="BB236:BC241" si="501">P236+AR236</f>
        <v>3.9516</v>
      </c>
      <c r="BC236" s="478">
        <f t="shared" si="501"/>
        <v>1.0218</v>
      </c>
    </row>
    <row r="237" spans="1:55" s="234" customFormat="1" ht="12.75" customHeight="1" x14ac:dyDescent="0.2">
      <c r="A237" s="221">
        <v>42</v>
      </c>
      <c r="B237" s="222">
        <v>4459</v>
      </c>
      <c r="C237" s="222">
        <v>650037171</v>
      </c>
      <c r="D237" s="222">
        <v>72742356</v>
      </c>
      <c r="E237" s="220" t="s">
        <v>230</v>
      </c>
      <c r="F237" s="222">
        <v>3113</v>
      </c>
      <c r="G237" s="172" t="s">
        <v>314</v>
      </c>
      <c r="H237" s="223" t="s">
        <v>277</v>
      </c>
      <c r="I237" s="477">
        <v>11975541</v>
      </c>
      <c r="J237" s="472">
        <v>8582291</v>
      </c>
      <c r="K237" s="472">
        <v>20000</v>
      </c>
      <c r="L237" s="472">
        <v>2907574</v>
      </c>
      <c r="M237" s="472">
        <v>171646</v>
      </c>
      <c r="N237" s="472">
        <v>294030</v>
      </c>
      <c r="O237" s="473">
        <v>17.418199999999999</v>
      </c>
      <c r="P237" s="474">
        <v>11.908000000000001</v>
      </c>
      <c r="Q237" s="483">
        <v>5.5101999999999993</v>
      </c>
      <c r="R237" s="485">
        <f t="shared" si="485"/>
        <v>0</v>
      </c>
      <c r="S237" s="475">
        <v>0</v>
      </c>
      <c r="T237" s="475">
        <v>0</v>
      </c>
      <c r="U237" s="475">
        <v>45738</v>
      </c>
      <c r="V237" s="475">
        <v>0</v>
      </c>
      <c r="W237" s="475">
        <v>0</v>
      </c>
      <c r="X237" s="475">
        <f t="shared" si="415"/>
        <v>45738</v>
      </c>
      <c r="Y237" s="475">
        <v>0</v>
      </c>
      <c r="Z237" s="475">
        <v>0</v>
      </c>
      <c r="AA237" s="475">
        <v>0</v>
      </c>
      <c r="AB237" s="475">
        <f t="shared" si="486"/>
        <v>0</v>
      </c>
      <c r="AC237" s="475">
        <f t="shared" si="487"/>
        <v>45738</v>
      </c>
      <c r="AD237" s="70">
        <f t="shared" si="488"/>
        <v>15459</v>
      </c>
      <c r="AE237" s="70">
        <f t="shared" si="489"/>
        <v>915</v>
      </c>
      <c r="AF237" s="475">
        <v>0</v>
      </c>
      <c r="AG237" s="475">
        <v>0</v>
      </c>
      <c r="AH237" s="475">
        <f t="shared" si="490"/>
        <v>0</v>
      </c>
      <c r="AI237" s="475">
        <f t="shared" si="491"/>
        <v>62112</v>
      </c>
      <c r="AJ237" s="476">
        <v>0</v>
      </c>
      <c r="AK237" s="476">
        <v>0</v>
      </c>
      <c r="AL237" s="476">
        <v>0</v>
      </c>
      <c r="AM237" s="476">
        <v>0</v>
      </c>
      <c r="AN237" s="476">
        <v>0</v>
      </c>
      <c r="AO237" s="476">
        <v>7.0000000000000007E-2</v>
      </c>
      <c r="AP237" s="476">
        <v>0</v>
      </c>
      <c r="AQ237" s="476">
        <v>0</v>
      </c>
      <c r="AR237" s="476">
        <f t="shared" si="492"/>
        <v>7.0000000000000007E-2</v>
      </c>
      <c r="AS237" s="476">
        <f t="shared" si="493"/>
        <v>0</v>
      </c>
      <c r="AT237" s="478">
        <f t="shared" si="494"/>
        <v>7.0000000000000007E-2</v>
      </c>
      <c r="AU237" s="484">
        <f t="shared" si="495"/>
        <v>12037653</v>
      </c>
      <c r="AV237" s="475">
        <f t="shared" si="496"/>
        <v>8628029</v>
      </c>
      <c r="AW237" s="475">
        <f t="shared" si="497"/>
        <v>20000</v>
      </c>
      <c r="AX237" s="475">
        <f t="shared" si="498"/>
        <v>2923033</v>
      </c>
      <c r="AY237" s="475">
        <f t="shared" si="498"/>
        <v>172561</v>
      </c>
      <c r="AZ237" s="475">
        <f t="shared" si="499"/>
        <v>294030</v>
      </c>
      <c r="BA237" s="476">
        <f t="shared" si="500"/>
        <v>17.488199999999999</v>
      </c>
      <c r="BB237" s="476">
        <f t="shared" si="501"/>
        <v>11.978000000000002</v>
      </c>
      <c r="BC237" s="478">
        <f t="shared" si="501"/>
        <v>5.5101999999999993</v>
      </c>
    </row>
    <row r="238" spans="1:55" s="234" customFormat="1" ht="12.75" customHeight="1" x14ac:dyDescent="0.2">
      <c r="A238" s="221">
        <v>42</v>
      </c>
      <c r="B238" s="222">
        <v>4459</v>
      </c>
      <c r="C238" s="222">
        <v>650037171</v>
      </c>
      <c r="D238" s="222">
        <v>72742356</v>
      </c>
      <c r="E238" s="220" t="s">
        <v>230</v>
      </c>
      <c r="F238" s="222">
        <v>3113</v>
      </c>
      <c r="G238" s="172" t="s">
        <v>312</v>
      </c>
      <c r="H238" s="223" t="s">
        <v>278</v>
      </c>
      <c r="I238" s="477">
        <v>2917080</v>
      </c>
      <c r="J238" s="472">
        <v>2148071</v>
      </c>
      <c r="K238" s="472">
        <v>0</v>
      </c>
      <c r="L238" s="472">
        <v>726048</v>
      </c>
      <c r="M238" s="472">
        <v>42961</v>
      </c>
      <c r="N238" s="472">
        <v>0</v>
      </c>
      <c r="O238" s="473">
        <v>6.15</v>
      </c>
      <c r="P238" s="474">
        <v>6.15</v>
      </c>
      <c r="Q238" s="483">
        <v>0</v>
      </c>
      <c r="R238" s="485">
        <f t="shared" si="485"/>
        <v>0</v>
      </c>
      <c r="S238" s="475">
        <v>-72175</v>
      </c>
      <c r="T238" s="475">
        <v>0</v>
      </c>
      <c r="U238" s="475">
        <v>0</v>
      </c>
      <c r="V238" s="475">
        <v>0</v>
      </c>
      <c r="W238" s="475">
        <v>0</v>
      </c>
      <c r="X238" s="475">
        <f t="shared" si="415"/>
        <v>-72175</v>
      </c>
      <c r="Y238" s="475">
        <v>0</v>
      </c>
      <c r="Z238" s="475">
        <v>0</v>
      </c>
      <c r="AA238" s="475">
        <v>0</v>
      </c>
      <c r="AB238" s="475">
        <f t="shared" si="486"/>
        <v>0</v>
      </c>
      <c r="AC238" s="475">
        <f t="shared" si="487"/>
        <v>-72175</v>
      </c>
      <c r="AD238" s="70">
        <f t="shared" si="488"/>
        <v>-24395</v>
      </c>
      <c r="AE238" s="70">
        <f t="shared" si="489"/>
        <v>-1444</v>
      </c>
      <c r="AF238" s="475">
        <v>5000</v>
      </c>
      <c r="AG238" s="475">
        <v>0</v>
      </c>
      <c r="AH238" s="475">
        <f t="shared" si="490"/>
        <v>5000</v>
      </c>
      <c r="AI238" s="475">
        <f t="shared" si="491"/>
        <v>-93014</v>
      </c>
      <c r="AJ238" s="476">
        <v>0</v>
      </c>
      <c r="AK238" s="476">
        <v>0</v>
      </c>
      <c r="AL238" s="476">
        <v>-0.2</v>
      </c>
      <c r="AM238" s="476">
        <v>0</v>
      </c>
      <c r="AN238" s="476">
        <v>0</v>
      </c>
      <c r="AO238" s="476">
        <v>0</v>
      </c>
      <c r="AP238" s="476">
        <v>0</v>
      </c>
      <c r="AQ238" s="476">
        <v>0</v>
      </c>
      <c r="AR238" s="476">
        <f t="shared" si="492"/>
        <v>-0.2</v>
      </c>
      <c r="AS238" s="476">
        <f t="shared" si="493"/>
        <v>0</v>
      </c>
      <c r="AT238" s="478">
        <f t="shared" si="494"/>
        <v>-0.2</v>
      </c>
      <c r="AU238" s="484">
        <f t="shared" si="495"/>
        <v>2824066</v>
      </c>
      <c r="AV238" s="475">
        <f t="shared" si="496"/>
        <v>2075896</v>
      </c>
      <c r="AW238" s="475">
        <f t="shared" si="497"/>
        <v>0</v>
      </c>
      <c r="AX238" s="475">
        <f t="shared" si="498"/>
        <v>701653</v>
      </c>
      <c r="AY238" s="475">
        <f t="shared" si="498"/>
        <v>41517</v>
      </c>
      <c r="AZ238" s="475">
        <f t="shared" si="499"/>
        <v>5000</v>
      </c>
      <c r="BA238" s="476">
        <f t="shared" si="500"/>
        <v>5.95</v>
      </c>
      <c r="BB238" s="476">
        <f t="shared" si="501"/>
        <v>5.95</v>
      </c>
      <c r="BC238" s="478">
        <f t="shared" si="501"/>
        <v>0</v>
      </c>
    </row>
    <row r="239" spans="1:55" s="234" customFormat="1" ht="12.75" customHeight="1" x14ac:dyDescent="0.2">
      <c r="A239" s="221">
        <v>42</v>
      </c>
      <c r="B239" s="222">
        <v>4459</v>
      </c>
      <c r="C239" s="222">
        <v>650037171</v>
      </c>
      <c r="D239" s="222">
        <v>72742356</v>
      </c>
      <c r="E239" s="215" t="s">
        <v>230</v>
      </c>
      <c r="F239" s="222">
        <v>3141</v>
      </c>
      <c r="G239" s="172" t="s">
        <v>315</v>
      </c>
      <c r="H239" s="223" t="s">
        <v>278</v>
      </c>
      <c r="I239" s="477">
        <v>1706167</v>
      </c>
      <c r="J239" s="472">
        <v>1249593</v>
      </c>
      <c r="K239" s="472">
        <v>0</v>
      </c>
      <c r="L239" s="472">
        <v>422362</v>
      </c>
      <c r="M239" s="472">
        <v>24992</v>
      </c>
      <c r="N239" s="472">
        <v>9220</v>
      </c>
      <c r="O239" s="473">
        <v>3.94</v>
      </c>
      <c r="P239" s="474">
        <v>0</v>
      </c>
      <c r="Q239" s="483">
        <v>3.94</v>
      </c>
      <c r="R239" s="485">
        <f t="shared" si="485"/>
        <v>0</v>
      </c>
      <c r="S239" s="475">
        <v>0</v>
      </c>
      <c r="T239" s="475">
        <v>-3494</v>
      </c>
      <c r="U239" s="475">
        <v>0</v>
      </c>
      <c r="V239" s="475">
        <v>0</v>
      </c>
      <c r="W239" s="475">
        <v>0</v>
      </c>
      <c r="X239" s="475">
        <f t="shared" si="415"/>
        <v>-3494</v>
      </c>
      <c r="Y239" s="475">
        <v>0</v>
      </c>
      <c r="Z239" s="475">
        <v>0</v>
      </c>
      <c r="AA239" s="475">
        <v>0</v>
      </c>
      <c r="AB239" s="475">
        <f t="shared" si="486"/>
        <v>0</v>
      </c>
      <c r="AC239" s="475">
        <f t="shared" si="487"/>
        <v>-3494</v>
      </c>
      <c r="AD239" s="70">
        <f t="shared" si="488"/>
        <v>-1181</v>
      </c>
      <c r="AE239" s="70">
        <f t="shared" si="489"/>
        <v>-70</v>
      </c>
      <c r="AF239" s="475">
        <v>0</v>
      </c>
      <c r="AG239" s="475">
        <v>0</v>
      </c>
      <c r="AH239" s="475">
        <f t="shared" si="490"/>
        <v>0</v>
      </c>
      <c r="AI239" s="475">
        <f t="shared" si="491"/>
        <v>-4745</v>
      </c>
      <c r="AJ239" s="476">
        <v>0</v>
      </c>
      <c r="AK239" s="476">
        <v>0</v>
      </c>
      <c r="AL239" s="476">
        <v>0</v>
      </c>
      <c r="AM239" s="476">
        <v>0</v>
      </c>
      <c r="AN239" s="476">
        <v>-0.01</v>
      </c>
      <c r="AO239" s="476">
        <v>0</v>
      </c>
      <c r="AP239" s="476">
        <v>0</v>
      </c>
      <c r="AQ239" s="476">
        <v>0</v>
      </c>
      <c r="AR239" s="476">
        <f t="shared" si="492"/>
        <v>0</v>
      </c>
      <c r="AS239" s="476">
        <f t="shared" si="493"/>
        <v>-0.01</v>
      </c>
      <c r="AT239" s="478">
        <f t="shared" si="494"/>
        <v>-0.01</v>
      </c>
      <c r="AU239" s="484">
        <f t="shared" si="495"/>
        <v>1701422</v>
      </c>
      <c r="AV239" s="475">
        <f t="shared" si="496"/>
        <v>1246099</v>
      </c>
      <c r="AW239" s="475">
        <f t="shared" si="497"/>
        <v>0</v>
      </c>
      <c r="AX239" s="475">
        <f t="shared" si="498"/>
        <v>421181</v>
      </c>
      <c r="AY239" s="475">
        <f t="shared" si="498"/>
        <v>24922</v>
      </c>
      <c r="AZ239" s="475">
        <f t="shared" si="499"/>
        <v>9220</v>
      </c>
      <c r="BA239" s="476">
        <f t="shared" si="500"/>
        <v>3.93</v>
      </c>
      <c r="BB239" s="476">
        <f t="shared" si="501"/>
        <v>0</v>
      </c>
      <c r="BC239" s="478">
        <f t="shared" si="501"/>
        <v>3.93</v>
      </c>
    </row>
    <row r="240" spans="1:55" s="234" customFormat="1" ht="12.75" customHeight="1" x14ac:dyDescent="0.2">
      <c r="A240" s="221">
        <v>42</v>
      </c>
      <c r="B240" s="222">
        <v>4459</v>
      </c>
      <c r="C240" s="222">
        <v>650037171</v>
      </c>
      <c r="D240" s="222">
        <v>72742356</v>
      </c>
      <c r="E240" s="220" t="s">
        <v>230</v>
      </c>
      <c r="F240" s="222">
        <v>3143</v>
      </c>
      <c r="G240" s="172" t="s">
        <v>626</v>
      </c>
      <c r="H240" s="239" t="s">
        <v>277</v>
      </c>
      <c r="I240" s="477">
        <v>1169317</v>
      </c>
      <c r="J240" s="472">
        <v>861058</v>
      </c>
      <c r="K240" s="472">
        <v>0</v>
      </c>
      <c r="L240" s="472">
        <v>291038</v>
      </c>
      <c r="M240" s="472">
        <v>17221</v>
      </c>
      <c r="N240" s="472">
        <v>0</v>
      </c>
      <c r="O240" s="473">
        <v>1.9999</v>
      </c>
      <c r="P240" s="474">
        <v>1.9999</v>
      </c>
      <c r="Q240" s="483">
        <v>0</v>
      </c>
      <c r="R240" s="485">
        <f t="shared" si="485"/>
        <v>0</v>
      </c>
      <c r="S240" s="475">
        <v>0</v>
      </c>
      <c r="T240" s="475">
        <v>0</v>
      </c>
      <c r="U240" s="475">
        <v>0</v>
      </c>
      <c r="V240" s="475">
        <v>0</v>
      </c>
      <c r="W240" s="475">
        <v>0</v>
      </c>
      <c r="X240" s="475">
        <f t="shared" si="415"/>
        <v>0</v>
      </c>
      <c r="Y240" s="475">
        <v>0</v>
      </c>
      <c r="Z240" s="475">
        <v>0</v>
      </c>
      <c r="AA240" s="475">
        <v>0</v>
      </c>
      <c r="AB240" s="475">
        <f t="shared" si="486"/>
        <v>0</v>
      </c>
      <c r="AC240" s="475">
        <f t="shared" si="487"/>
        <v>0</v>
      </c>
      <c r="AD240" s="70">
        <f t="shared" si="488"/>
        <v>0</v>
      </c>
      <c r="AE240" s="70">
        <f t="shared" si="489"/>
        <v>0</v>
      </c>
      <c r="AF240" s="475">
        <v>0</v>
      </c>
      <c r="AG240" s="475">
        <v>0</v>
      </c>
      <c r="AH240" s="475">
        <f t="shared" si="490"/>
        <v>0</v>
      </c>
      <c r="AI240" s="475">
        <f t="shared" si="491"/>
        <v>0</v>
      </c>
      <c r="AJ240" s="476">
        <v>0</v>
      </c>
      <c r="AK240" s="476">
        <v>0</v>
      </c>
      <c r="AL240" s="476">
        <v>0</v>
      </c>
      <c r="AM240" s="476">
        <v>0</v>
      </c>
      <c r="AN240" s="476">
        <v>0</v>
      </c>
      <c r="AO240" s="476">
        <v>0</v>
      </c>
      <c r="AP240" s="476">
        <v>0</v>
      </c>
      <c r="AQ240" s="476">
        <v>0</v>
      </c>
      <c r="AR240" s="476">
        <f t="shared" si="492"/>
        <v>0</v>
      </c>
      <c r="AS240" s="476">
        <f t="shared" si="493"/>
        <v>0</v>
      </c>
      <c r="AT240" s="478">
        <f t="shared" si="494"/>
        <v>0</v>
      </c>
      <c r="AU240" s="484">
        <f t="shared" si="495"/>
        <v>1169317</v>
      </c>
      <c r="AV240" s="475">
        <f t="shared" si="496"/>
        <v>861058</v>
      </c>
      <c r="AW240" s="475">
        <f t="shared" si="497"/>
        <v>0</v>
      </c>
      <c r="AX240" s="475">
        <f t="shared" si="498"/>
        <v>291038</v>
      </c>
      <c r="AY240" s="475">
        <f t="shared" si="498"/>
        <v>17221</v>
      </c>
      <c r="AZ240" s="475">
        <f t="shared" si="499"/>
        <v>0</v>
      </c>
      <c r="BA240" s="476">
        <f t="shared" si="500"/>
        <v>1.9999</v>
      </c>
      <c r="BB240" s="476">
        <f t="shared" si="501"/>
        <v>1.9999</v>
      </c>
      <c r="BC240" s="478">
        <f t="shared" si="501"/>
        <v>0</v>
      </c>
    </row>
    <row r="241" spans="1:55" s="234" customFormat="1" ht="12.75" customHeight="1" x14ac:dyDescent="0.2">
      <c r="A241" s="221">
        <v>42</v>
      </c>
      <c r="B241" s="222">
        <v>4459</v>
      </c>
      <c r="C241" s="222">
        <v>650037171</v>
      </c>
      <c r="D241" s="222">
        <v>72742356</v>
      </c>
      <c r="E241" s="220" t="s">
        <v>230</v>
      </c>
      <c r="F241" s="222">
        <v>3143</v>
      </c>
      <c r="G241" s="172" t="s">
        <v>627</v>
      </c>
      <c r="H241" s="239" t="s">
        <v>278</v>
      </c>
      <c r="I241" s="477">
        <v>26459</v>
      </c>
      <c r="J241" s="472">
        <v>18711</v>
      </c>
      <c r="K241" s="472">
        <v>0</v>
      </c>
      <c r="L241" s="472">
        <v>6324</v>
      </c>
      <c r="M241" s="472">
        <v>374</v>
      </c>
      <c r="N241" s="472">
        <v>1050</v>
      </c>
      <c r="O241" s="473">
        <v>7.0000000000000007E-2</v>
      </c>
      <c r="P241" s="474">
        <v>0</v>
      </c>
      <c r="Q241" s="483">
        <v>7.0000000000000007E-2</v>
      </c>
      <c r="R241" s="485">
        <f t="shared" si="485"/>
        <v>0</v>
      </c>
      <c r="S241" s="475">
        <v>0</v>
      </c>
      <c r="T241" s="475">
        <v>0</v>
      </c>
      <c r="U241" s="475">
        <v>0</v>
      </c>
      <c r="V241" s="475">
        <v>0</v>
      </c>
      <c r="W241" s="475">
        <v>0</v>
      </c>
      <c r="X241" s="475">
        <f t="shared" si="415"/>
        <v>0</v>
      </c>
      <c r="Y241" s="475">
        <v>0</v>
      </c>
      <c r="Z241" s="475">
        <v>0</v>
      </c>
      <c r="AA241" s="475">
        <v>0</v>
      </c>
      <c r="AB241" s="475">
        <f t="shared" si="486"/>
        <v>0</v>
      </c>
      <c r="AC241" s="475">
        <f t="shared" si="487"/>
        <v>0</v>
      </c>
      <c r="AD241" s="70">
        <f t="shared" si="488"/>
        <v>0</v>
      </c>
      <c r="AE241" s="70">
        <f t="shared" si="489"/>
        <v>0</v>
      </c>
      <c r="AF241" s="475">
        <v>0</v>
      </c>
      <c r="AG241" s="475">
        <v>0</v>
      </c>
      <c r="AH241" s="475">
        <f t="shared" si="490"/>
        <v>0</v>
      </c>
      <c r="AI241" s="475">
        <f t="shared" si="491"/>
        <v>0</v>
      </c>
      <c r="AJ241" s="476">
        <v>0</v>
      </c>
      <c r="AK241" s="476">
        <v>0</v>
      </c>
      <c r="AL241" s="476">
        <v>0</v>
      </c>
      <c r="AM241" s="476">
        <v>0</v>
      </c>
      <c r="AN241" s="476">
        <v>0</v>
      </c>
      <c r="AO241" s="476">
        <v>0</v>
      </c>
      <c r="AP241" s="476">
        <v>0</v>
      </c>
      <c r="AQ241" s="476">
        <v>0</v>
      </c>
      <c r="AR241" s="476">
        <f t="shared" si="492"/>
        <v>0</v>
      </c>
      <c r="AS241" s="476">
        <f t="shared" si="493"/>
        <v>0</v>
      </c>
      <c r="AT241" s="478">
        <f t="shared" si="494"/>
        <v>0</v>
      </c>
      <c r="AU241" s="484">
        <f t="shared" si="495"/>
        <v>26459</v>
      </c>
      <c r="AV241" s="475">
        <f t="shared" si="496"/>
        <v>18711</v>
      </c>
      <c r="AW241" s="475">
        <f t="shared" si="497"/>
        <v>0</v>
      </c>
      <c r="AX241" s="475">
        <f t="shared" si="498"/>
        <v>6324</v>
      </c>
      <c r="AY241" s="475">
        <f t="shared" si="498"/>
        <v>374</v>
      </c>
      <c r="AZ241" s="475">
        <f t="shared" si="499"/>
        <v>1050</v>
      </c>
      <c r="BA241" s="476">
        <f t="shared" si="500"/>
        <v>7.0000000000000007E-2</v>
      </c>
      <c r="BB241" s="476">
        <f t="shared" si="501"/>
        <v>0</v>
      </c>
      <c r="BC241" s="478">
        <f t="shared" si="501"/>
        <v>7.0000000000000007E-2</v>
      </c>
    </row>
    <row r="242" spans="1:55" s="234" customFormat="1" ht="12.75" customHeight="1" x14ac:dyDescent="0.2">
      <c r="A242" s="162">
        <v>42</v>
      </c>
      <c r="B242" s="18">
        <v>4459</v>
      </c>
      <c r="C242" s="18">
        <v>650037171</v>
      </c>
      <c r="D242" s="18">
        <v>72742356</v>
      </c>
      <c r="E242" s="171" t="s">
        <v>231</v>
      </c>
      <c r="F242" s="18"/>
      <c r="G242" s="161"/>
      <c r="H242" s="195"/>
      <c r="I242" s="529">
        <v>20783184</v>
      </c>
      <c r="J242" s="526">
        <v>15045895</v>
      </c>
      <c r="K242" s="526">
        <v>20000</v>
      </c>
      <c r="L242" s="526">
        <v>5092272</v>
      </c>
      <c r="M242" s="526">
        <v>300917</v>
      </c>
      <c r="N242" s="526">
        <v>324100</v>
      </c>
      <c r="O242" s="527">
        <v>34.55149999999999</v>
      </c>
      <c r="P242" s="527">
        <v>24.009499999999999</v>
      </c>
      <c r="Q242" s="531">
        <v>10.542</v>
      </c>
      <c r="R242" s="529">
        <f t="shared" ref="R242:BC242" si="502">SUM(R236:R241)</f>
        <v>0</v>
      </c>
      <c r="S242" s="526">
        <f t="shared" si="502"/>
        <v>-72175</v>
      </c>
      <c r="T242" s="526">
        <f t="shared" si="502"/>
        <v>-3494</v>
      </c>
      <c r="U242" s="526">
        <f t="shared" si="502"/>
        <v>45738</v>
      </c>
      <c r="V242" s="526">
        <f t="shared" si="502"/>
        <v>0</v>
      </c>
      <c r="W242" s="526">
        <f t="shared" si="502"/>
        <v>0</v>
      </c>
      <c r="X242" s="526">
        <f t="shared" si="502"/>
        <v>-29931</v>
      </c>
      <c r="Y242" s="526">
        <f t="shared" si="502"/>
        <v>0</v>
      </c>
      <c r="Z242" s="526">
        <f t="shared" si="502"/>
        <v>0</v>
      </c>
      <c r="AA242" s="526">
        <f t="shared" si="502"/>
        <v>0</v>
      </c>
      <c r="AB242" s="526">
        <f t="shared" si="502"/>
        <v>0</v>
      </c>
      <c r="AC242" s="526">
        <f t="shared" si="502"/>
        <v>-29931</v>
      </c>
      <c r="AD242" s="526">
        <f t="shared" si="502"/>
        <v>-10117</v>
      </c>
      <c r="AE242" s="526">
        <f t="shared" si="502"/>
        <v>-599</v>
      </c>
      <c r="AF242" s="526">
        <f t="shared" si="502"/>
        <v>5000</v>
      </c>
      <c r="AG242" s="526">
        <f t="shared" si="502"/>
        <v>0</v>
      </c>
      <c r="AH242" s="526">
        <f t="shared" si="502"/>
        <v>5000</v>
      </c>
      <c r="AI242" s="526">
        <f t="shared" si="502"/>
        <v>-35647</v>
      </c>
      <c r="AJ242" s="527">
        <f t="shared" si="502"/>
        <v>0</v>
      </c>
      <c r="AK242" s="527">
        <f t="shared" si="502"/>
        <v>0</v>
      </c>
      <c r="AL242" s="527">
        <f t="shared" si="502"/>
        <v>-0.2</v>
      </c>
      <c r="AM242" s="527">
        <f t="shared" si="502"/>
        <v>0</v>
      </c>
      <c r="AN242" s="527">
        <f t="shared" si="502"/>
        <v>-0.01</v>
      </c>
      <c r="AO242" s="527">
        <f t="shared" si="502"/>
        <v>7.0000000000000007E-2</v>
      </c>
      <c r="AP242" s="527">
        <f t="shared" si="502"/>
        <v>0</v>
      </c>
      <c r="AQ242" s="527">
        <f t="shared" si="502"/>
        <v>0</v>
      </c>
      <c r="AR242" s="527">
        <f t="shared" si="502"/>
        <v>-0.13</v>
      </c>
      <c r="AS242" s="527">
        <f t="shared" si="502"/>
        <v>-0.01</v>
      </c>
      <c r="AT242" s="40">
        <f t="shared" si="502"/>
        <v>-0.14000000000000001</v>
      </c>
      <c r="AU242" s="533">
        <f t="shared" si="502"/>
        <v>20747537</v>
      </c>
      <c r="AV242" s="526">
        <f t="shared" si="502"/>
        <v>15015964</v>
      </c>
      <c r="AW242" s="526">
        <f t="shared" si="502"/>
        <v>20000</v>
      </c>
      <c r="AX242" s="526">
        <f t="shared" si="502"/>
        <v>5082155</v>
      </c>
      <c r="AY242" s="526">
        <f t="shared" si="502"/>
        <v>300318</v>
      </c>
      <c r="AZ242" s="526">
        <f t="shared" si="502"/>
        <v>329100</v>
      </c>
      <c r="BA242" s="527">
        <f t="shared" si="502"/>
        <v>34.411499999999997</v>
      </c>
      <c r="BB242" s="527">
        <f t="shared" si="502"/>
        <v>23.8795</v>
      </c>
      <c r="BC242" s="40">
        <f t="shared" si="502"/>
        <v>10.532</v>
      </c>
    </row>
    <row r="243" spans="1:55" s="234" customFormat="1" ht="12.75" customHeight="1" x14ac:dyDescent="0.2">
      <c r="A243" s="221">
        <v>43</v>
      </c>
      <c r="B243" s="222">
        <v>4424</v>
      </c>
      <c r="C243" s="222">
        <v>600074170</v>
      </c>
      <c r="D243" s="222">
        <v>72741562</v>
      </c>
      <c r="E243" s="220" t="s">
        <v>232</v>
      </c>
      <c r="F243" s="222">
        <v>3111</v>
      </c>
      <c r="G243" s="172" t="s">
        <v>311</v>
      </c>
      <c r="H243" s="223" t="s">
        <v>277</v>
      </c>
      <c r="I243" s="477">
        <v>3321050</v>
      </c>
      <c r="J243" s="472">
        <v>2432622</v>
      </c>
      <c r="K243" s="472">
        <v>0</v>
      </c>
      <c r="L243" s="472">
        <v>822226</v>
      </c>
      <c r="M243" s="472">
        <v>48652</v>
      </c>
      <c r="N243" s="472">
        <v>17550</v>
      </c>
      <c r="O243" s="473">
        <v>5.6155999999999997</v>
      </c>
      <c r="P243" s="474">
        <v>4.2257999999999996</v>
      </c>
      <c r="Q243" s="483">
        <v>1.3898000000000001</v>
      </c>
      <c r="R243" s="485">
        <f t="shared" ref="R243:R245" si="503">Y243*-1</f>
        <v>0</v>
      </c>
      <c r="S243" s="475">
        <v>0</v>
      </c>
      <c r="T243" s="475">
        <v>0</v>
      </c>
      <c r="U243" s="475">
        <v>0</v>
      </c>
      <c r="V243" s="475">
        <v>0</v>
      </c>
      <c r="W243" s="475">
        <v>0</v>
      </c>
      <c r="X243" s="475">
        <f t="shared" si="415"/>
        <v>0</v>
      </c>
      <c r="Y243" s="475">
        <v>0</v>
      </c>
      <c r="Z243" s="475">
        <v>0</v>
      </c>
      <c r="AA243" s="475">
        <v>0</v>
      </c>
      <c r="AB243" s="475">
        <f t="shared" ref="AB243:AB245" si="504">SUM(Y243:AA243)</f>
        <v>0</v>
      </c>
      <c r="AC243" s="475">
        <f>X243+AB243</f>
        <v>0</v>
      </c>
      <c r="AD243" s="70">
        <f>ROUND((X243+Y243+Z243)*33.8%,0)</f>
        <v>0</v>
      </c>
      <c r="AE243" s="70">
        <f>ROUND(X243*2%,0)</f>
        <v>0</v>
      </c>
      <c r="AF243" s="475">
        <v>0</v>
      </c>
      <c r="AG243" s="475">
        <v>0</v>
      </c>
      <c r="AH243" s="475">
        <f t="shared" ref="AH243:AH245" si="505">SUM(AF243:AG243)</f>
        <v>0</v>
      </c>
      <c r="AI243" s="475">
        <f t="shared" ref="AI243:AI245" si="506">AC243+AD243+AE243+AH243</f>
        <v>0</v>
      </c>
      <c r="AJ243" s="476">
        <v>0</v>
      </c>
      <c r="AK243" s="476">
        <v>0</v>
      </c>
      <c r="AL243" s="476">
        <v>0</v>
      </c>
      <c r="AM243" s="476">
        <v>0</v>
      </c>
      <c r="AN243" s="476">
        <v>0</v>
      </c>
      <c r="AO243" s="476">
        <v>0</v>
      </c>
      <c r="AP243" s="476">
        <v>0</v>
      </c>
      <c r="AQ243" s="476">
        <v>0</v>
      </c>
      <c r="AR243" s="476">
        <f>AJ243+AL243+AM243+AO243+AP243</f>
        <v>0</v>
      </c>
      <c r="AS243" s="476">
        <f>AK243+AN243+AQ243</f>
        <v>0</v>
      </c>
      <c r="AT243" s="478">
        <f t="shared" ref="AT243:AT245" si="507">SUM(AR243:AS243)</f>
        <v>0</v>
      </c>
      <c r="AU243" s="484">
        <f>I243+AI243</f>
        <v>3321050</v>
      </c>
      <c r="AV243" s="475">
        <f>J243+X243</f>
        <v>2432622</v>
      </c>
      <c r="AW243" s="475">
        <f>K243+AB243</f>
        <v>0</v>
      </c>
      <c r="AX243" s="475">
        <f t="shared" ref="AX243:AY245" si="508">L243+AD243</f>
        <v>822226</v>
      </c>
      <c r="AY243" s="475">
        <f t="shared" si="508"/>
        <v>48652</v>
      </c>
      <c r="AZ243" s="475">
        <f>N243+AH243</f>
        <v>17550</v>
      </c>
      <c r="BA243" s="476">
        <f>O243+AT243</f>
        <v>5.6155999999999997</v>
      </c>
      <c r="BB243" s="476">
        <f t="shared" ref="BB243:BC245" si="509">P243+AR243</f>
        <v>4.2257999999999996</v>
      </c>
      <c r="BC243" s="478">
        <f t="shared" si="509"/>
        <v>1.3898000000000001</v>
      </c>
    </row>
    <row r="244" spans="1:55" s="234" customFormat="1" ht="12.75" customHeight="1" x14ac:dyDescent="0.2">
      <c r="A244" s="221">
        <v>43</v>
      </c>
      <c r="B244" s="222">
        <v>4424</v>
      </c>
      <c r="C244" s="222">
        <v>600074170</v>
      </c>
      <c r="D244" s="222">
        <v>72741562</v>
      </c>
      <c r="E244" s="220" t="s">
        <v>232</v>
      </c>
      <c r="F244" s="222">
        <v>3111</v>
      </c>
      <c r="G244" s="172" t="s">
        <v>312</v>
      </c>
      <c r="H244" s="223" t="s">
        <v>278</v>
      </c>
      <c r="I244" s="477">
        <v>313646</v>
      </c>
      <c r="J244" s="472">
        <v>230962</v>
      </c>
      <c r="K244" s="472">
        <v>0</v>
      </c>
      <c r="L244" s="472">
        <v>78065</v>
      </c>
      <c r="M244" s="472">
        <v>4619</v>
      </c>
      <c r="N244" s="472">
        <v>0</v>
      </c>
      <c r="O244" s="473">
        <v>0.66999999999999993</v>
      </c>
      <c r="P244" s="474">
        <v>0.66999999999999993</v>
      </c>
      <c r="Q244" s="483">
        <v>0</v>
      </c>
      <c r="R244" s="485">
        <f t="shared" si="503"/>
        <v>0</v>
      </c>
      <c r="S244" s="475">
        <v>0</v>
      </c>
      <c r="T244" s="475">
        <v>0</v>
      </c>
      <c r="U244" s="475">
        <v>0</v>
      </c>
      <c r="V244" s="475">
        <v>0</v>
      </c>
      <c r="W244" s="475">
        <v>0</v>
      </c>
      <c r="X244" s="475">
        <f t="shared" si="415"/>
        <v>0</v>
      </c>
      <c r="Y244" s="475">
        <v>0</v>
      </c>
      <c r="Z244" s="475">
        <v>0</v>
      </c>
      <c r="AA244" s="475">
        <v>0</v>
      </c>
      <c r="AB244" s="475">
        <f t="shared" si="504"/>
        <v>0</v>
      </c>
      <c r="AC244" s="475">
        <f>X244+AB244</f>
        <v>0</v>
      </c>
      <c r="AD244" s="70">
        <f>ROUND((X244+Y244+Z244)*33.8%,0)</f>
        <v>0</v>
      </c>
      <c r="AE244" s="70">
        <f>ROUND(X244*2%,0)</f>
        <v>0</v>
      </c>
      <c r="AF244" s="475">
        <v>0</v>
      </c>
      <c r="AG244" s="475">
        <v>0</v>
      </c>
      <c r="AH244" s="475">
        <f t="shared" si="505"/>
        <v>0</v>
      </c>
      <c r="AI244" s="475">
        <f t="shared" si="506"/>
        <v>0</v>
      </c>
      <c r="AJ244" s="476">
        <v>0</v>
      </c>
      <c r="AK244" s="476">
        <v>0</v>
      </c>
      <c r="AL244" s="476">
        <v>0</v>
      </c>
      <c r="AM244" s="476">
        <v>0</v>
      </c>
      <c r="AN244" s="476">
        <v>0</v>
      </c>
      <c r="AO244" s="476">
        <v>0</v>
      </c>
      <c r="AP244" s="476">
        <v>0</v>
      </c>
      <c r="AQ244" s="476">
        <v>0</v>
      </c>
      <c r="AR244" s="476">
        <f>AJ244+AL244+AM244+AO244+AP244</f>
        <v>0</v>
      </c>
      <c r="AS244" s="476">
        <f>AK244+AN244+AQ244</f>
        <v>0</v>
      </c>
      <c r="AT244" s="478">
        <f t="shared" si="507"/>
        <v>0</v>
      </c>
      <c r="AU244" s="484">
        <f>I244+AI244</f>
        <v>313646</v>
      </c>
      <c r="AV244" s="475">
        <f>J244+X244</f>
        <v>230962</v>
      </c>
      <c r="AW244" s="475">
        <f>K244+AB244</f>
        <v>0</v>
      </c>
      <c r="AX244" s="475">
        <f t="shared" si="508"/>
        <v>78065</v>
      </c>
      <c r="AY244" s="475">
        <f t="shared" si="508"/>
        <v>4619</v>
      </c>
      <c r="AZ244" s="475">
        <f>N244+AH244</f>
        <v>0</v>
      </c>
      <c r="BA244" s="476">
        <f>O244+AT244</f>
        <v>0.66999999999999993</v>
      </c>
      <c r="BB244" s="476">
        <f t="shared" si="509"/>
        <v>0.66999999999999993</v>
      </c>
      <c r="BC244" s="478">
        <f t="shared" si="509"/>
        <v>0</v>
      </c>
    </row>
    <row r="245" spans="1:55" s="234" customFormat="1" ht="12.75" customHeight="1" x14ac:dyDescent="0.2">
      <c r="A245" s="221">
        <v>43</v>
      </c>
      <c r="B245" s="222">
        <v>4424</v>
      </c>
      <c r="C245" s="222">
        <v>600074170</v>
      </c>
      <c r="D245" s="222">
        <v>72741562</v>
      </c>
      <c r="E245" s="220" t="s">
        <v>232</v>
      </c>
      <c r="F245" s="222">
        <v>3141</v>
      </c>
      <c r="G245" s="172" t="s">
        <v>315</v>
      </c>
      <c r="H245" s="223" t="s">
        <v>278</v>
      </c>
      <c r="I245" s="477">
        <v>1071465</v>
      </c>
      <c r="J245" s="472">
        <v>785372</v>
      </c>
      <c r="K245" s="472">
        <v>0</v>
      </c>
      <c r="L245" s="472">
        <v>265456</v>
      </c>
      <c r="M245" s="472">
        <v>15707</v>
      </c>
      <c r="N245" s="472">
        <v>4930</v>
      </c>
      <c r="O245" s="473">
        <v>2.4700000000000002</v>
      </c>
      <c r="P245" s="474">
        <v>0</v>
      </c>
      <c r="Q245" s="483">
        <v>2.4700000000000002</v>
      </c>
      <c r="R245" s="485">
        <f t="shared" si="503"/>
        <v>0</v>
      </c>
      <c r="S245" s="475">
        <v>0</v>
      </c>
      <c r="T245" s="475">
        <v>-4490</v>
      </c>
      <c r="U245" s="475">
        <v>0</v>
      </c>
      <c r="V245" s="475">
        <v>0</v>
      </c>
      <c r="W245" s="475">
        <v>0</v>
      </c>
      <c r="X245" s="475">
        <f t="shared" si="415"/>
        <v>-4490</v>
      </c>
      <c r="Y245" s="475">
        <v>0</v>
      </c>
      <c r="Z245" s="475">
        <v>0</v>
      </c>
      <c r="AA245" s="475">
        <v>0</v>
      </c>
      <c r="AB245" s="475">
        <f t="shared" si="504"/>
        <v>0</v>
      </c>
      <c r="AC245" s="475">
        <f>X245+AB245</f>
        <v>-4490</v>
      </c>
      <c r="AD245" s="70">
        <f>ROUND((X245+Y245+Z245)*33.8%,0)</f>
        <v>-1518</v>
      </c>
      <c r="AE245" s="70">
        <f>ROUND(X245*2%,0)</f>
        <v>-90</v>
      </c>
      <c r="AF245" s="475">
        <v>0</v>
      </c>
      <c r="AG245" s="475">
        <v>0</v>
      </c>
      <c r="AH245" s="475">
        <f t="shared" si="505"/>
        <v>0</v>
      </c>
      <c r="AI245" s="475">
        <f t="shared" si="506"/>
        <v>-6098</v>
      </c>
      <c r="AJ245" s="476">
        <v>0</v>
      </c>
      <c r="AK245" s="476">
        <v>0</v>
      </c>
      <c r="AL245" s="476">
        <v>0</v>
      </c>
      <c r="AM245" s="476">
        <v>0</v>
      </c>
      <c r="AN245" s="476">
        <v>-0.01</v>
      </c>
      <c r="AO245" s="476">
        <v>0</v>
      </c>
      <c r="AP245" s="476">
        <v>0</v>
      </c>
      <c r="AQ245" s="476">
        <v>0</v>
      </c>
      <c r="AR245" s="476">
        <f>AJ245+AL245+AM245+AO245+AP245</f>
        <v>0</v>
      </c>
      <c r="AS245" s="476">
        <f>AK245+AN245+AQ245</f>
        <v>-0.01</v>
      </c>
      <c r="AT245" s="478">
        <f t="shared" si="507"/>
        <v>-0.01</v>
      </c>
      <c r="AU245" s="484">
        <f>I245+AI245</f>
        <v>1065367</v>
      </c>
      <c r="AV245" s="475">
        <f>J245+X245</f>
        <v>780882</v>
      </c>
      <c r="AW245" s="475">
        <f>K245+AB245</f>
        <v>0</v>
      </c>
      <c r="AX245" s="475">
        <f t="shared" si="508"/>
        <v>263938</v>
      </c>
      <c r="AY245" s="475">
        <f t="shared" si="508"/>
        <v>15617</v>
      </c>
      <c r="AZ245" s="475">
        <f>N245+AH245</f>
        <v>4930</v>
      </c>
      <c r="BA245" s="476">
        <f>O245+AT245</f>
        <v>2.4600000000000004</v>
      </c>
      <c r="BB245" s="476">
        <f t="shared" si="509"/>
        <v>0</v>
      </c>
      <c r="BC245" s="478">
        <f t="shared" si="509"/>
        <v>2.4600000000000004</v>
      </c>
    </row>
    <row r="246" spans="1:55" s="234" customFormat="1" ht="12.75" customHeight="1" x14ac:dyDescent="0.2">
      <c r="A246" s="162">
        <v>43</v>
      </c>
      <c r="B246" s="18">
        <v>4424</v>
      </c>
      <c r="C246" s="18">
        <v>600074170</v>
      </c>
      <c r="D246" s="18">
        <v>72741562</v>
      </c>
      <c r="E246" s="171" t="s">
        <v>233</v>
      </c>
      <c r="F246" s="18"/>
      <c r="G246" s="161"/>
      <c r="H246" s="195"/>
      <c r="I246" s="529">
        <v>4706161</v>
      </c>
      <c r="J246" s="526">
        <v>3448956</v>
      </c>
      <c r="K246" s="526">
        <v>0</v>
      </c>
      <c r="L246" s="526">
        <v>1165747</v>
      </c>
      <c r="M246" s="526">
        <v>68978</v>
      </c>
      <c r="N246" s="526">
        <v>22480</v>
      </c>
      <c r="O246" s="527">
        <v>8.7555999999999994</v>
      </c>
      <c r="P246" s="527">
        <v>4.8957999999999995</v>
      </c>
      <c r="Q246" s="531">
        <v>3.8598000000000003</v>
      </c>
      <c r="R246" s="529">
        <f t="shared" ref="R246:BC246" si="510">SUM(R243:R245)</f>
        <v>0</v>
      </c>
      <c r="S246" s="526">
        <f t="shared" si="510"/>
        <v>0</v>
      </c>
      <c r="T246" s="526">
        <f t="shared" si="510"/>
        <v>-4490</v>
      </c>
      <c r="U246" s="526">
        <f t="shared" si="510"/>
        <v>0</v>
      </c>
      <c r="V246" s="526">
        <f t="shared" si="510"/>
        <v>0</v>
      </c>
      <c r="W246" s="526">
        <f t="shared" si="510"/>
        <v>0</v>
      </c>
      <c r="X246" s="526">
        <f t="shared" si="510"/>
        <v>-4490</v>
      </c>
      <c r="Y246" s="526">
        <f t="shared" si="510"/>
        <v>0</v>
      </c>
      <c r="Z246" s="526">
        <f t="shared" si="510"/>
        <v>0</v>
      </c>
      <c r="AA246" s="526">
        <f t="shared" si="510"/>
        <v>0</v>
      </c>
      <c r="AB246" s="526">
        <f t="shared" si="510"/>
        <v>0</v>
      </c>
      <c r="AC246" s="526">
        <f t="shared" si="510"/>
        <v>-4490</v>
      </c>
      <c r="AD246" s="526">
        <f t="shared" si="510"/>
        <v>-1518</v>
      </c>
      <c r="AE246" s="526">
        <f t="shared" si="510"/>
        <v>-90</v>
      </c>
      <c r="AF246" s="526">
        <f t="shared" si="510"/>
        <v>0</v>
      </c>
      <c r="AG246" s="526">
        <f t="shared" si="510"/>
        <v>0</v>
      </c>
      <c r="AH246" s="526">
        <f t="shared" si="510"/>
        <v>0</v>
      </c>
      <c r="AI246" s="526">
        <f t="shared" si="510"/>
        <v>-6098</v>
      </c>
      <c r="AJ246" s="527">
        <f t="shared" si="510"/>
        <v>0</v>
      </c>
      <c r="AK246" s="527">
        <f t="shared" si="510"/>
        <v>0</v>
      </c>
      <c r="AL246" s="527">
        <f t="shared" si="510"/>
        <v>0</v>
      </c>
      <c r="AM246" s="527">
        <f t="shared" si="510"/>
        <v>0</v>
      </c>
      <c r="AN246" s="527">
        <f t="shared" si="510"/>
        <v>-0.01</v>
      </c>
      <c r="AO246" s="527">
        <f t="shared" si="510"/>
        <v>0</v>
      </c>
      <c r="AP246" s="527">
        <f t="shared" si="510"/>
        <v>0</v>
      </c>
      <c r="AQ246" s="527">
        <f t="shared" si="510"/>
        <v>0</v>
      </c>
      <c r="AR246" s="527">
        <f t="shared" si="510"/>
        <v>0</v>
      </c>
      <c r="AS246" s="527">
        <f t="shared" si="510"/>
        <v>-0.01</v>
      </c>
      <c r="AT246" s="40">
        <f t="shared" si="510"/>
        <v>-0.01</v>
      </c>
      <c r="AU246" s="533">
        <f t="shared" si="510"/>
        <v>4700063</v>
      </c>
      <c r="AV246" s="526">
        <f t="shared" si="510"/>
        <v>3444466</v>
      </c>
      <c r="AW246" s="526">
        <f t="shared" si="510"/>
        <v>0</v>
      </c>
      <c r="AX246" s="526">
        <f t="shared" si="510"/>
        <v>1164229</v>
      </c>
      <c r="AY246" s="526">
        <f t="shared" si="510"/>
        <v>68888</v>
      </c>
      <c r="AZ246" s="526">
        <f t="shared" si="510"/>
        <v>22480</v>
      </c>
      <c r="BA246" s="527">
        <f t="shared" si="510"/>
        <v>8.7455999999999996</v>
      </c>
      <c r="BB246" s="527">
        <f t="shared" si="510"/>
        <v>4.8957999999999995</v>
      </c>
      <c r="BC246" s="40">
        <f t="shared" si="510"/>
        <v>3.8498000000000006</v>
      </c>
    </row>
    <row r="247" spans="1:55" s="234" customFormat="1" ht="12.75" customHeight="1" x14ac:dyDescent="0.2">
      <c r="A247" s="221">
        <v>44</v>
      </c>
      <c r="B247" s="222">
        <v>4489</v>
      </c>
      <c r="C247" s="222">
        <v>600075036</v>
      </c>
      <c r="D247" s="222">
        <v>72742607</v>
      </c>
      <c r="E247" s="220" t="s">
        <v>234</v>
      </c>
      <c r="F247" s="222">
        <v>3111</v>
      </c>
      <c r="G247" s="172" t="s">
        <v>311</v>
      </c>
      <c r="H247" s="223" t="s">
        <v>277</v>
      </c>
      <c r="I247" s="477">
        <v>3260413</v>
      </c>
      <c r="J247" s="472">
        <v>2361995</v>
      </c>
      <c r="K247" s="472">
        <v>23000</v>
      </c>
      <c r="L247" s="472">
        <v>806128</v>
      </c>
      <c r="M247" s="472">
        <v>47240</v>
      </c>
      <c r="N247" s="472">
        <v>22050</v>
      </c>
      <c r="O247" s="473">
        <v>4.9718</v>
      </c>
      <c r="P247" s="474">
        <v>3.9500000000000006</v>
      </c>
      <c r="Q247" s="483">
        <v>1.0218</v>
      </c>
      <c r="R247" s="485">
        <f t="shared" ref="R247:R252" si="511">Y247*-1</f>
        <v>0</v>
      </c>
      <c r="S247" s="475">
        <v>0</v>
      </c>
      <c r="T247" s="475">
        <v>0</v>
      </c>
      <c r="U247" s="475">
        <v>0</v>
      </c>
      <c r="V247" s="475">
        <v>0</v>
      </c>
      <c r="W247" s="475">
        <v>0</v>
      </c>
      <c r="X247" s="475">
        <f t="shared" si="415"/>
        <v>0</v>
      </c>
      <c r="Y247" s="475">
        <v>0</v>
      </c>
      <c r="Z247" s="475">
        <v>0</v>
      </c>
      <c r="AA247" s="475">
        <v>0</v>
      </c>
      <c r="AB247" s="475">
        <f t="shared" ref="AB247:AB252" si="512">SUM(Y247:AA247)</f>
        <v>0</v>
      </c>
      <c r="AC247" s="475">
        <f t="shared" ref="AC247:AC252" si="513">X247+AB247</f>
        <v>0</v>
      </c>
      <c r="AD247" s="70">
        <f t="shared" ref="AD247:AD252" si="514">ROUND((X247+Y247+Z247)*33.8%,0)</f>
        <v>0</v>
      </c>
      <c r="AE247" s="70">
        <f t="shared" ref="AE247:AE252" si="515">ROUND(X247*2%,0)</f>
        <v>0</v>
      </c>
      <c r="AF247" s="475">
        <v>0</v>
      </c>
      <c r="AG247" s="475">
        <v>0</v>
      </c>
      <c r="AH247" s="475">
        <f t="shared" ref="AH247:AH252" si="516">SUM(AF247:AG247)</f>
        <v>0</v>
      </c>
      <c r="AI247" s="475">
        <f t="shared" ref="AI247:AI252" si="517">AC247+AD247+AE247+AH247</f>
        <v>0</v>
      </c>
      <c r="AJ247" s="476">
        <v>0</v>
      </c>
      <c r="AK247" s="476">
        <v>0</v>
      </c>
      <c r="AL247" s="476">
        <v>0</v>
      </c>
      <c r="AM247" s="476">
        <v>0</v>
      </c>
      <c r="AN247" s="476">
        <v>0</v>
      </c>
      <c r="AO247" s="476">
        <v>0</v>
      </c>
      <c r="AP247" s="476">
        <v>0</v>
      </c>
      <c r="AQ247" s="476">
        <v>0</v>
      </c>
      <c r="AR247" s="476">
        <f t="shared" ref="AR247:AR252" si="518">AJ247+AL247+AM247+AO247+AP247</f>
        <v>0</v>
      </c>
      <c r="AS247" s="476">
        <f t="shared" ref="AS247:AS252" si="519">AK247+AN247+AQ247</f>
        <v>0</v>
      </c>
      <c r="AT247" s="478">
        <f t="shared" ref="AT247:AT252" si="520">SUM(AR247:AS247)</f>
        <v>0</v>
      </c>
      <c r="AU247" s="484">
        <f t="shared" ref="AU247:AU252" si="521">I247+AI247</f>
        <v>3260413</v>
      </c>
      <c r="AV247" s="475">
        <f t="shared" ref="AV247:AV252" si="522">J247+X247</f>
        <v>2361995</v>
      </c>
      <c r="AW247" s="475">
        <f t="shared" ref="AW247:AW252" si="523">K247+AB247</f>
        <v>23000</v>
      </c>
      <c r="AX247" s="475">
        <f t="shared" ref="AX247:AY252" si="524">L247+AD247</f>
        <v>806128</v>
      </c>
      <c r="AY247" s="475">
        <f t="shared" si="524"/>
        <v>47240</v>
      </c>
      <c r="AZ247" s="475">
        <f t="shared" ref="AZ247:AZ252" si="525">N247+AH247</f>
        <v>22050</v>
      </c>
      <c r="BA247" s="476">
        <f t="shared" ref="BA247:BA252" si="526">O247+AT247</f>
        <v>4.9718</v>
      </c>
      <c r="BB247" s="476">
        <f t="shared" ref="BB247:BC252" si="527">P247+AR247</f>
        <v>3.9500000000000006</v>
      </c>
      <c r="BC247" s="478">
        <f t="shared" si="527"/>
        <v>1.0218</v>
      </c>
    </row>
    <row r="248" spans="1:55" s="234" customFormat="1" ht="12.75" customHeight="1" x14ac:dyDescent="0.2">
      <c r="A248" s="221">
        <v>44</v>
      </c>
      <c r="B248" s="222">
        <v>4489</v>
      </c>
      <c r="C248" s="222">
        <v>600075036</v>
      </c>
      <c r="D248" s="222">
        <v>72742607</v>
      </c>
      <c r="E248" s="220" t="s">
        <v>234</v>
      </c>
      <c r="F248" s="222">
        <v>3117</v>
      </c>
      <c r="G248" s="172" t="s">
        <v>314</v>
      </c>
      <c r="H248" s="223" t="s">
        <v>277</v>
      </c>
      <c r="I248" s="477">
        <v>3702602</v>
      </c>
      <c r="J248" s="472">
        <v>2661253</v>
      </c>
      <c r="K248" s="472">
        <v>10000</v>
      </c>
      <c r="L248" s="472">
        <v>902884</v>
      </c>
      <c r="M248" s="472">
        <v>53225</v>
      </c>
      <c r="N248" s="472">
        <v>75240</v>
      </c>
      <c r="O248" s="473">
        <v>5.5313000000000008</v>
      </c>
      <c r="P248" s="474">
        <v>3.7008000000000001</v>
      </c>
      <c r="Q248" s="483">
        <v>1.8304999999999998</v>
      </c>
      <c r="R248" s="485">
        <f t="shared" si="511"/>
        <v>0</v>
      </c>
      <c r="S248" s="475">
        <v>0</v>
      </c>
      <c r="T248" s="475">
        <v>0</v>
      </c>
      <c r="U248" s="475">
        <v>0</v>
      </c>
      <c r="V248" s="475">
        <v>0</v>
      </c>
      <c r="W248" s="475">
        <v>0</v>
      </c>
      <c r="X248" s="475">
        <f t="shared" si="415"/>
        <v>0</v>
      </c>
      <c r="Y248" s="475">
        <v>0</v>
      </c>
      <c r="Z248" s="475">
        <v>0</v>
      </c>
      <c r="AA248" s="475">
        <v>0</v>
      </c>
      <c r="AB248" s="475">
        <f t="shared" si="512"/>
        <v>0</v>
      </c>
      <c r="AC248" s="475">
        <f t="shared" si="513"/>
        <v>0</v>
      </c>
      <c r="AD248" s="70">
        <f t="shared" si="514"/>
        <v>0</v>
      </c>
      <c r="AE248" s="70">
        <f t="shared" si="515"/>
        <v>0</v>
      </c>
      <c r="AF248" s="475">
        <v>0</v>
      </c>
      <c r="AG248" s="475">
        <v>0</v>
      </c>
      <c r="AH248" s="475">
        <f t="shared" si="516"/>
        <v>0</v>
      </c>
      <c r="AI248" s="475">
        <f t="shared" si="517"/>
        <v>0</v>
      </c>
      <c r="AJ248" s="476">
        <v>0</v>
      </c>
      <c r="AK248" s="476">
        <v>0</v>
      </c>
      <c r="AL248" s="476">
        <v>0</v>
      </c>
      <c r="AM248" s="476">
        <v>0</v>
      </c>
      <c r="AN248" s="476">
        <v>0</v>
      </c>
      <c r="AO248" s="476">
        <v>0</v>
      </c>
      <c r="AP248" s="476">
        <v>0</v>
      </c>
      <c r="AQ248" s="476">
        <v>0</v>
      </c>
      <c r="AR248" s="476">
        <f t="shared" si="518"/>
        <v>0</v>
      </c>
      <c r="AS248" s="476">
        <f t="shared" si="519"/>
        <v>0</v>
      </c>
      <c r="AT248" s="478">
        <f t="shared" si="520"/>
        <v>0</v>
      </c>
      <c r="AU248" s="484">
        <f t="shared" si="521"/>
        <v>3702602</v>
      </c>
      <c r="AV248" s="475">
        <f t="shared" si="522"/>
        <v>2661253</v>
      </c>
      <c r="AW248" s="475">
        <f t="shared" si="523"/>
        <v>10000</v>
      </c>
      <c r="AX248" s="475">
        <f t="shared" si="524"/>
        <v>902884</v>
      </c>
      <c r="AY248" s="475">
        <f t="shared" si="524"/>
        <v>53225</v>
      </c>
      <c r="AZ248" s="475">
        <f t="shared" si="525"/>
        <v>75240</v>
      </c>
      <c r="BA248" s="476">
        <f t="shared" si="526"/>
        <v>5.5313000000000008</v>
      </c>
      <c r="BB248" s="476">
        <f t="shared" si="527"/>
        <v>3.7008000000000001</v>
      </c>
      <c r="BC248" s="478">
        <f t="shared" si="527"/>
        <v>1.8304999999999998</v>
      </c>
    </row>
    <row r="249" spans="1:55" s="234" customFormat="1" ht="12.75" customHeight="1" x14ac:dyDescent="0.2">
      <c r="A249" s="221">
        <v>44</v>
      </c>
      <c r="B249" s="222">
        <v>4489</v>
      </c>
      <c r="C249" s="222">
        <v>600075036</v>
      </c>
      <c r="D249" s="222">
        <v>72742607</v>
      </c>
      <c r="E249" s="220" t="s">
        <v>234</v>
      </c>
      <c r="F249" s="222">
        <v>3117</v>
      </c>
      <c r="G249" s="172" t="s">
        <v>312</v>
      </c>
      <c r="H249" s="223" t="s">
        <v>278</v>
      </c>
      <c r="I249" s="477">
        <v>2112801</v>
      </c>
      <c r="J249" s="472">
        <v>1549375</v>
      </c>
      <c r="K249" s="472">
        <v>0</v>
      </c>
      <c r="L249" s="472">
        <v>523689</v>
      </c>
      <c r="M249" s="472">
        <v>30987</v>
      </c>
      <c r="N249" s="472">
        <v>8750</v>
      </c>
      <c r="O249" s="473">
        <v>4.4800000000000004</v>
      </c>
      <c r="P249" s="474">
        <v>4.4800000000000004</v>
      </c>
      <c r="Q249" s="483">
        <v>0</v>
      </c>
      <c r="R249" s="485">
        <f t="shared" si="511"/>
        <v>0</v>
      </c>
      <c r="S249" s="475">
        <v>-362483</v>
      </c>
      <c r="T249" s="475">
        <v>0</v>
      </c>
      <c r="U249" s="475">
        <v>0</v>
      </c>
      <c r="V249" s="475">
        <v>0</v>
      </c>
      <c r="W249" s="475">
        <v>0</v>
      </c>
      <c r="X249" s="475">
        <f t="shared" si="415"/>
        <v>-362483</v>
      </c>
      <c r="Y249" s="475">
        <v>0</v>
      </c>
      <c r="Z249" s="475">
        <v>0</v>
      </c>
      <c r="AA249" s="475">
        <v>0</v>
      </c>
      <c r="AB249" s="475">
        <f t="shared" si="512"/>
        <v>0</v>
      </c>
      <c r="AC249" s="475">
        <f t="shared" si="513"/>
        <v>-362483</v>
      </c>
      <c r="AD249" s="70">
        <f t="shared" si="514"/>
        <v>-122519</v>
      </c>
      <c r="AE249" s="70">
        <f t="shared" si="515"/>
        <v>-7250</v>
      </c>
      <c r="AF249" s="475">
        <v>0</v>
      </c>
      <c r="AG249" s="475">
        <v>0</v>
      </c>
      <c r="AH249" s="475">
        <f t="shared" si="516"/>
        <v>0</v>
      </c>
      <c r="AI249" s="475">
        <f t="shared" si="517"/>
        <v>-492252</v>
      </c>
      <c r="AJ249" s="476">
        <v>0</v>
      </c>
      <c r="AK249" s="476">
        <v>0</v>
      </c>
      <c r="AL249" s="476">
        <v>-1.04</v>
      </c>
      <c r="AM249" s="476">
        <v>0</v>
      </c>
      <c r="AN249" s="476">
        <v>0</v>
      </c>
      <c r="AO249" s="476">
        <v>0</v>
      </c>
      <c r="AP249" s="476">
        <v>0</v>
      </c>
      <c r="AQ249" s="476">
        <v>0</v>
      </c>
      <c r="AR249" s="476">
        <f t="shared" si="518"/>
        <v>-1.04</v>
      </c>
      <c r="AS249" s="476">
        <f t="shared" si="519"/>
        <v>0</v>
      </c>
      <c r="AT249" s="478">
        <f t="shared" si="520"/>
        <v>-1.04</v>
      </c>
      <c r="AU249" s="484">
        <f t="shared" si="521"/>
        <v>1620549</v>
      </c>
      <c r="AV249" s="475">
        <f t="shared" si="522"/>
        <v>1186892</v>
      </c>
      <c r="AW249" s="475">
        <f t="shared" si="523"/>
        <v>0</v>
      </c>
      <c r="AX249" s="475">
        <f t="shared" si="524"/>
        <v>401170</v>
      </c>
      <c r="AY249" s="475">
        <f t="shared" si="524"/>
        <v>23737</v>
      </c>
      <c r="AZ249" s="475">
        <f t="shared" si="525"/>
        <v>8750</v>
      </c>
      <c r="BA249" s="476">
        <f t="shared" si="526"/>
        <v>3.4400000000000004</v>
      </c>
      <c r="BB249" s="476">
        <f t="shared" si="527"/>
        <v>3.4400000000000004</v>
      </c>
      <c r="BC249" s="478">
        <f t="shared" si="527"/>
        <v>0</v>
      </c>
    </row>
    <row r="250" spans="1:55" s="234" customFormat="1" ht="12.75" customHeight="1" x14ac:dyDescent="0.2">
      <c r="A250" s="221">
        <v>44</v>
      </c>
      <c r="B250" s="222">
        <v>4489</v>
      </c>
      <c r="C250" s="222">
        <v>600075036</v>
      </c>
      <c r="D250" s="222">
        <v>72742607</v>
      </c>
      <c r="E250" s="220" t="s">
        <v>234</v>
      </c>
      <c r="F250" s="222">
        <v>3141</v>
      </c>
      <c r="G250" s="172" t="s">
        <v>315</v>
      </c>
      <c r="H250" s="223" t="s">
        <v>278</v>
      </c>
      <c r="I250" s="477">
        <v>1167244</v>
      </c>
      <c r="J250" s="472">
        <v>835812</v>
      </c>
      <c r="K250" s="472">
        <v>20000</v>
      </c>
      <c r="L250" s="472">
        <v>289264</v>
      </c>
      <c r="M250" s="472">
        <v>16716</v>
      </c>
      <c r="N250" s="472">
        <v>5452</v>
      </c>
      <c r="O250" s="473">
        <v>2.7</v>
      </c>
      <c r="P250" s="474">
        <v>0</v>
      </c>
      <c r="Q250" s="483">
        <v>2.7</v>
      </c>
      <c r="R250" s="485">
        <f t="shared" si="511"/>
        <v>0</v>
      </c>
      <c r="S250" s="475">
        <v>0</v>
      </c>
      <c r="T250" s="475">
        <v>-1907</v>
      </c>
      <c r="U250" s="475">
        <v>0</v>
      </c>
      <c r="V250" s="475">
        <v>0</v>
      </c>
      <c r="W250" s="475">
        <v>0</v>
      </c>
      <c r="X250" s="475">
        <f t="shared" si="415"/>
        <v>-1907</v>
      </c>
      <c r="Y250" s="475">
        <v>0</v>
      </c>
      <c r="Z250" s="475">
        <v>0</v>
      </c>
      <c r="AA250" s="475">
        <v>0</v>
      </c>
      <c r="AB250" s="475">
        <f t="shared" si="512"/>
        <v>0</v>
      </c>
      <c r="AC250" s="475">
        <f t="shared" si="513"/>
        <v>-1907</v>
      </c>
      <c r="AD250" s="70">
        <f t="shared" si="514"/>
        <v>-645</v>
      </c>
      <c r="AE250" s="70">
        <f t="shared" si="515"/>
        <v>-38</v>
      </c>
      <c r="AF250" s="475">
        <v>0</v>
      </c>
      <c r="AG250" s="475">
        <v>0</v>
      </c>
      <c r="AH250" s="475">
        <f t="shared" si="516"/>
        <v>0</v>
      </c>
      <c r="AI250" s="475">
        <f t="shared" si="517"/>
        <v>-2590</v>
      </c>
      <c r="AJ250" s="476">
        <v>0</v>
      </c>
      <c r="AK250" s="476">
        <v>0</v>
      </c>
      <c r="AL250" s="476">
        <v>0</v>
      </c>
      <c r="AM250" s="476">
        <v>0</v>
      </c>
      <c r="AN250" s="476">
        <v>-0.01</v>
      </c>
      <c r="AO250" s="476">
        <v>0</v>
      </c>
      <c r="AP250" s="476">
        <v>0</v>
      </c>
      <c r="AQ250" s="476">
        <v>0</v>
      </c>
      <c r="AR250" s="476">
        <f t="shared" si="518"/>
        <v>0</v>
      </c>
      <c r="AS250" s="476">
        <f t="shared" si="519"/>
        <v>-0.01</v>
      </c>
      <c r="AT250" s="478">
        <f t="shared" si="520"/>
        <v>-0.01</v>
      </c>
      <c r="AU250" s="484">
        <f t="shared" si="521"/>
        <v>1164654</v>
      </c>
      <c r="AV250" s="475">
        <f t="shared" si="522"/>
        <v>833905</v>
      </c>
      <c r="AW250" s="475">
        <f t="shared" si="523"/>
        <v>20000</v>
      </c>
      <c r="AX250" s="475">
        <f t="shared" si="524"/>
        <v>288619</v>
      </c>
      <c r="AY250" s="475">
        <f t="shared" si="524"/>
        <v>16678</v>
      </c>
      <c r="AZ250" s="475">
        <f t="shared" si="525"/>
        <v>5452</v>
      </c>
      <c r="BA250" s="476">
        <f t="shared" si="526"/>
        <v>2.6900000000000004</v>
      </c>
      <c r="BB250" s="476">
        <f t="shared" si="527"/>
        <v>0</v>
      </c>
      <c r="BC250" s="478">
        <f t="shared" si="527"/>
        <v>2.6900000000000004</v>
      </c>
    </row>
    <row r="251" spans="1:55" s="234" customFormat="1" ht="12.75" customHeight="1" x14ac:dyDescent="0.2">
      <c r="A251" s="221">
        <v>44</v>
      </c>
      <c r="B251" s="222">
        <v>4489</v>
      </c>
      <c r="C251" s="222">
        <v>600075036</v>
      </c>
      <c r="D251" s="222">
        <v>72742607</v>
      </c>
      <c r="E251" s="220" t="s">
        <v>234</v>
      </c>
      <c r="F251" s="222">
        <v>3143</v>
      </c>
      <c r="G251" s="172" t="s">
        <v>626</v>
      </c>
      <c r="H251" s="239" t="s">
        <v>277</v>
      </c>
      <c r="I251" s="477">
        <v>689262</v>
      </c>
      <c r="J251" s="472">
        <v>497704</v>
      </c>
      <c r="K251" s="472">
        <v>10000</v>
      </c>
      <c r="L251" s="472">
        <v>171604</v>
      </c>
      <c r="M251" s="472">
        <v>9954</v>
      </c>
      <c r="N251" s="472">
        <v>0</v>
      </c>
      <c r="O251" s="473">
        <v>0.97</v>
      </c>
      <c r="P251" s="474">
        <v>0.97</v>
      </c>
      <c r="Q251" s="483">
        <v>0</v>
      </c>
      <c r="R251" s="485">
        <f t="shared" si="511"/>
        <v>0</v>
      </c>
      <c r="S251" s="475">
        <v>0</v>
      </c>
      <c r="T251" s="475">
        <v>0</v>
      </c>
      <c r="U251" s="475">
        <v>0</v>
      </c>
      <c r="V251" s="475">
        <v>0</v>
      </c>
      <c r="W251" s="475">
        <v>0</v>
      </c>
      <c r="X251" s="475">
        <f t="shared" si="415"/>
        <v>0</v>
      </c>
      <c r="Y251" s="475">
        <v>0</v>
      </c>
      <c r="Z251" s="475">
        <v>0</v>
      </c>
      <c r="AA251" s="475">
        <v>0</v>
      </c>
      <c r="AB251" s="475">
        <f t="shared" si="512"/>
        <v>0</v>
      </c>
      <c r="AC251" s="475">
        <f t="shared" si="513"/>
        <v>0</v>
      </c>
      <c r="AD251" s="70">
        <f t="shared" si="514"/>
        <v>0</v>
      </c>
      <c r="AE251" s="70">
        <f t="shared" si="515"/>
        <v>0</v>
      </c>
      <c r="AF251" s="475">
        <v>0</v>
      </c>
      <c r="AG251" s="475">
        <v>0</v>
      </c>
      <c r="AH251" s="475">
        <f t="shared" si="516"/>
        <v>0</v>
      </c>
      <c r="AI251" s="475">
        <f t="shared" si="517"/>
        <v>0</v>
      </c>
      <c r="AJ251" s="476">
        <v>0</v>
      </c>
      <c r="AK251" s="476">
        <v>0</v>
      </c>
      <c r="AL251" s="476">
        <v>0</v>
      </c>
      <c r="AM251" s="476">
        <v>0</v>
      </c>
      <c r="AN251" s="476">
        <v>0</v>
      </c>
      <c r="AO251" s="476">
        <v>0</v>
      </c>
      <c r="AP251" s="476">
        <v>0</v>
      </c>
      <c r="AQ251" s="476">
        <v>0</v>
      </c>
      <c r="AR251" s="476">
        <f t="shared" si="518"/>
        <v>0</v>
      </c>
      <c r="AS251" s="476">
        <f t="shared" si="519"/>
        <v>0</v>
      </c>
      <c r="AT251" s="478">
        <f t="shared" si="520"/>
        <v>0</v>
      </c>
      <c r="AU251" s="484">
        <f t="shared" si="521"/>
        <v>689262</v>
      </c>
      <c r="AV251" s="475">
        <f t="shared" si="522"/>
        <v>497704</v>
      </c>
      <c r="AW251" s="475">
        <f t="shared" si="523"/>
        <v>10000</v>
      </c>
      <c r="AX251" s="475">
        <f t="shared" si="524"/>
        <v>171604</v>
      </c>
      <c r="AY251" s="475">
        <f t="shared" si="524"/>
        <v>9954</v>
      </c>
      <c r="AZ251" s="475">
        <f t="shared" si="525"/>
        <v>0</v>
      </c>
      <c r="BA251" s="476">
        <f t="shared" si="526"/>
        <v>0.97</v>
      </c>
      <c r="BB251" s="476">
        <f t="shared" si="527"/>
        <v>0.97</v>
      </c>
      <c r="BC251" s="478">
        <f t="shared" si="527"/>
        <v>0</v>
      </c>
    </row>
    <row r="252" spans="1:55" s="234" customFormat="1" ht="12.75" customHeight="1" x14ac:dyDescent="0.2">
      <c r="A252" s="221">
        <v>44</v>
      </c>
      <c r="B252" s="222">
        <v>4489</v>
      </c>
      <c r="C252" s="222">
        <v>600075036</v>
      </c>
      <c r="D252" s="222">
        <v>72742607</v>
      </c>
      <c r="E252" s="220" t="s">
        <v>234</v>
      </c>
      <c r="F252" s="222">
        <v>3143</v>
      </c>
      <c r="G252" s="172" t="s">
        <v>627</v>
      </c>
      <c r="H252" s="239" t="s">
        <v>278</v>
      </c>
      <c r="I252" s="477">
        <v>18899</v>
      </c>
      <c r="J252" s="472">
        <v>13365</v>
      </c>
      <c r="K252" s="472">
        <v>0</v>
      </c>
      <c r="L252" s="472">
        <v>4517</v>
      </c>
      <c r="M252" s="472">
        <v>267</v>
      </c>
      <c r="N252" s="472">
        <v>750</v>
      </c>
      <c r="O252" s="473">
        <v>0.05</v>
      </c>
      <c r="P252" s="474">
        <v>0</v>
      </c>
      <c r="Q252" s="483">
        <v>0.05</v>
      </c>
      <c r="R252" s="485">
        <f t="shared" si="511"/>
        <v>0</v>
      </c>
      <c r="S252" s="475">
        <v>0</v>
      </c>
      <c r="T252" s="475">
        <v>0</v>
      </c>
      <c r="U252" s="475">
        <v>0</v>
      </c>
      <c r="V252" s="475">
        <v>0</v>
      </c>
      <c r="W252" s="475">
        <v>0</v>
      </c>
      <c r="X252" s="475">
        <f t="shared" si="415"/>
        <v>0</v>
      </c>
      <c r="Y252" s="475">
        <v>0</v>
      </c>
      <c r="Z252" s="475">
        <v>0</v>
      </c>
      <c r="AA252" s="475">
        <v>0</v>
      </c>
      <c r="AB252" s="475">
        <f t="shared" si="512"/>
        <v>0</v>
      </c>
      <c r="AC252" s="475">
        <f t="shared" si="513"/>
        <v>0</v>
      </c>
      <c r="AD252" s="70">
        <f t="shared" si="514"/>
        <v>0</v>
      </c>
      <c r="AE252" s="70">
        <f t="shared" si="515"/>
        <v>0</v>
      </c>
      <c r="AF252" s="475">
        <v>0</v>
      </c>
      <c r="AG252" s="475">
        <v>0</v>
      </c>
      <c r="AH252" s="475">
        <f t="shared" si="516"/>
        <v>0</v>
      </c>
      <c r="AI252" s="475">
        <f t="shared" si="517"/>
        <v>0</v>
      </c>
      <c r="AJ252" s="476">
        <v>0</v>
      </c>
      <c r="AK252" s="476">
        <v>0</v>
      </c>
      <c r="AL252" s="476">
        <v>0</v>
      </c>
      <c r="AM252" s="476">
        <v>0</v>
      </c>
      <c r="AN252" s="476">
        <v>0</v>
      </c>
      <c r="AO252" s="476">
        <v>0</v>
      </c>
      <c r="AP252" s="476">
        <v>0</v>
      </c>
      <c r="AQ252" s="476">
        <v>0</v>
      </c>
      <c r="AR252" s="476">
        <f t="shared" si="518"/>
        <v>0</v>
      </c>
      <c r="AS252" s="476">
        <f t="shared" si="519"/>
        <v>0</v>
      </c>
      <c r="AT252" s="478">
        <f t="shared" si="520"/>
        <v>0</v>
      </c>
      <c r="AU252" s="484">
        <f t="shared" si="521"/>
        <v>18899</v>
      </c>
      <c r="AV252" s="475">
        <f t="shared" si="522"/>
        <v>13365</v>
      </c>
      <c r="AW252" s="475">
        <f t="shared" si="523"/>
        <v>0</v>
      </c>
      <c r="AX252" s="475">
        <f t="shared" si="524"/>
        <v>4517</v>
      </c>
      <c r="AY252" s="475">
        <f t="shared" si="524"/>
        <v>267</v>
      </c>
      <c r="AZ252" s="475">
        <f t="shared" si="525"/>
        <v>750</v>
      </c>
      <c r="BA252" s="476">
        <f t="shared" si="526"/>
        <v>0.05</v>
      </c>
      <c r="BB252" s="476">
        <f t="shared" si="527"/>
        <v>0</v>
      </c>
      <c r="BC252" s="478">
        <f t="shared" si="527"/>
        <v>0.05</v>
      </c>
    </row>
    <row r="253" spans="1:55" s="234" customFormat="1" ht="12.75" customHeight="1" x14ac:dyDescent="0.2">
      <c r="A253" s="162">
        <v>44</v>
      </c>
      <c r="B253" s="18">
        <v>4489</v>
      </c>
      <c r="C253" s="18">
        <v>600075036</v>
      </c>
      <c r="D253" s="18">
        <v>72742607</v>
      </c>
      <c r="E253" s="171" t="s">
        <v>235</v>
      </c>
      <c r="F253" s="18"/>
      <c r="G253" s="161"/>
      <c r="H253" s="195"/>
      <c r="I253" s="529">
        <v>10951221</v>
      </c>
      <c r="J253" s="526">
        <v>7919504</v>
      </c>
      <c r="K253" s="526">
        <v>63000</v>
      </c>
      <c r="L253" s="526">
        <v>2698086</v>
      </c>
      <c r="M253" s="526">
        <v>158389</v>
      </c>
      <c r="N253" s="526">
        <v>112242</v>
      </c>
      <c r="O253" s="527">
        <v>18.703099999999999</v>
      </c>
      <c r="P253" s="527">
        <v>13.100800000000001</v>
      </c>
      <c r="Q253" s="531">
        <v>5.6022999999999996</v>
      </c>
      <c r="R253" s="529">
        <f t="shared" ref="R253:BC253" si="528">SUM(R247:R252)</f>
        <v>0</v>
      </c>
      <c r="S253" s="526">
        <f t="shared" si="528"/>
        <v>-362483</v>
      </c>
      <c r="T253" s="526">
        <f t="shared" si="528"/>
        <v>-1907</v>
      </c>
      <c r="U253" s="526">
        <f t="shared" si="528"/>
        <v>0</v>
      </c>
      <c r="V253" s="526">
        <f t="shared" si="528"/>
        <v>0</v>
      </c>
      <c r="W253" s="526">
        <f t="shared" si="528"/>
        <v>0</v>
      </c>
      <c r="X253" s="526">
        <f t="shared" si="528"/>
        <v>-364390</v>
      </c>
      <c r="Y253" s="526">
        <f t="shared" si="528"/>
        <v>0</v>
      </c>
      <c r="Z253" s="526">
        <f t="shared" si="528"/>
        <v>0</v>
      </c>
      <c r="AA253" s="526">
        <f t="shared" si="528"/>
        <v>0</v>
      </c>
      <c r="AB253" s="526">
        <f t="shared" si="528"/>
        <v>0</v>
      </c>
      <c r="AC253" s="526">
        <f t="shared" si="528"/>
        <v>-364390</v>
      </c>
      <c r="AD253" s="526">
        <f t="shared" si="528"/>
        <v>-123164</v>
      </c>
      <c r="AE253" s="526">
        <f t="shared" si="528"/>
        <v>-7288</v>
      </c>
      <c r="AF253" s="526">
        <f t="shared" si="528"/>
        <v>0</v>
      </c>
      <c r="AG253" s="526">
        <f t="shared" si="528"/>
        <v>0</v>
      </c>
      <c r="AH253" s="526">
        <f t="shared" si="528"/>
        <v>0</v>
      </c>
      <c r="AI253" s="526">
        <f t="shared" si="528"/>
        <v>-494842</v>
      </c>
      <c r="AJ253" s="527">
        <f t="shared" si="528"/>
        <v>0</v>
      </c>
      <c r="AK253" s="527">
        <f t="shared" si="528"/>
        <v>0</v>
      </c>
      <c r="AL253" s="527">
        <f t="shared" si="528"/>
        <v>-1.04</v>
      </c>
      <c r="AM253" s="527">
        <f t="shared" si="528"/>
        <v>0</v>
      </c>
      <c r="AN253" s="527">
        <f t="shared" si="528"/>
        <v>-0.01</v>
      </c>
      <c r="AO253" s="527">
        <f t="shared" si="528"/>
        <v>0</v>
      </c>
      <c r="AP253" s="527">
        <f t="shared" si="528"/>
        <v>0</v>
      </c>
      <c r="AQ253" s="527">
        <f t="shared" si="528"/>
        <v>0</v>
      </c>
      <c r="AR253" s="527">
        <f t="shared" si="528"/>
        <v>-1.04</v>
      </c>
      <c r="AS253" s="527">
        <f t="shared" si="528"/>
        <v>-0.01</v>
      </c>
      <c r="AT253" s="40">
        <f t="shared" si="528"/>
        <v>-1.05</v>
      </c>
      <c r="AU253" s="533">
        <f t="shared" si="528"/>
        <v>10456379</v>
      </c>
      <c r="AV253" s="526">
        <f t="shared" si="528"/>
        <v>7555114</v>
      </c>
      <c r="AW253" s="526">
        <f t="shared" si="528"/>
        <v>63000</v>
      </c>
      <c r="AX253" s="526">
        <f t="shared" si="528"/>
        <v>2574922</v>
      </c>
      <c r="AY253" s="526">
        <f t="shared" si="528"/>
        <v>151101</v>
      </c>
      <c r="AZ253" s="526">
        <f t="shared" si="528"/>
        <v>112242</v>
      </c>
      <c r="BA253" s="527">
        <f t="shared" si="528"/>
        <v>17.653100000000002</v>
      </c>
      <c r="BB253" s="527">
        <f t="shared" si="528"/>
        <v>12.060800000000002</v>
      </c>
      <c r="BC253" s="40">
        <f t="shared" si="528"/>
        <v>5.5922999999999998</v>
      </c>
    </row>
    <row r="254" spans="1:55" s="234" customFormat="1" ht="12.75" customHeight="1" x14ac:dyDescent="0.2">
      <c r="A254" s="221">
        <v>45</v>
      </c>
      <c r="B254" s="222">
        <v>4426</v>
      </c>
      <c r="C254" s="222">
        <v>600074129</v>
      </c>
      <c r="D254" s="222">
        <v>72742160</v>
      </c>
      <c r="E254" s="220" t="s">
        <v>236</v>
      </c>
      <c r="F254" s="222">
        <v>3111</v>
      </c>
      <c r="G254" s="172" t="s">
        <v>311</v>
      </c>
      <c r="H254" s="223" t="s">
        <v>277</v>
      </c>
      <c r="I254" s="477">
        <v>3313565</v>
      </c>
      <c r="J254" s="472">
        <v>2410492</v>
      </c>
      <c r="K254" s="472">
        <v>6768</v>
      </c>
      <c r="L254" s="472">
        <v>817034</v>
      </c>
      <c r="M254" s="472">
        <v>48210</v>
      </c>
      <c r="N254" s="472">
        <v>31061</v>
      </c>
      <c r="O254" s="473">
        <v>5.3898000000000001</v>
      </c>
      <c r="P254" s="474">
        <v>4</v>
      </c>
      <c r="Q254" s="483">
        <v>1.3898000000000001</v>
      </c>
      <c r="R254" s="485">
        <f t="shared" ref="R254:R255" si="529">Y254*-1</f>
        <v>0</v>
      </c>
      <c r="S254" s="475">
        <v>0</v>
      </c>
      <c r="T254" s="475">
        <v>0</v>
      </c>
      <c r="U254" s="475">
        <v>0</v>
      </c>
      <c r="V254" s="475">
        <v>0</v>
      </c>
      <c r="W254" s="475">
        <v>0</v>
      </c>
      <c r="X254" s="475">
        <f t="shared" si="415"/>
        <v>0</v>
      </c>
      <c r="Y254" s="475">
        <v>0</v>
      </c>
      <c r="Z254" s="475">
        <v>0</v>
      </c>
      <c r="AA254" s="475">
        <v>0</v>
      </c>
      <c r="AB254" s="475">
        <f t="shared" ref="AB254:AB255" si="530">SUM(Y254:AA254)</f>
        <v>0</v>
      </c>
      <c r="AC254" s="475">
        <f>X254+AB254</f>
        <v>0</v>
      </c>
      <c r="AD254" s="70">
        <f>ROUND((X254+Y254+Z254)*33.8%,0)</f>
        <v>0</v>
      </c>
      <c r="AE254" s="70">
        <f>ROUND(X254*2%,0)</f>
        <v>0</v>
      </c>
      <c r="AF254" s="475">
        <v>0</v>
      </c>
      <c r="AG254" s="475">
        <v>0</v>
      </c>
      <c r="AH254" s="475">
        <f t="shared" ref="AH254:AH255" si="531">SUM(AF254:AG254)</f>
        <v>0</v>
      </c>
      <c r="AI254" s="475">
        <f t="shared" ref="AI254:AI255" si="532">AC254+AD254+AE254+AH254</f>
        <v>0</v>
      </c>
      <c r="AJ254" s="476">
        <v>0</v>
      </c>
      <c r="AK254" s="476">
        <v>0</v>
      </c>
      <c r="AL254" s="476">
        <v>0</v>
      </c>
      <c r="AM254" s="476">
        <v>0</v>
      </c>
      <c r="AN254" s="476">
        <v>0</v>
      </c>
      <c r="AO254" s="476">
        <v>0</v>
      </c>
      <c r="AP254" s="476">
        <v>0</v>
      </c>
      <c r="AQ254" s="476">
        <v>0</v>
      </c>
      <c r="AR254" s="476">
        <f>AJ254+AL254+AM254+AO254+AP254</f>
        <v>0</v>
      </c>
      <c r="AS254" s="476">
        <f>AK254+AN254+AQ254</f>
        <v>0</v>
      </c>
      <c r="AT254" s="478">
        <f t="shared" ref="AT254:AT255" si="533">SUM(AR254:AS254)</f>
        <v>0</v>
      </c>
      <c r="AU254" s="484">
        <f>I254+AI254</f>
        <v>3313565</v>
      </c>
      <c r="AV254" s="475">
        <f>J254+X254</f>
        <v>2410492</v>
      </c>
      <c r="AW254" s="475">
        <f>K254+AB254</f>
        <v>6768</v>
      </c>
      <c r="AX254" s="475">
        <f>L254+AD254</f>
        <v>817034</v>
      </c>
      <c r="AY254" s="475">
        <f>M254+AE254</f>
        <v>48210</v>
      </c>
      <c r="AZ254" s="475">
        <f>N254+AH254</f>
        <v>31061</v>
      </c>
      <c r="BA254" s="476">
        <f>O254+AT254</f>
        <v>5.3898000000000001</v>
      </c>
      <c r="BB254" s="476">
        <f>P254+AR254</f>
        <v>4</v>
      </c>
      <c r="BC254" s="478">
        <f>Q254+AS254</f>
        <v>1.3898000000000001</v>
      </c>
    </row>
    <row r="255" spans="1:55" s="234" customFormat="1" ht="12.75" customHeight="1" x14ac:dyDescent="0.2">
      <c r="A255" s="221">
        <v>45</v>
      </c>
      <c r="B255" s="222">
        <v>4426</v>
      </c>
      <c r="C255" s="222">
        <v>600074129</v>
      </c>
      <c r="D255" s="222">
        <v>72742160</v>
      </c>
      <c r="E255" s="220" t="s">
        <v>236</v>
      </c>
      <c r="F255" s="222">
        <v>3141</v>
      </c>
      <c r="G255" s="172" t="s">
        <v>315</v>
      </c>
      <c r="H255" s="223" t="s">
        <v>278</v>
      </c>
      <c r="I255" s="477">
        <v>478803</v>
      </c>
      <c r="J255" s="472">
        <v>347131</v>
      </c>
      <c r="K255" s="472">
        <v>4230</v>
      </c>
      <c r="L255" s="472">
        <v>118760</v>
      </c>
      <c r="M255" s="472">
        <v>6942</v>
      </c>
      <c r="N255" s="472">
        <v>1740</v>
      </c>
      <c r="O255" s="473">
        <v>1.1100000000000001</v>
      </c>
      <c r="P255" s="474">
        <v>0</v>
      </c>
      <c r="Q255" s="483">
        <v>1.1100000000000001</v>
      </c>
      <c r="R255" s="485">
        <f t="shared" si="529"/>
        <v>0</v>
      </c>
      <c r="S255" s="475">
        <v>0</v>
      </c>
      <c r="T255" s="475">
        <v>-11879</v>
      </c>
      <c r="U255" s="475">
        <v>0</v>
      </c>
      <c r="V255" s="475">
        <v>0</v>
      </c>
      <c r="W255" s="475">
        <v>0</v>
      </c>
      <c r="X255" s="475">
        <f t="shared" si="415"/>
        <v>-11879</v>
      </c>
      <c r="Y255" s="475">
        <v>0</v>
      </c>
      <c r="Z255" s="475">
        <v>0</v>
      </c>
      <c r="AA255" s="475">
        <v>0</v>
      </c>
      <c r="AB255" s="475">
        <f t="shared" si="530"/>
        <v>0</v>
      </c>
      <c r="AC255" s="475">
        <f>X255+AB255</f>
        <v>-11879</v>
      </c>
      <c r="AD255" s="70">
        <f>ROUND((X255+Y255+Z255)*33.8%,0)</f>
        <v>-4015</v>
      </c>
      <c r="AE255" s="70">
        <f>ROUND(X255*2%,0)</f>
        <v>-238</v>
      </c>
      <c r="AF255" s="475">
        <v>0</v>
      </c>
      <c r="AG255" s="475">
        <v>0</v>
      </c>
      <c r="AH255" s="475">
        <f t="shared" si="531"/>
        <v>0</v>
      </c>
      <c r="AI255" s="475">
        <f t="shared" si="532"/>
        <v>-16132</v>
      </c>
      <c r="AJ255" s="476">
        <v>0</v>
      </c>
      <c r="AK255" s="476">
        <v>0</v>
      </c>
      <c r="AL255" s="476">
        <v>0</v>
      </c>
      <c r="AM255" s="476">
        <v>0</v>
      </c>
      <c r="AN255" s="476">
        <v>-0.04</v>
      </c>
      <c r="AO255" s="476">
        <v>0</v>
      </c>
      <c r="AP255" s="476">
        <v>0</v>
      </c>
      <c r="AQ255" s="476">
        <v>0</v>
      </c>
      <c r="AR255" s="476">
        <f>AJ255+AL255+AM255+AO255+AP255</f>
        <v>0</v>
      </c>
      <c r="AS255" s="476">
        <f>AK255+AN255+AQ255</f>
        <v>-0.04</v>
      </c>
      <c r="AT255" s="478">
        <f t="shared" si="533"/>
        <v>-0.04</v>
      </c>
      <c r="AU255" s="484">
        <f>I255+AI255</f>
        <v>462671</v>
      </c>
      <c r="AV255" s="475">
        <f>J255+X255</f>
        <v>335252</v>
      </c>
      <c r="AW255" s="475">
        <f>K255+AB255</f>
        <v>4230</v>
      </c>
      <c r="AX255" s="475">
        <f>L255+AD255</f>
        <v>114745</v>
      </c>
      <c r="AY255" s="475">
        <f>M255+AE255</f>
        <v>6704</v>
      </c>
      <c r="AZ255" s="475">
        <f>N255+AH255</f>
        <v>1740</v>
      </c>
      <c r="BA255" s="476">
        <f>O255+AT255</f>
        <v>1.07</v>
      </c>
      <c r="BB255" s="476">
        <f>P255+AR255</f>
        <v>0</v>
      </c>
      <c r="BC255" s="478">
        <f>Q255+AS255</f>
        <v>1.07</v>
      </c>
    </row>
    <row r="256" spans="1:55" s="234" customFormat="1" ht="12.75" customHeight="1" x14ac:dyDescent="0.2">
      <c r="A256" s="162">
        <v>45</v>
      </c>
      <c r="B256" s="18">
        <v>4426</v>
      </c>
      <c r="C256" s="18">
        <v>600074129</v>
      </c>
      <c r="D256" s="18">
        <v>72742160</v>
      </c>
      <c r="E256" s="171" t="s">
        <v>237</v>
      </c>
      <c r="F256" s="18"/>
      <c r="G256" s="161"/>
      <c r="H256" s="195"/>
      <c r="I256" s="528">
        <v>3792368</v>
      </c>
      <c r="J256" s="524">
        <v>2757623</v>
      </c>
      <c r="K256" s="524">
        <v>10998</v>
      </c>
      <c r="L256" s="524">
        <v>935794</v>
      </c>
      <c r="M256" s="524">
        <v>55152</v>
      </c>
      <c r="N256" s="524">
        <v>32801</v>
      </c>
      <c r="O256" s="525">
        <v>6.4998000000000005</v>
      </c>
      <c r="P256" s="525">
        <v>4</v>
      </c>
      <c r="Q256" s="530">
        <v>2.4998000000000005</v>
      </c>
      <c r="R256" s="528">
        <f t="shared" ref="R256:BC256" si="534">SUM(R254:R255)</f>
        <v>0</v>
      </c>
      <c r="S256" s="524">
        <f t="shared" si="534"/>
        <v>0</v>
      </c>
      <c r="T256" s="524">
        <f t="shared" si="534"/>
        <v>-11879</v>
      </c>
      <c r="U256" s="524">
        <f t="shared" si="534"/>
        <v>0</v>
      </c>
      <c r="V256" s="524">
        <f t="shared" si="534"/>
        <v>0</v>
      </c>
      <c r="W256" s="524">
        <f t="shared" si="534"/>
        <v>0</v>
      </c>
      <c r="X256" s="524">
        <f t="shared" si="534"/>
        <v>-11879</v>
      </c>
      <c r="Y256" s="524">
        <f t="shared" si="534"/>
        <v>0</v>
      </c>
      <c r="Z256" s="524">
        <f t="shared" si="534"/>
        <v>0</v>
      </c>
      <c r="AA256" s="524">
        <f t="shared" si="534"/>
        <v>0</v>
      </c>
      <c r="AB256" s="524">
        <f t="shared" si="534"/>
        <v>0</v>
      </c>
      <c r="AC256" s="524">
        <f t="shared" si="534"/>
        <v>-11879</v>
      </c>
      <c r="AD256" s="524">
        <f t="shared" si="534"/>
        <v>-4015</v>
      </c>
      <c r="AE256" s="524">
        <f t="shared" si="534"/>
        <v>-238</v>
      </c>
      <c r="AF256" s="524">
        <f t="shared" si="534"/>
        <v>0</v>
      </c>
      <c r="AG256" s="524">
        <f t="shared" si="534"/>
        <v>0</v>
      </c>
      <c r="AH256" s="524">
        <f t="shared" si="534"/>
        <v>0</v>
      </c>
      <c r="AI256" s="524">
        <f t="shared" si="534"/>
        <v>-16132</v>
      </c>
      <c r="AJ256" s="525">
        <f t="shared" si="534"/>
        <v>0</v>
      </c>
      <c r="AK256" s="525">
        <f t="shared" si="534"/>
        <v>0</v>
      </c>
      <c r="AL256" s="525">
        <f t="shared" si="534"/>
        <v>0</v>
      </c>
      <c r="AM256" s="525">
        <f t="shared" si="534"/>
        <v>0</v>
      </c>
      <c r="AN256" s="525">
        <f t="shared" si="534"/>
        <v>-0.04</v>
      </c>
      <c r="AO256" s="525">
        <f t="shared" si="534"/>
        <v>0</v>
      </c>
      <c r="AP256" s="525">
        <f t="shared" si="534"/>
        <v>0</v>
      </c>
      <c r="AQ256" s="525">
        <f t="shared" si="534"/>
        <v>0</v>
      </c>
      <c r="AR256" s="525">
        <f t="shared" si="534"/>
        <v>0</v>
      </c>
      <c r="AS256" s="525">
        <f t="shared" si="534"/>
        <v>-0.04</v>
      </c>
      <c r="AT256" s="41">
        <f t="shared" si="534"/>
        <v>-0.04</v>
      </c>
      <c r="AU256" s="532">
        <f t="shared" si="534"/>
        <v>3776236</v>
      </c>
      <c r="AV256" s="524">
        <f t="shared" si="534"/>
        <v>2745744</v>
      </c>
      <c r="AW256" s="524">
        <f t="shared" si="534"/>
        <v>10998</v>
      </c>
      <c r="AX256" s="524">
        <f t="shared" si="534"/>
        <v>931779</v>
      </c>
      <c r="AY256" s="524">
        <f t="shared" si="534"/>
        <v>54914</v>
      </c>
      <c r="AZ256" s="524">
        <f t="shared" si="534"/>
        <v>32801</v>
      </c>
      <c r="BA256" s="525">
        <f t="shared" si="534"/>
        <v>6.4598000000000004</v>
      </c>
      <c r="BB256" s="525">
        <f t="shared" si="534"/>
        <v>4</v>
      </c>
      <c r="BC256" s="41">
        <f t="shared" si="534"/>
        <v>2.4598000000000004</v>
      </c>
    </row>
    <row r="257" spans="1:55" s="234" customFormat="1" ht="12.75" customHeight="1" x14ac:dyDescent="0.2">
      <c r="A257" s="221">
        <v>46</v>
      </c>
      <c r="B257" s="222">
        <v>4461</v>
      </c>
      <c r="C257" s="222">
        <v>600074765</v>
      </c>
      <c r="D257" s="222">
        <v>46750088</v>
      </c>
      <c r="E257" s="220" t="s">
        <v>238</v>
      </c>
      <c r="F257" s="222">
        <v>3111</v>
      </c>
      <c r="G257" s="172" t="s">
        <v>311</v>
      </c>
      <c r="H257" s="223" t="s">
        <v>277</v>
      </c>
      <c r="I257" s="477">
        <v>9170314</v>
      </c>
      <c r="J257" s="472">
        <v>6709730</v>
      </c>
      <c r="K257" s="472">
        <v>0</v>
      </c>
      <c r="L257" s="472">
        <v>2267889</v>
      </c>
      <c r="M257" s="472">
        <v>134195</v>
      </c>
      <c r="N257" s="472">
        <v>58500</v>
      </c>
      <c r="O257" s="473">
        <v>14.739000000000001</v>
      </c>
      <c r="P257" s="474">
        <v>11.673500000000001</v>
      </c>
      <c r="Q257" s="483">
        <v>3.0655000000000001</v>
      </c>
      <c r="R257" s="485">
        <f t="shared" ref="R257:R262" si="535">Y257*-1</f>
        <v>0</v>
      </c>
      <c r="S257" s="475">
        <v>0</v>
      </c>
      <c r="T257" s="475">
        <v>0</v>
      </c>
      <c r="U257" s="475">
        <v>0</v>
      </c>
      <c r="V257" s="475">
        <v>0</v>
      </c>
      <c r="W257" s="475">
        <v>0</v>
      </c>
      <c r="X257" s="475">
        <f t="shared" si="415"/>
        <v>0</v>
      </c>
      <c r="Y257" s="475">
        <v>0</v>
      </c>
      <c r="Z257" s="475">
        <v>0</v>
      </c>
      <c r="AA257" s="475">
        <v>0</v>
      </c>
      <c r="AB257" s="475">
        <f t="shared" ref="AB257:AB262" si="536">SUM(Y257:AA257)</f>
        <v>0</v>
      </c>
      <c r="AC257" s="475">
        <f t="shared" ref="AC257:AC262" si="537">X257+AB257</f>
        <v>0</v>
      </c>
      <c r="AD257" s="70">
        <f t="shared" ref="AD257:AD262" si="538">ROUND((X257+Y257+Z257)*33.8%,0)</f>
        <v>0</v>
      </c>
      <c r="AE257" s="70">
        <f t="shared" ref="AE257:AE262" si="539">ROUND(X257*2%,0)</f>
        <v>0</v>
      </c>
      <c r="AF257" s="475">
        <v>0</v>
      </c>
      <c r="AG257" s="475">
        <v>0</v>
      </c>
      <c r="AH257" s="475">
        <f t="shared" ref="AH257:AH262" si="540">SUM(AF257:AG257)</f>
        <v>0</v>
      </c>
      <c r="AI257" s="475">
        <f t="shared" ref="AI257:AI262" si="541">AC257+AD257+AE257+AH257</f>
        <v>0</v>
      </c>
      <c r="AJ257" s="476">
        <v>0</v>
      </c>
      <c r="AK257" s="476">
        <v>0</v>
      </c>
      <c r="AL257" s="476">
        <v>0</v>
      </c>
      <c r="AM257" s="476">
        <v>0</v>
      </c>
      <c r="AN257" s="476">
        <v>0</v>
      </c>
      <c r="AO257" s="476">
        <v>0</v>
      </c>
      <c r="AP257" s="476">
        <v>0</v>
      </c>
      <c r="AQ257" s="476">
        <v>0</v>
      </c>
      <c r="AR257" s="476">
        <f t="shared" ref="AR257:AR262" si="542">AJ257+AL257+AM257+AO257+AP257</f>
        <v>0</v>
      </c>
      <c r="AS257" s="476">
        <f t="shared" ref="AS257:AS262" si="543">AK257+AN257+AQ257</f>
        <v>0</v>
      </c>
      <c r="AT257" s="478">
        <f t="shared" ref="AT257:AT262" si="544">SUM(AR257:AS257)</f>
        <v>0</v>
      </c>
      <c r="AU257" s="484">
        <f t="shared" ref="AU257:AU262" si="545">I257+AI257</f>
        <v>9170314</v>
      </c>
      <c r="AV257" s="475">
        <f t="shared" ref="AV257:AV262" si="546">J257+X257</f>
        <v>6709730</v>
      </c>
      <c r="AW257" s="475">
        <f t="shared" ref="AW257:AW262" si="547">K257+AB257</f>
        <v>0</v>
      </c>
      <c r="AX257" s="475">
        <f t="shared" ref="AX257:AY262" si="548">L257+AD257</f>
        <v>2267889</v>
      </c>
      <c r="AY257" s="475">
        <f t="shared" si="548"/>
        <v>134195</v>
      </c>
      <c r="AZ257" s="475">
        <f t="shared" ref="AZ257:AZ262" si="549">N257+AH257</f>
        <v>58500</v>
      </c>
      <c r="BA257" s="476">
        <f t="shared" ref="BA257:BA262" si="550">O257+AT257</f>
        <v>14.739000000000001</v>
      </c>
      <c r="BB257" s="476">
        <f t="shared" ref="BB257:BC262" si="551">P257+AR257</f>
        <v>11.673500000000001</v>
      </c>
      <c r="BC257" s="478">
        <f t="shared" si="551"/>
        <v>3.0655000000000001</v>
      </c>
    </row>
    <row r="258" spans="1:55" s="234" customFormat="1" ht="12.75" customHeight="1" x14ac:dyDescent="0.2">
      <c r="A258" s="221">
        <v>46</v>
      </c>
      <c r="B258" s="222">
        <v>4461</v>
      </c>
      <c r="C258" s="222">
        <v>600074765</v>
      </c>
      <c r="D258" s="222">
        <v>46750088</v>
      </c>
      <c r="E258" s="220" t="s">
        <v>238</v>
      </c>
      <c r="F258" s="222">
        <v>3113</v>
      </c>
      <c r="G258" s="172" t="s">
        <v>314</v>
      </c>
      <c r="H258" s="223" t="s">
        <v>277</v>
      </c>
      <c r="I258" s="477">
        <v>26956550</v>
      </c>
      <c r="J258" s="472">
        <v>19107326</v>
      </c>
      <c r="K258" s="472">
        <v>282200</v>
      </c>
      <c r="L258" s="472">
        <v>6553659</v>
      </c>
      <c r="M258" s="472">
        <v>382145</v>
      </c>
      <c r="N258" s="472">
        <v>631220</v>
      </c>
      <c r="O258" s="473">
        <v>34.0794</v>
      </c>
      <c r="P258" s="474">
        <v>25.9236</v>
      </c>
      <c r="Q258" s="483">
        <v>8.1557999999999993</v>
      </c>
      <c r="R258" s="485">
        <f t="shared" si="535"/>
        <v>0</v>
      </c>
      <c r="S258" s="475">
        <v>0</v>
      </c>
      <c r="T258" s="475">
        <v>240672</v>
      </c>
      <c r="U258" s="475">
        <v>-24648</v>
      </c>
      <c r="V258" s="475">
        <v>0</v>
      </c>
      <c r="W258" s="475">
        <v>0</v>
      </c>
      <c r="X258" s="475">
        <f t="shared" si="415"/>
        <v>216024</v>
      </c>
      <c r="Y258" s="475">
        <v>0</v>
      </c>
      <c r="Z258" s="475">
        <v>0</v>
      </c>
      <c r="AA258" s="475">
        <v>0</v>
      </c>
      <c r="AB258" s="475">
        <f t="shared" si="536"/>
        <v>0</v>
      </c>
      <c r="AC258" s="475">
        <f t="shared" si="537"/>
        <v>216024</v>
      </c>
      <c r="AD258" s="70">
        <f t="shared" si="538"/>
        <v>73016</v>
      </c>
      <c r="AE258" s="70">
        <f t="shared" si="539"/>
        <v>4320</v>
      </c>
      <c r="AF258" s="475">
        <v>0</v>
      </c>
      <c r="AG258" s="475">
        <v>0</v>
      </c>
      <c r="AH258" s="475">
        <f t="shared" si="540"/>
        <v>0</v>
      </c>
      <c r="AI258" s="475">
        <f t="shared" si="541"/>
        <v>293360</v>
      </c>
      <c r="AJ258" s="476">
        <v>0</v>
      </c>
      <c r="AK258" s="476">
        <v>0</v>
      </c>
      <c r="AL258" s="476">
        <v>0</v>
      </c>
      <c r="AM258" s="476">
        <v>0.38</v>
      </c>
      <c r="AN258" s="476">
        <v>0</v>
      </c>
      <c r="AO258" s="476">
        <v>-0.04</v>
      </c>
      <c r="AP258" s="476">
        <v>0</v>
      </c>
      <c r="AQ258" s="476">
        <v>0</v>
      </c>
      <c r="AR258" s="476">
        <f t="shared" si="542"/>
        <v>0.34</v>
      </c>
      <c r="AS258" s="476">
        <f t="shared" si="543"/>
        <v>0</v>
      </c>
      <c r="AT258" s="478">
        <f t="shared" si="544"/>
        <v>0.34</v>
      </c>
      <c r="AU258" s="484">
        <f t="shared" si="545"/>
        <v>27249910</v>
      </c>
      <c r="AV258" s="475">
        <f t="shared" si="546"/>
        <v>19323350</v>
      </c>
      <c r="AW258" s="475">
        <f t="shared" si="547"/>
        <v>282200</v>
      </c>
      <c r="AX258" s="475">
        <f t="shared" si="548"/>
        <v>6626675</v>
      </c>
      <c r="AY258" s="475">
        <f t="shared" si="548"/>
        <v>386465</v>
      </c>
      <c r="AZ258" s="475">
        <f t="shared" si="549"/>
        <v>631220</v>
      </c>
      <c r="BA258" s="476">
        <f t="shared" si="550"/>
        <v>34.419400000000003</v>
      </c>
      <c r="BB258" s="476">
        <f t="shared" si="551"/>
        <v>26.2636</v>
      </c>
      <c r="BC258" s="478">
        <f t="shared" si="551"/>
        <v>8.1557999999999993</v>
      </c>
    </row>
    <row r="259" spans="1:55" s="234" customFormat="1" ht="12.75" customHeight="1" x14ac:dyDescent="0.2">
      <c r="A259" s="221">
        <v>46</v>
      </c>
      <c r="B259" s="222">
        <v>4461</v>
      </c>
      <c r="C259" s="222">
        <v>600074765</v>
      </c>
      <c r="D259" s="222">
        <v>46750088</v>
      </c>
      <c r="E259" s="220" t="s">
        <v>238</v>
      </c>
      <c r="F259" s="222">
        <v>3113</v>
      </c>
      <c r="G259" s="172" t="s">
        <v>312</v>
      </c>
      <c r="H259" s="223" t="s">
        <v>278</v>
      </c>
      <c r="I259" s="477">
        <v>1723994</v>
      </c>
      <c r="J259" s="472">
        <v>1260673</v>
      </c>
      <c r="K259" s="472">
        <v>0</v>
      </c>
      <c r="L259" s="472">
        <v>426108</v>
      </c>
      <c r="M259" s="472">
        <v>25213</v>
      </c>
      <c r="N259" s="472">
        <v>12000</v>
      </c>
      <c r="O259" s="473">
        <v>3.6399999999999997</v>
      </c>
      <c r="P259" s="474">
        <v>3.6399999999999997</v>
      </c>
      <c r="Q259" s="483">
        <v>0</v>
      </c>
      <c r="R259" s="485">
        <f t="shared" si="535"/>
        <v>0</v>
      </c>
      <c r="S259" s="475">
        <v>0</v>
      </c>
      <c r="T259" s="475">
        <v>0</v>
      </c>
      <c r="U259" s="475">
        <v>0</v>
      </c>
      <c r="V259" s="475">
        <v>0</v>
      </c>
      <c r="W259" s="475">
        <v>0</v>
      </c>
      <c r="X259" s="475">
        <f t="shared" si="415"/>
        <v>0</v>
      </c>
      <c r="Y259" s="475">
        <v>0</v>
      </c>
      <c r="Z259" s="475">
        <v>0</v>
      </c>
      <c r="AA259" s="475">
        <v>0</v>
      </c>
      <c r="AB259" s="475">
        <f t="shared" si="536"/>
        <v>0</v>
      </c>
      <c r="AC259" s="475">
        <f t="shared" si="537"/>
        <v>0</v>
      </c>
      <c r="AD259" s="70">
        <f t="shared" si="538"/>
        <v>0</v>
      </c>
      <c r="AE259" s="70">
        <f t="shared" si="539"/>
        <v>0</v>
      </c>
      <c r="AF259" s="475">
        <v>0</v>
      </c>
      <c r="AG259" s="475">
        <v>0</v>
      </c>
      <c r="AH259" s="475">
        <f t="shared" si="540"/>
        <v>0</v>
      </c>
      <c r="AI259" s="475">
        <f t="shared" si="541"/>
        <v>0</v>
      </c>
      <c r="AJ259" s="476">
        <v>0</v>
      </c>
      <c r="AK259" s="476">
        <v>0</v>
      </c>
      <c r="AL259" s="476">
        <v>0</v>
      </c>
      <c r="AM259" s="476">
        <v>0</v>
      </c>
      <c r="AN259" s="476">
        <v>0</v>
      </c>
      <c r="AO259" s="476">
        <v>0</v>
      </c>
      <c r="AP259" s="476">
        <v>0</v>
      </c>
      <c r="AQ259" s="476">
        <v>0</v>
      </c>
      <c r="AR259" s="476">
        <f t="shared" si="542"/>
        <v>0</v>
      </c>
      <c r="AS259" s="476">
        <f t="shared" si="543"/>
        <v>0</v>
      </c>
      <c r="AT259" s="478">
        <f t="shared" si="544"/>
        <v>0</v>
      </c>
      <c r="AU259" s="484">
        <f t="shared" si="545"/>
        <v>1723994</v>
      </c>
      <c r="AV259" s="475">
        <f t="shared" si="546"/>
        <v>1260673</v>
      </c>
      <c r="AW259" s="475">
        <f t="shared" si="547"/>
        <v>0</v>
      </c>
      <c r="AX259" s="475">
        <f t="shared" si="548"/>
        <v>426108</v>
      </c>
      <c r="AY259" s="475">
        <f t="shared" si="548"/>
        <v>25213</v>
      </c>
      <c r="AZ259" s="475">
        <f t="shared" si="549"/>
        <v>12000</v>
      </c>
      <c r="BA259" s="476">
        <f t="shared" si="550"/>
        <v>3.6399999999999997</v>
      </c>
      <c r="BB259" s="476">
        <f t="shared" si="551"/>
        <v>3.6399999999999997</v>
      </c>
      <c r="BC259" s="478">
        <f t="shared" si="551"/>
        <v>0</v>
      </c>
    </row>
    <row r="260" spans="1:55" s="234" customFormat="1" ht="12.75" customHeight="1" x14ac:dyDescent="0.2">
      <c r="A260" s="221">
        <v>46</v>
      </c>
      <c r="B260" s="222">
        <v>4461</v>
      </c>
      <c r="C260" s="222">
        <v>600074765</v>
      </c>
      <c r="D260" s="222">
        <v>46750088</v>
      </c>
      <c r="E260" s="215" t="s">
        <v>238</v>
      </c>
      <c r="F260" s="222">
        <v>3141</v>
      </c>
      <c r="G260" s="172" t="s">
        <v>315</v>
      </c>
      <c r="H260" s="223" t="s">
        <v>278</v>
      </c>
      <c r="I260" s="477">
        <v>3238284</v>
      </c>
      <c r="J260" s="472">
        <v>2334561</v>
      </c>
      <c r="K260" s="472">
        <v>32000</v>
      </c>
      <c r="L260" s="472">
        <v>799898</v>
      </c>
      <c r="M260" s="472">
        <v>46691</v>
      </c>
      <c r="N260" s="472">
        <v>25134</v>
      </c>
      <c r="O260" s="473">
        <v>7.45</v>
      </c>
      <c r="P260" s="474">
        <v>0</v>
      </c>
      <c r="Q260" s="483">
        <v>7.45</v>
      </c>
      <c r="R260" s="485">
        <f t="shared" si="535"/>
        <v>0</v>
      </c>
      <c r="S260" s="475">
        <v>0</v>
      </c>
      <c r="T260" s="475">
        <v>-16734</v>
      </c>
      <c r="U260" s="475">
        <v>0</v>
      </c>
      <c r="V260" s="475">
        <v>0</v>
      </c>
      <c r="W260" s="475">
        <v>0</v>
      </c>
      <c r="X260" s="475">
        <f t="shared" si="415"/>
        <v>-16734</v>
      </c>
      <c r="Y260" s="475">
        <v>0</v>
      </c>
      <c r="Z260" s="475">
        <v>0</v>
      </c>
      <c r="AA260" s="475">
        <v>0</v>
      </c>
      <c r="AB260" s="475">
        <f t="shared" si="536"/>
        <v>0</v>
      </c>
      <c r="AC260" s="475">
        <f t="shared" si="537"/>
        <v>-16734</v>
      </c>
      <c r="AD260" s="70">
        <f t="shared" si="538"/>
        <v>-5656</v>
      </c>
      <c r="AE260" s="70">
        <f t="shared" si="539"/>
        <v>-335</v>
      </c>
      <c r="AF260" s="475">
        <v>0</v>
      </c>
      <c r="AG260" s="475">
        <v>0</v>
      </c>
      <c r="AH260" s="475">
        <f t="shared" si="540"/>
        <v>0</v>
      </c>
      <c r="AI260" s="475">
        <f t="shared" si="541"/>
        <v>-22725</v>
      </c>
      <c r="AJ260" s="476">
        <v>0</v>
      </c>
      <c r="AK260" s="476">
        <v>0</v>
      </c>
      <c r="AL260" s="476">
        <v>0</v>
      </c>
      <c r="AM260" s="476">
        <v>0</v>
      </c>
      <c r="AN260" s="476">
        <v>-0.05</v>
      </c>
      <c r="AO260" s="476">
        <v>0</v>
      </c>
      <c r="AP260" s="476">
        <v>0</v>
      </c>
      <c r="AQ260" s="476">
        <v>0</v>
      </c>
      <c r="AR260" s="476">
        <f t="shared" si="542"/>
        <v>0</v>
      </c>
      <c r="AS260" s="476">
        <f t="shared" si="543"/>
        <v>-0.05</v>
      </c>
      <c r="AT260" s="478">
        <f t="shared" si="544"/>
        <v>-0.05</v>
      </c>
      <c r="AU260" s="484">
        <f t="shared" si="545"/>
        <v>3215559</v>
      </c>
      <c r="AV260" s="475">
        <f t="shared" si="546"/>
        <v>2317827</v>
      </c>
      <c r="AW260" s="475">
        <f t="shared" si="547"/>
        <v>32000</v>
      </c>
      <c r="AX260" s="475">
        <f t="shared" si="548"/>
        <v>794242</v>
      </c>
      <c r="AY260" s="475">
        <f t="shared" si="548"/>
        <v>46356</v>
      </c>
      <c r="AZ260" s="475">
        <f t="shared" si="549"/>
        <v>25134</v>
      </c>
      <c r="BA260" s="476">
        <f t="shared" si="550"/>
        <v>7.4</v>
      </c>
      <c r="BB260" s="476">
        <f t="shared" si="551"/>
        <v>0</v>
      </c>
      <c r="BC260" s="478">
        <f t="shared" si="551"/>
        <v>7.4</v>
      </c>
    </row>
    <row r="261" spans="1:55" s="234" customFormat="1" ht="12.75" customHeight="1" x14ac:dyDescent="0.2">
      <c r="A261" s="221">
        <v>46</v>
      </c>
      <c r="B261" s="222">
        <v>4461</v>
      </c>
      <c r="C261" s="222">
        <v>600074765</v>
      </c>
      <c r="D261" s="222">
        <v>46750088</v>
      </c>
      <c r="E261" s="220" t="s">
        <v>238</v>
      </c>
      <c r="F261" s="222">
        <v>3143</v>
      </c>
      <c r="G261" s="172" t="s">
        <v>626</v>
      </c>
      <c r="H261" s="239" t="s">
        <v>277</v>
      </c>
      <c r="I261" s="477">
        <v>2084723</v>
      </c>
      <c r="J261" s="472">
        <v>1521151</v>
      </c>
      <c r="K261" s="472">
        <v>14200</v>
      </c>
      <c r="L261" s="472">
        <v>518949</v>
      </c>
      <c r="M261" s="472">
        <v>30423</v>
      </c>
      <c r="N261" s="472">
        <v>0</v>
      </c>
      <c r="O261" s="473">
        <v>3.3214000000000001</v>
      </c>
      <c r="P261" s="474">
        <v>3.3214000000000001</v>
      </c>
      <c r="Q261" s="483">
        <v>0</v>
      </c>
      <c r="R261" s="485">
        <f t="shared" si="535"/>
        <v>0</v>
      </c>
      <c r="S261" s="475">
        <v>0</v>
      </c>
      <c r="T261" s="475">
        <v>0</v>
      </c>
      <c r="U261" s="475">
        <v>0</v>
      </c>
      <c r="V261" s="475">
        <v>0</v>
      </c>
      <c r="W261" s="475">
        <v>0</v>
      </c>
      <c r="X261" s="475">
        <f t="shared" si="415"/>
        <v>0</v>
      </c>
      <c r="Y261" s="475">
        <v>0</v>
      </c>
      <c r="Z261" s="475">
        <v>0</v>
      </c>
      <c r="AA261" s="475">
        <v>0</v>
      </c>
      <c r="AB261" s="475">
        <f t="shared" si="536"/>
        <v>0</v>
      </c>
      <c r="AC261" s="475">
        <f t="shared" si="537"/>
        <v>0</v>
      </c>
      <c r="AD261" s="70">
        <f t="shared" si="538"/>
        <v>0</v>
      </c>
      <c r="AE261" s="70">
        <f t="shared" si="539"/>
        <v>0</v>
      </c>
      <c r="AF261" s="475">
        <v>0</v>
      </c>
      <c r="AG261" s="475">
        <v>0</v>
      </c>
      <c r="AH261" s="475">
        <f t="shared" si="540"/>
        <v>0</v>
      </c>
      <c r="AI261" s="475">
        <f t="shared" si="541"/>
        <v>0</v>
      </c>
      <c r="AJ261" s="476">
        <v>0</v>
      </c>
      <c r="AK261" s="476">
        <v>0</v>
      </c>
      <c r="AL261" s="476">
        <v>0</v>
      </c>
      <c r="AM261" s="476">
        <v>0</v>
      </c>
      <c r="AN261" s="476">
        <v>0</v>
      </c>
      <c r="AO261" s="476">
        <v>0</v>
      </c>
      <c r="AP261" s="476">
        <v>0</v>
      </c>
      <c r="AQ261" s="476">
        <v>0</v>
      </c>
      <c r="AR261" s="476">
        <f t="shared" si="542"/>
        <v>0</v>
      </c>
      <c r="AS261" s="476">
        <f t="shared" si="543"/>
        <v>0</v>
      </c>
      <c r="AT261" s="478">
        <f t="shared" si="544"/>
        <v>0</v>
      </c>
      <c r="AU261" s="484">
        <f t="shared" si="545"/>
        <v>2084723</v>
      </c>
      <c r="AV261" s="475">
        <f t="shared" si="546"/>
        <v>1521151</v>
      </c>
      <c r="AW261" s="475">
        <f t="shared" si="547"/>
        <v>14200</v>
      </c>
      <c r="AX261" s="475">
        <f t="shared" si="548"/>
        <v>518949</v>
      </c>
      <c r="AY261" s="475">
        <f t="shared" si="548"/>
        <v>30423</v>
      </c>
      <c r="AZ261" s="475">
        <f t="shared" si="549"/>
        <v>0</v>
      </c>
      <c r="BA261" s="476">
        <f t="shared" si="550"/>
        <v>3.3214000000000001</v>
      </c>
      <c r="BB261" s="476">
        <f t="shared" si="551"/>
        <v>3.3214000000000001</v>
      </c>
      <c r="BC261" s="478">
        <f t="shared" si="551"/>
        <v>0</v>
      </c>
    </row>
    <row r="262" spans="1:55" s="234" customFormat="1" ht="12.75" customHeight="1" x14ac:dyDescent="0.2">
      <c r="A262" s="221">
        <v>46</v>
      </c>
      <c r="B262" s="222">
        <v>4461</v>
      </c>
      <c r="C262" s="222">
        <v>600074765</v>
      </c>
      <c r="D262" s="222">
        <v>46750088</v>
      </c>
      <c r="E262" s="220" t="s">
        <v>238</v>
      </c>
      <c r="F262" s="222">
        <v>3143</v>
      </c>
      <c r="G262" s="172" t="s">
        <v>627</v>
      </c>
      <c r="H262" s="239" t="s">
        <v>278</v>
      </c>
      <c r="I262" s="477">
        <v>82403</v>
      </c>
      <c r="J262" s="472">
        <v>58272</v>
      </c>
      <c r="K262" s="472">
        <v>0</v>
      </c>
      <c r="L262" s="472">
        <v>19696</v>
      </c>
      <c r="M262" s="472">
        <v>1165</v>
      </c>
      <c r="N262" s="472">
        <v>3270</v>
      </c>
      <c r="O262" s="473">
        <v>0.23</v>
      </c>
      <c r="P262" s="474">
        <v>0</v>
      </c>
      <c r="Q262" s="483">
        <v>0.23</v>
      </c>
      <c r="R262" s="485">
        <f t="shared" si="535"/>
        <v>0</v>
      </c>
      <c r="S262" s="475">
        <v>0</v>
      </c>
      <c r="T262" s="475">
        <v>0</v>
      </c>
      <c r="U262" s="475">
        <v>0</v>
      </c>
      <c r="V262" s="475">
        <v>0</v>
      </c>
      <c r="W262" s="475">
        <v>0</v>
      </c>
      <c r="X262" s="475">
        <f t="shared" si="415"/>
        <v>0</v>
      </c>
      <c r="Y262" s="475">
        <v>0</v>
      </c>
      <c r="Z262" s="475">
        <v>0</v>
      </c>
      <c r="AA262" s="475">
        <v>0</v>
      </c>
      <c r="AB262" s="475">
        <f t="shared" si="536"/>
        <v>0</v>
      </c>
      <c r="AC262" s="475">
        <f t="shared" si="537"/>
        <v>0</v>
      </c>
      <c r="AD262" s="70">
        <f t="shared" si="538"/>
        <v>0</v>
      </c>
      <c r="AE262" s="70">
        <f t="shared" si="539"/>
        <v>0</v>
      </c>
      <c r="AF262" s="475">
        <v>0</v>
      </c>
      <c r="AG262" s="475">
        <v>0</v>
      </c>
      <c r="AH262" s="475">
        <f t="shared" si="540"/>
        <v>0</v>
      </c>
      <c r="AI262" s="475">
        <f t="shared" si="541"/>
        <v>0</v>
      </c>
      <c r="AJ262" s="476">
        <v>0</v>
      </c>
      <c r="AK262" s="476">
        <v>0</v>
      </c>
      <c r="AL262" s="476">
        <v>0</v>
      </c>
      <c r="AM262" s="476">
        <v>0</v>
      </c>
      <c r="AN262" s="476">
        <v>0</v>
      </c>
      <c r="AO262" s="476">
        <v>0</v>
      </c>
      <c r="AP262" s="476">
        <v>0</v>
      </c>
      <c r="AQ262" s="476">
        <v>0</v>
      </c>
      <c r="AR262" s="476">
        <f t="shared" si="542"/>
        <v>0</v>
      </c>
      <c r="AS262" s="476">
        <f t="shared" si="543"/>
        <v>0</v>
      </c>
      <c r="AT262" s="478">
        <f t="shared" si="544"/>
        <v>0</v>
      </c>
      <c r="AU262" s="484">
        <f t="shared" si="545"/>
        <v>82403</v>
      </c>
      <c r="AV262" s="475">
        <f t="shared" si="546"/>
        <v>58272</v>
      </c>
      <c r="AW262" s="475">
        <f t="shared" si="547"/>
        <v>0</v>
      </c>
      <c r="AX262" s="475">
        <f t="shared" si="548"/>
        <v>19696</v>
      </c>
      <c r="AY262" s="475">
        <f t="shared" si="548"/>
        <v>1165</v>
      </c>
      <c r="AZ262" s="475">
        <f t="shared" si="549"/>
        <v>3270</v>
      </c>
      <c r="BA262" s="476">
        <f t="shared" si="550"/>
        <v>0.23</v>
      </c>
      <c r="BB262" s="476">
        <f t="shared" si="551"/>
        <v>0</v>
      </c>
      <c r="BC262" s="478">
        <f t="shared" si="551"/>
        <v>0.23</v>
      </c>
    </row>
    <row r="263" spans="1:55" s="234" customFormat="1" ht="12.75" customHeight="1" x14ac:dyDescent="0.2">
      <c r="A263" s="162">
        <v>46</v>
      </c>
      <c r="B263" s="18">
        <v>4461</v>
      </c>
      <c r="C263" s="18">
        <v>600074765</v>
      </c>
      <c r="D263" s="18">
        <v>46750088</v>
      </c>
      <c r="E263" s="171" t="s">
        <v>239</v>
      </c>
      <c r="F263" s="18"/>
      <c r="G263" s="161"/>
      <c r="H263" s="195"/>
      <c r="I263" s="529">
        <v>43256268</v>
      </c>
      <c r="J263" s="526">
        <v>30991713</v>
      </c>
      <c r="K263" s="526">
        <v>328400</v>
      </c>
      <c r="L263" s="526">
        <v>10586199</v>
      </c>
      <c r="M263" s="526">
        <v>619832</v>
      </c>
      <c r="N263" s="526">
        <v>730124</v>
      </c>
      <c r="O263" s="527">
        <v>63.459799999999994</v>
      </c>
      <c r="P263" s="527">
        <v>44.558499999999995</v>
      </c>
      <c r="Q263" s="531">
        <v>18.901299999999999</v>
      </c>
      <c r="R263" s="529">
        <f t="shared" ref="R263:BC263" si="552">SUM(R257:R262)</f>
        <v>0</v>
      </c>
      <c r="S263" s="526">
        <f t="shared" si="552"/>
        <v>0</v>
      </c>
      <c r="T263" s="526">
        <f t="shared" si="552"/>
        <v>223938</v>
      </c>
      <c r="U263" s="526">
        <f t="shared" si="552"/>
        <v>-24648</v>
      </c>
      <c r="V263" s="526">
        <f t="shared" si="552"/>
        <v>0</v>
      </c>
      <c r="W263" s="526">
        <f t="shared" si="552"/>
        <v>0</v>
      </c>
      <c r="X263" s="526">
        <f t="shared" si="552"/>
        <v>199290</v>
      </c>
      <c r="Y263" s="526">
        <f t="shared" si="552"/>
        <v>0</v>
      </c>
      <c r="Z263" s="526">
        <f t="shared" si="552"/>
        <v>0</v>
      </c>
      <c r="AA263" s="526">
        <f t="shared" si="552"/>
        <v>0</v>
      </c>
      <c r="AB263" s="526">
        <f t="shared" si="552"/>
        <v>0</v>
      </c>
      <c r="AC263" s="526">
        <f t="shared" si="552"/>
        <v>199290</v>
      </c>
      <c r="AD263" s="526">
        <f t="shared" si="552"/>
        <v>67360</v>
      </c>
      <c r="AE263" s="526">
        <f t="shared" si="552"/>
        <v>3985</v>
      </c>
      <c r="AF263" s="526">
        <f t="shared" si="552"/>
        <v>0</v>
      </c>
      <c r="AG263" s="526">
        <f t="shared" si="552"/>
        <v>0</v>
      </c>
      <c r="AH263" s="526">
        <f t="shared" si="552"/>
        <v>0</v>
      </c>
      <c r="AI263" s="526">
        <f t="shared" si="552"/>
        <v>270635</v>
      </c>
      <c r="AJ263" s="527">
        <f t="shared" si="552"/>
        <v>0</v>
      </c>
      <c r="AK263" s="527">
        <f t="shared" si="552"/>
        <v>0</v>
      </c>
      <c r="AL263" s="527">
        <f t="shared" si="552"/>
        <v>0</v>
      </c>
      <c r="AM263" s="527">
        <f t="shared" si="552"/>
        <v>0.38</v>
      </c>
      <c r="AN263" s="527">
        <f t="shared" si="552"/>
        <v>-0.05</v>
      </c>
      <c r="AO263" s="527">
        <f t="shared" si="552"/>
        <v>-0.04</v>
      </c>
      <c r="AP263" s="527">
        <f t="shared" si="552"/>
        <v>0</v>
      </c>
      <c r="AQ263" s="527">
        <f t="shared" si="552"/>
        <v>0</v>
      </c>
      <c r="AR263" s="527">
        <f t="shared" si="552"/>
        <v>0.34</v>
      </c>
      <c r="AS263" s="527">
        <f t="shared" si="552"/>
        <v>-0.05</v>
      </c>
      <c r="AT263" s="40">
        <f t="shared" si="552"/>
        <v>0.29000000000000004</v>
      </c>
      <c r="AU263" s="533">
        <f t="shared" si="552"/>
        <v>43526903</v>
      </c>
      <c r="AV263" s="526">
        <f t="shared" si="552"/>
        <v>31191003</v>
      </c>
      <c r="AW263" s="526">
        <f t="shared" si="552"/>
        <v>328400</v>
      </c>
      <c r="AX263" s="526">
        <f t="shared" si="552"/>
        <v>10653559</v>
      </c>
      <c r="AY263" s="526">
        <f t="shared" si="552"/>
        <v>623817</v>
      </c>
      <c r="AZ263" s="526">
        <f t="shared" si="552"/>
        <v>730124</v>
      </c>
      <c r="BA263" s="527">
        <f t="shared" si="552"/>
        <v>63.749799999999993</v>
      </c>
      <c r="BB263" s="527">
        <f t="shared" si="552"/>
        <v>44.898499999999999</v>
      </c>
      <c r="BC263" s="40">
        <f t="shared" si="552"/>
        <v>18.851299999999998</v>
      </c>
    </row>
    <row r="264" spans="1:55" s="234" customFormat="1" ht="12.75" customHeight="1" x14ac:dyDescent="0.2">
      <c r="A264" s="221">
        <v>47</v>
      </c>
      <c r="B264" s="222">
        <v>4427</v>
      </c>
      <c r="C264" s="222">
        <v>600074188</v>
      </c>
      <c r="D264" s="222">
        <v>70982678</v>
      </c>
      <c r="E264" s="220" t="s">
        <v>829</v>
      </c>
      <c r="F264" s="222">
        <v>3111</v>
      </c>
      <c r="G264" s="172" t="s">
        <v>311</v>
      </c>
      <c r="H264" s="223" t="s">
        <v>277</v>
      </c>
      <c r="I264" s="477">
        <v>2899973</v>
      </c>
      <c r="J264" s="472">
        <v>2114354</v>
      </c>
      <c r="K264" s="472">
        <v>10000</v>
      </c>
      <c r="L264" s="472">
        <v>718032</v>
      </c>
      <c r="M264" s="472">
        <v>42287</v>
      </c>
      <c r="N264" s="472">
        <v>15300</v>
      </c>
      <c r="O264" s="473">
        <v>4.9218000000000002</v>
      </c>
      <c r="P264" s="474">
        <v>4</v>
      </c>
      <c r="Q264" s="483">
        <v>0.92179999999999995</v>
      </c>
      <c r="R264" s="485">
        <f t="shared" ref="R264:R269" si="553">Y264*-1</f>
        <v>0</v>
      </c>
      <c r="S264" s="475">
        <v>0</v>
      </c>
      <c r="T264" s="475">
        <v>0</v>
      </c>
      <c r="U264" s="475">
        <v>0</v>
      </c>
      <c r="V264" s="475">
        <v>0</v>
      </c>
      <c r="W264" s="475">
        <v>0</v>
      </c>
      <c r="X264" s="475">
        <f t="shared" si="415"/>
        <v>0</v>
      </c>
      <c r="Y264" s="475">
        <v>0</v>
      </c>
      <c r="Z264" s="475">
        <v>0</v>
      </c>
      <c r="AA264" s="475">
        <v>0</v>
      </c>
      <c r="AB264" s="475">
        <f t="shared" ref="AB264:AB269" si="554">SUM(Y264:AA264)</f>
        <v>0</v>
      </c>
      <c r="AC264" s="475">
        <f t="shared" ref="AC264:AC269" si="555">X264+AB264</f>
        <v>0</v>
      </c>
      <c r="AD264" s="70">
        <f t="shared" ref="AD264:AD269" si="556">ROUND((X264+Y264+Z264)*33.8%,0)</f>
        <v>0</v>
      </c>
      <c r="AE264" s="70">
        <f t="shared" ref="AE264:AE269" si="557">ROUND(X264*2%,0)</f>
        <v>0</v>
      </c>
      <c r="AF264" s="475">
        <v>0</v>
      </c>
      <c r="AG264" s="475">
        <v>0</v>
      </c>
      <c r="AH264" s="475">
        <f t="shared" ref="AH264:AH269" si="558">SUM(AF264:AG264)</f>
        <v>0</v>
      </c>
      <c r="AI264" s="475">
        <f t="shared" ref="AI264:AI269" si="559">AC264+AD264+AE264+AH264</f>
        <v>0</v>
      </c>
      <c r="AJ264" s="476">
        <v>0</v>
      </c>
      <c r="AK264" s="476">
        <v>0</v>
      </c>
      <c r="AL264" s="476">
        <v>0</v>
      </c>
      <c r="AM264" s="476">
        <v>0</v>
      </c>
      <c r="AN264" s="476">
        <v>0</v>
      </c>
      <c r="AO264" s="476">
        <v>0</v>
      </c>
      <c r="AP264" s="476">
        <v>0</v>
      </c>
      <c r="AQ264" s="476">
        <v>0</v>
      </c>
      <c r="AR264" s="476">
        <f t="shared" ref="AR264:AR269" si="560">AJ264+AL264+AM264+AO264+AP264</f>
        <v>0</v>
      </c>
      <c r="AS264" s="476">
        <f t="shared" ref="AS264:AS269" si="561">AK264+AN264+AQ264</f>
        <v>0</v>
      </c>
      <c r="AT264" s="478">
        <f t="shared" ref="AT264:AT269" si="562">SUM(AR264:AS264)</f>
        <v>0</v>
      </c>
      <c r="AU264" s="484">
        <f t="shared" ref="AU264:AU269" si="563">I264+AI264</f>
        <v>2899973</v>
      </c>
      <c r="AV264" s="475">
        <f t="shared" ref="AV264:AV269" si="564">J264+X264</f>
        <v>2114354</v>
      </c>
      <c r="AW264" s="475">
        <f t="shared" ref="AW264:AW269" si="565">K264+AB264</f>
        <v>10000</v>
      </c>
      <c r="AX264" s="475">
        <f t="shared" ref="AX264:AY269" si="566">L264+AD264</f>
        <v>718032</v>
      </c>
      <c r="AY264" s="475">
        <f t="shared" si="566"/>
        <v>42287</v>
      </c>
      <c r="AZ264" s="475">
        <f t="shared" ref="AZ264:AZ269" si="567">N264+AH264</f>
        <v>15300</v>
      </c>
      <c r="BA264" s="476">
        <f t="shared" ref="BA264:BA269" si="568">O264+AT264</f>
        <v>4.9218000000000002</v>
      </c>
      <c r="BB264" s="476">
        <f t="shared" ref="BB264:BC269" si="569">P264+AR264</f>
        <v>4</v>
      </c>
      <c r="BC264" s="478">
        <f t="shared" si="569"/>
        <v>0.92179999999999995</v>
      </c>
    </row>
    <row r="265" spans="1:55" s="234" customFormat="1" ht="12.75" customHeight="1" x14ac:dyDescent="0.2">
      <c r="A265" s="221">
        <v>47</v>
      </c>
      <c r="B265" s="222">
        <v>4427</v>
      </c>
      <c r="C265" s="222">
        <v>600074676</v>
      </c>
      <c r="D265" s="222">
        <v>70982660</v>
      </c>
      <c r="E265" s="220" t="s">
        <v>826</v>
      </c>
      <c r="F265" s="222">
        <v>3117</v>
      </c>
      <c r="G265" s="172" t="s">
        <v>314</v>
      </c>
      <c r="H265" s="223" t="s">
        <v>277</v>
      </c>
      <c r="I265" s="477">
        <v>1543965</v>
      </c>
      <c r="J265" s="472">
        <v>1086197</v>
      </c>
      <c r="K265" s="472">
        <v>40000</v>
      </c>
      <c r="L265" s="472">
        <v>380654</v>
      </c>
      <c r="M265" s="472">
        <v>21724</v>
      </c>
      <c r="N265" s="472">
        <v>15390</v>
      </c>
      <c r="O265" s="473">
        <v>2.6054999999999997</v>
      </c>
      <c r="P265" s="474">
        <v>1.18</v>
      </c>
      <c r="Q265" s="483">
        <v>1.4254999999999998</v>
      </c>
      <c r="R265" s="485">
        <f t="shared" si="553"/>
        <v>0</v>
      </c>
      <c r="S265" s="475">
        <v>0</v>
      </c>
      <c r="T265" s="475">
        <v>0</v>
      </c>
      <c r="U265" s="475">
        <v>0</v>
      </c>
      <c r="V265" s="475">
        <v>0</v>
      </c>
      <c r="W265" s="475">
        <v>0</v>
      </c>
      <c r="X265" s="475">
        <f t="shared" si="415"/>
        <v>0</v>
      </c>
      <c r="Y265" s="475">
        <v>0</v>
      </c>
      <c r="Z265" s="475">
        <v>0</v>
      </c>
      <c r="AA265" s="475">
        <v>0</v>
      </c>
      <c r="AB265" s="475">
        <f t="shared" si="554"/>
        <v>0</v>
      </c>
      <c r="AC265" s="475">
        <f t="shared" si="555"/>
        <v>0</v>
      </c>
      <c r="AD265" s="70">
        <f t="shared" si="556"/>
        <v>0</v>
      </c>
      <c r="AE265" s="70">
        <f t="shared" si="557"/>
        <v>0</v>
      </c>
      <c r="AF265" s="475">
        <v>0</v>
      </c>
      <c r="AG265" s="475">
        <v>0</v>
      </c>
      <c r="AH265" s="475">
        <f t="shared" si="558"/>
        <v>0</v>
      </c>
      <c r="AI265" s="475">
        <f t="shared" si="559"/>
        <v>0</v>
      </c>
      <c r="AJ265" s="476">
        <v>0</v>
      </c>
      <c r="AK265" s="476">
        <v>0</v>
      </c>
      <c r="AL265" s="476">
        <v>0</v>
      </c>
      <c r="AM265" s="476">
        <v>0</v>
      </c>
      <c r="AN265" s="476">
        <v>0</v>
      </c>
      <c r="AO265" s="476">
        <v>0</v>
      </c>
      <c r="AP265" s="476">
        <v>0</v>
      </c>
      <c r="AQ265" s="476">
        <v>0</v>
      </c>
      <c r="AR265" s="476">
        <f t="shared" si="560"/>
        <v>0</v>
      </c>
      <c r="AS265" s="476">
        <f t="shared" si="561"/>
        <v>0</v>
      </c>
      <c r="AT265" s="478">
        <f t="shared" si="562"/>
        <v>0</v>
      </c>
      <c r="AU265" s="484">
        <f t="shared" si="563"/>
        <v>1543965</v>
      </c>
      <c r="AV265" s="475">
        <f t="shared" si="564"/>
        <v>1086197</v>
      </c>
      <c r="AW265" s="475">
        <f t="shared" si="565"/>
        <v>40000</v>
      </c>
      <c r="AX265" s="475">
        <f t="shared" si="566"/>
        <v>380654</v>
      </c>
      <c r="AY265" s="475">
        <f t="shared" si="566"/>
        <v>21724</v>
      </c>
      <c r="AZ265" s="475">
        <f t="shared" si="567"/>
        <v>15390</v>
      </c>
      <c r="BA265" s="476">
        <f t="shared" si="568"/>
        <v>2.6054999999999997</v>
      </c>
      <c r="BB265" s="476">
        <f t="shared" si="569"/>
        <v>1.18</v>
      </c>
      <c r="BC265" s="478">
        <f t="shared" si="569"/>
        <v>1.4254999999999998</v>
      </c>
    </row>
    <row r="266" spans="1:55" s="234" customFormat="1" ht="12.75" customHeight="1" x14ac:dyDescent="0.2">
      <c r="A266" s="221">
        <v>47</v>
      </c>
      <c r="B266" s="222">
        <v>4427</v>
      </c>
      <c r="C266" s="222">
        <v>600074676</v>
      </c>
      <c r="D266" s="222">
        <v>70982660</v>
      </c>
      <c r="E266" s="220" t="s">
        <v>826</v>
      </c>
      <c r="F266" s="222">
        <v>3117</v>
      </c>
      <c r="G266" s="172" t="s">
        <v>312</v>
      </c>
      <c r="H266" s="223" t="s">
        <v>278</v>
      </c>
      <c r="I266" s="477">
        <v>0</v>
      </c>
      <c r="J266" s="472">
        <v>0</v>
      </c>
      <c r="K266" s="472">
        <v>0</v>
      </c>
      <c r="L266" s="472">
        <v>0</v>
      </c>
      <c r="M266" s="472">
        <v>0</v>
      </c>
      <c r="N266" s="472">
        <v>0</v>
      </c>
      <c r="O266" s="473">
        <v>0</v>
      </c>
      <c r="P266" s="474">
        <v>0</v>
      </c>
      <c r="Q266" s="483">
        <v>0</v>
      </c>
      <c r="R266" s="485">
        <f t="shared" si="553"/>
        <v>0</v>
      </c>
      <c r="S266" s="475">
        <v>0</v>
      </c>
      <c r="T266" s="475">
        <v>0</v>
      </c>
      <c r="U266" s="475">
        <v>0</v>
      </c>
      <c r="V266" s="475">
        <v>0</v>
      </c>
      <c r="W266" s="475">
        <v>0</v>
      </c>
      <c r="X266" s="475">
        <f t="shared" si="415"/>
        <v>0</v>
      </c>
      <c r="Y266" s="475">
        <v>0</v>
      </c>
      <c r="Z266" s="475">
        <v>0</v>
      </c>
      <c r="AA266" s="475">
        <v>0</v>
      </c>
      <c r="AB266" s="475">
        <f t="shared" si="554"/>
        <v>0</v>
      </c>
      <c r="AC266" s="475">
        <f t="shared" si="555"/>
        <v>0</v>
      </c>
      <c r="AD266" s="70">
        <f t="shared" si="556"/>
        <v>0</v>
      </c>
      <c r="AE266" s="70">
        <f t="shared" si="557"/>
        <v>0</v>
      </c>
      <c r="AF266" s="475">
        <v>0</v>
      </c>
      <c r="AG266" s="475">
        <v>0</v>
      </c>
      <c r="AH266" s="475">
        <f t="shared" si="558"/>
        <v>0</v>
      </c>
      <c r="AI266" s="475">
        <f t="shared" si="559"/>
        <v>0</v>
      </c>
      <c r="AJ266" s="476">
        <v>0</v>
      </c>
      <c r="AK266" s="476">
        <v>0</v>
      </c>
      <c r="AL266" s="476">
        <v>0</v>
      </c>
      <c r="AM266" s="476">
        <v>0</v>
      </c>
      <c r="AN266" s="476">
        <v>0</v>
      </c>
      <c r="AO266" s="476">
        <v>0</v>
      </c>
      <c r="AP266" s="476">
        <v>0</v>
      </c>
      <c r="AQ266" s="476">
        <v>0</v>
      </c>
      <c r="AR266" s="476">
        <f t="shared" si="560"/>
        <v>0</v>
      </c>
      <c r="AS266" s="476">
        <f t="shared" si="561"/>
        <v>0</v>
      </c>
      <c r="AT266" s="478">
        <f t="shared" si="562"/>
        <v>0</v>
      </c>
      <c r="AU266" s="484">
        <f t="shared" si="563"/>
        <v>0</v>
      </c>
      <c r="AV266" s="475">
        <f t="shared" si="564"/>
        <v>0</v>
      </c>
      <c r="AW266" s="475">
        <f t="shared" si="565"/>
        <v>0</v>
      </c>
      <c r="AX266" s="475">
        <f t="shared" si="566"/>
        <v>0</v>
      </c>
      <c r="AY266" s="475">
        <f t="shared" si="566"/>
        <v>0</v>
      </c>
      <c r="AZ266" s="475">
        <f t="shared" si="567"/>
        <v>0</v>
      </c>
      <c r="BA266" s="476">
        <f t="shared" si="568"/>
        <v>0</v>
      </c>
      <c r="BB266" s="476">
        <f t="shared" si="569"/>
        <v>0</v>
      </c>
      <c r="BC266" s="478">
        <f t="shared" si="569"/>
        <v>0</v>
      </c>
    </row>
    <row r="267" spans="1:55" s="234" customFormat="1" ht="12.75" customHeight="1" x14ac:dyDescent="0.2">
      <c r="A267" s="221">
        <v>47</v>
      </c>
      <c r="B267" s="222">
        <v>4427</v>
      </c>
      <c r="C267" s="222">
        <v>600074676</v>
      </c>
      <c r="D267" s="222">
        <v>70982660</v>
      </c>
      <c r="E267" s="220" t="s">
        <v>826</v>
      </c>
      <c r="F267" s="222">
        <v>3141</v>
      </c>
      <c r="G267" s="172" t="s">
        <v>315</v>
      </c>
      <c r="H267" s="223" t="s">
        <v>278</v>
      </c>
      <c r="I267" s="477">
        <v>644961</v>
      </c>
      <c r="J267" s="472">
        <v>472936</v>
      </c>
      <c r="K267" s="472">
        <v>0</v>
      </c>
      <c r="L267" s="472">
        <v>159852</v>
      </c>
      <c r="M267" s="472">
        <v>9459</v>
      </c>
      <c r="N267" s="472">
        <v>2714</v>
      </c>
      <c r="O267" s="473">
        <v>1.49</v>
      </c>
      <c r="P267" s="474">
        <v>0</v>
      </c>
      <c r="Q267" s="483">
        <v>1.49</v>
      </c>
      <c r="R267" s="485">
        <f t="shared" si="553"/>
        <v>0</v>
      </c>
      <c r="S267" s="475">
        <v>0</v>
      </c>
      <c r="T267" s="475">
        <v>-11363</v>
      </c>
      <c r="U267" s="475">
        <v>0</v>
      </c>
      <c r="V267" s="475">
        <v>0</v>
      </c>
      <c r="W267" s="475">
        <v>0</v>
      </c>
      <c r="X267" s="475">
        <f t="shared" si="415"/>
        <v>-11363</v>
      </c>
      <c r="Y267" s="475">
        <v>0</v>
      </c>
      <c r="Z267" s="475">
        <v>0</v>
      </c>
      <c r="AA267" s="475">
        <v>0</v>
      </c>
      <c r="AB267" s="475">
        <f t="shared" si="554"/>
        <v>0</v>
      </c>
      <c r="AC267" s="475">
        <f t="shared" si="555"/>
        <v>-11363</v>
      </c>
      <c r="AD267" s="70">
        <f t="shared" si="556"/>
        <v>-3841</v>
      </c>
      <c r="AE267" s="70">
        <f t="shared" si="557"/>
        <v>-227</v>
      </c>
      <c r="AF267" s="475">
        <v>0</v>
      </c>
      <c r="AG267" s="475">
        <v>0</v>
      </c>
      <c r="AH267" s="475">
        <f t="shared" si="558"/>
        <v>0</v>
      </c>
      <c r="AI267" s="475">
        <f t="shared" si="559"/>
        <v>-15431</v>
      </c>
      <c r="AJ267" s="476">
        <v>0</v>
      </c>
      <c r="AK267" s="476">
        <v>0</v>
      </c>
      <c r="AL267" s="476">
        <v>0</v>
      </c>
      <c r="AM267" s="476">
        <v>0</v>
      </c>
      <c r="AN267" s="476">
        <v>-0.03</v>
      </c>
      <c r="AO267" s="476">
        <v>0</v>
      </c>
      <c r="AP267" s="476">
        <v>0</v>
      </c>
      <c r="AQ267" s="476">
        <v>0</v>
      </c>
      <c r="AR267" s="476">
        <f t="shared" si="560"/>
        <v>0</v>
      </c>
      <c r="AS267" s="476">
        <f t="shared" si="561"/>
        <v>-0.03</v>
      </c>
      <c r="AT267" s="478">
        <f t="shared" si="562"/>
        <v>-0.03</v>
      </c>
      <c r="AU267" s="484">
        <f t="shared" si="563"/>
        <v>629530</v>
      </c>
      <c r="AV267" s="475">
        <f t="shared" si="564"/>
        <v>461573</v>
      </c>
      <c r="AW267" s="475">
        <f t="shared" si="565"/>
        <v>0</v>
      </c>
      <c r="AX267" s="475">
        <f t="shared" si="566"/>
        <v>156011</v>
      </c>
      <c r="AY267" s="475">
        <f t="shared" si="566"/>
        <v>9232</v>
      </c>
      <c r="AZ267" s="475">
        <f t="shared" si="567"/>
        <v>2714</v>
      </c>
      <c r="BA267" s="476">
        <f t="shared" si="568"/>
        <v>1.46</v>
      </c>
      <c r="BB267" s="476">
        <f t="shared" si="569"/>
        <v>0</v>
      </c>
      <c r="BC267" s="478">
        <f t="shared" si="569"/>
        <v>1.46</v>
      </c>
    </row>
    <row r="268" spans="1:55" s="234" customFormat="1" ht="12.75" customHeight="1" x14ac:dyDescent="0.2">
      <c r="A268" s="221">
        <v>47</v>
      </c>
      <c r="B268" s="222">
        <v>4427</v>
      </c>
      <c r="C268" s="222">
        <v>600074676</v>
      </c>
      <c r="D268" s="222">
        <v>70982660</v>
      </c>
      <c r="E268" s="220" t="s">
        <v>826</v>
      </c>
      <c r="F268" s="222">
        <v>3143</v>
      </c>
      <c r="G268" s="172" t="s">
        <v>626</v>
      </c>
      <c r="H268" s="239" t="s">
        <v>277</v>
      </c>
      <c r="I268" s="477">
        <v>385720</v>
      </c>
      <c r="J268" s="472">
        <v>284035</v>
      </c>
      <c r="K268" s="472">
        <v>0</v>
      </c>
      <c r="L268" s="472">
        <v>96004</v>
      </c>
      <c r="M268" s="472">
        <v>5681</v>
      </c>
      <c r="N268" s="472">
        <v>0</v>
      </c>
      <c r="O268" s="473">
        <v>0.7</v>
      </c>
      <c r="P268" s="474">
        <v>0.7</v>
      </c>
      <c r="Q268" s="483">
        <v>0</v>
      </c>
      <c r="R268" s="485">
        <f t="shared" si="553"/>
        <v>0</v>
      </c>
      <c r="S268" s="475">
        <v>0</v>
      </c>
      <c r="T268" s="475">
        <v>0</v>
      </c>
      <c r="U268" s="475">
        <v>0</v>
      </c>
      <c r="V268" s="475">
        <v>0</v>
      </c>
      <c r="W268" s="475">
        <v>0</v>
      </c>
      <c r="X268" s="475">
        <f t="shared" si="415"/>
        <v>0</v>
      </c>
      <c r="Y268" s="475">
        <v>0</v>
      </c>
      <c r="Z268" s="475">
        <v>0</v>
      </c>
      <c r="AA268" s="475">
        <v>0</v>
      </c>
      <c r="AB268" s="475">
        <f t="shared" si="554"/>
        <v>0</v>
      </c>
      <c r="AC268" s="475">
        <f t="shared" si="555"/>
        <v>0</v>
      </c>
      <c r="AD268" s="70">
        <f t="shared" si="556"/>
        <v>0</v>
      </c>
      <c r="AE268" s="70">
        <f t="shared" si="557"/>
        <v>0</v>
      </c>
      <c r="AF268" s="475">
        <v>0</v>
      </c>
      <c r="AG268" s="475">
        <v>0</v>
      </c>
      <c r="AH268" s="475">
        <f t="shared" si="558"/>
        <v>0</v>
      </c>
      <c r="AI268" s="475">
        <f t="shared" si="559"/>
        <v>0</v>
      </c>
      <c r="AJ268" s="476">
        <v>0</v>
      </c>
      <c r="AK268" s="476">
        <v>0</v>
      </c>
      <c r="AL268" s="476">
        <v>0</v>
      </c>
      <c r="AM268" s="476">
        <v>0</v>
      </c>
      <c r="AN268" s="476">
        <v>0</v>
      </c>
      <c r="AO268" s="476">
        <v>0</v>
      </c>
      <c r="AP268" s="476">
        <v>0</v>
      </c>
      <c r="AQ268" s="476">
        <v>0</v>
      </c>
      <c r="AR268" s="476">
        <f t="shared" si="560"/>
        <v>0</v>
      </c>
      <c r="AS268" s="476">
        <f t="shared" si="561"/>
        <v>0</v>
      </c>
      <c r="AT268" s="478">
        <f t="shared" si="562"/>
        <v>0</v>
      </c>
      <c r="AU268" s="484">
        <f t="shared" si="563"/>
        <v>385720</v>
      </c>
      <c r="AV268" s="475">
        <f t="shared" si="564"/>
        <v>284035</v>
      </c>
      <c r="AW268" s="475">
        <f t="shared" si="565"/>
        <v>0</v>
      </c>
      <c r="AX268" s="475">
        <f t="shared" si="566"/>
        <v>96004</v>
      </c>
      <c r="AY268" s="475">
        <f t="shared" si="566"/>
        <v>5681</v>
      </c>
      <c r="AZ268" s="475">
        <f t="shared" si="567"/>
        <v>0</v>
      </c>
      <c r="BA268" s="476">
        <f t="shared" si="568"/>
        <v>0.7</v>
      </c>
      <c r="BB268" s="476">
        <f t="shared" si="569"/>
        <v>0.7</v>
      </c>
      <c r="BC268" s="478">
        <f t="shared" si="569"/>
        <v>0</v>
      </c>
    </row>
    <row r="269" spans="1:55" s="234" customFormat="1" ht="12.75" customHeight="1" x14ac:dyDescent="0.2">
      <c r="A269" s="221">
        <v>47</v>
      </c>
      <c r="B269" s="222">
        <v>4427</v>
      </c>
      <c r="C269" s="222">
        <v>600074676</v>
      </c>
      <c r="D269" s="222">
        <v>70982660</v>
      </c>
      <c r="E269" s="220" t="s">
        <v>826</v>
      </c>
      <c r="F269" s="222">
        <v>3143</v>
      </c>
      <c r="G269" s="172" t="s">
        <v>627</v>
      </c>
      <c r="H269" s="239" t="s">
        <v>278</v>
      </c>
      <c r="I269" s="477">
        <v>6803</v>
      </c>
      <c r="J269" s="472">
        <v>4811</v>
      </c>
      <c r="K269" s="472">
        <v>0</v>
      </c>
      <c r="L269" s="472">
        <v>1626</v>
      </c>
      <c r="M269" s="472">
        <v>96</v>
      </c>
      <c r="N269" s="472">
        <v>270</v>
      </c>
      <c r="O269" s="473">
        <v>0.02</v>
      </c>
      <c r="P269" s="474">
        <v>0</v>
      </c>
      <c r="Q269" s="483">
        <v>0.02</v>
      </c>
      <c r="R269" s="485">
        <f t="shared" si="553"/>
        <v>0</v>
      </c>
      <c r="S269" s="475">
        <v>0</v>
      </c>
      <c r="T269" s="475">
        <v>0</v>
      </c>
      <c r="U269" s="475">
        <v>0</v>
      </c>
      <c r="V269" s="475">
        <v>0</v>
      </c>
      <c r="W269" s="475">
        <v>0</v>
      </c>
      <c r="X269" s="475">
        <f t="shared" ref="X269:X299" si="570">SUM(R269:W269)</f>
        <v>0</v>
      </c>
      <c r="Y269" s="475">
        <v>0</v>
      </c>
      <c r="Z269" s="475">
        <v>0</v>
      </c>
      <c r="AA269" s="475">
        <v>0</v>
      </c>
      <c r="AB269" s="475">
        <f t="shared" si="554"/>
        <v>0</v>
      </c>
      <c r="AC269" s="475">
        <f t="shared" si="555"/>
        <v>0</v>
      </c>
      <c r="AD269" s="70">
        <f t="shared" si="556"/>
        <v>0</v>
      </c>
      <c r="AE269" s="70">
        <f t="shared" si="557"/>
        <v>0</v>
      </c>
      <c r="AF269" s="475">
        <v>0</v>
      </c>
      <c r="AG269" s="475">
        <v>0</v>
      </c>
      <c r="AH269" s="475">
        <f t="shared" si="558"/>
        <v>0</v>
      </c>
      <c r="AI269" s="475">
        <f t="shared" si="559"/>
        <v>0</v>
      </c>
      <c r="AJ269" s="476">
        <v>0</v>
      </c>
      <c r="AK269" s="476">
        <v>0</v>
      </c>
      <c r="AL269" s="476">
        <v>0</v>
      </c>
      <c r="AM269" s="476">
        <v>0</v>
      </c>
      <c r="AN269" s="476">
        <v>0</v>
      </c>
      <c r="AO269" s="476">
        <v>0</v>
      </c>
      <c r="AP269" s="476">
        <v>0</v>
      </c>
      <c r="AQ269" s="476">
        <v>0</v>
      </c>
      <c r="AR269" s="476">
        <f t="shared" si="560"/>
        <v>0</v>
      </c>
      <c r="AS269" s="476">
        <f t="shared" si="561"/>
        <v>0</v>
      </c>
      <c r="AT269" s="478">
        <f t="shared" si="562"/>
        <v>0</v>
      </c>
      <c r="AU269" s="484">
        <f t="shared" si="563"/>
        <v>6803</v>
      </c>
      <c r="AV269" s="475">
        <f t="shared" si="564"/>
        <v>4811</v>
      </c>
      <c r="AW269" s="475">
        <f t="shared" si="565"/>
        <v>0</v>
      </c>
      <c r="AX269" s="475">
        <f t="shared" si="566"/>
        <v>1626</v>
      </c>
      <c r="AY269" s="475">
        <f t="shared" si="566"/>
        <v>96</v>
      </c>
      <c r="AZ269" s="475">
        <f t="shared" si="567"/>
        <v>270</v>
      </c>
      <c r="BA269" s="476">
        <f t="shared" si="568"/>
        <v>0.02</v>
      </c>
      <c r="BB269" s="476">
        <f t="shared" si="569"/>
        <v>0</v>
      </c>
      <c r="BC269" s="478">
        <f t="shared" si="569"/>
        <v>0.02</v>
      </c>
    </row>
    <row r="270" spans="1:55" s="234" customFormat="1" ht="12.75" customHeight="1" x14ac:dyDescent="0.2">
      <c r="A270" s="162">
        <v>47</v>
      </c>
      <c r="B270" s="18">
        <v>4427</v>
      </c>
      <c r="C270" s="18">
        <v>600074188</v>
      </c>
      <c r="D270" s="18">
        <v>70982678</v>
      </c>
      <c r="E270" s="171" t="s">
        <v>827</v>
      </c>
      <c r="F270" s="18"/>
      <c r="G270" s="161"/>
      <c r="H270" s="195"/>
      <c r="I270" s="529">
        <v>5481422</v>
      </c>
      <c r="J270" s="526">
        <v>3962333</v>
      </c>
      <c r="K270" s="526">
        <v>50000</v>
      </c>
      <c r="L270" s="526">
        <v>1356168</v>
      </c>
      <c r="M270" s="526">
        <v>79247</v>
      </c>
      <c r="N270" s="526">
        <v>33674</v>
      </c>
      <c r="O270" s="527">
        <v>9.7372999999999994</v>
      </c>
      <c r="P270" s="527">
        <v>5.88</v>
      </c>
      <c r="Q270" s="531">
        <v>3.8573</v>
      </c>
      <c r="R270" s="529">
        <f t="shared" ref="R270:BC270" si="571">SUM(R264:R269)</f>
        <v>0</v>
      </c>
      <c r="S270" s="526">
        <f t="shared" si="571"/>
        <v>0</v>
      </c>
      <c r="T270" s="526">
        <f t="shared" si="571"/>
        <v>-11363</v>
      </c>
      <c r="U270" s="526">
        <f t="shared" si="571"/>
        <v>0</v>
      </c>
      <c r="V270" s="526">
        <f t="shared" si="571"/>
        <v>0</v>
      </c>
      <c r="W270" s="526">
        <f t="shared" si="571"/>
        <v>0</v>
      </c>
      <c r="X270" s="526">
        <f t="shared" si="571"/>
        <v>-11363</v>
      </c>
      <c r="Y270" s="526">
        <f t="shared" si="571"/>
        <v>0</v>
      </c>
      <c r="Z270" s="526">
        <f t="shared" si="571"/>
        <v>0</v>
      </c>
      <c r="AA270" s="526">
        <f t="shared" si="571"/>
        <v>0</v>
      </c>
      <c r="AB270" s="526">
        <f t="shared" si="571"/>
        <v>0</v>
      </c>
      <c r="AC270" s="526">
        <f t="shared" si="571"/>
        <v>-11363</v>
      </c>
      <c r="AD270" s="526">
        <f t="shared" si="571"/>
        <v>-3841</v>
      </c>
      <c r="AE270" s="526">
        <f t="shared" si="571"/>
        <v>-227</v>
      </c>
      <c r="AF270" s="526">
        <f t="shared" si="571"/>
        <v>0</v>
      </c>
      <c r="AG270" s="526">
        <f t="shared" si="571"/>
        <v>0</v>
      </c>
      <c r="AH270" s="526">
        <f t="shared" si="571"/>
        <v>0</v>
      </c>
      <c r="AI270" s="526">
        <f t="shared" si="571"/>
        <v>-15431</v>
      </c>
      <c r="AJ270" s="527">
        <f t="shared" si="571"/>
        <v>0</v>
      </c>
      <c r="AK270" s="527">
        <f t="shared" si="571"/>
        <v>0</v>
      </c>
      <c r="AL270" s="527">
        <f t="shared" si="571"/>
        <v>0</v>
      </c>
      <c r="AM270" s="527">
        <f t="shared" si="571"/>
        <v>0</v>
      </c>
      <c r="AN270" s="527">
        <f t="shared" si="571"/>
        <v>-0.03</v>
      </c>
      <c r="AO270" s="527">
        <f t="shared" si="571"/>
        <v>0</v>
      </c>
      <c r="AP270" s="527">
        <f t="shared" si="571"/>
        <v>0</v>
      </c>
      <c r="AQ270" s="527">
        <f t="shared" si="571"/>
        <v>0</v>
      </c>
      <c r="AR270" s="527">
        <f t="shared" si="571"/>
        <v>0</v>
      </c>
      <c r="AS270" s="527">
        <f t="shared" si="571"/>
        <v>-0.03</v>
      </c>
      <c r="AT270" s="40">
        <f t="shared" si="571"/>
        <v>-0.03</v>
      </c>
      <c r="AU270" s="533">
        <f t="shared" si="571"/>
        <v>5465991</v>
      </c>
      <c r="AV270" s="526">
        <f t="shared" si="571"/>
        <v>3950970</v>
      </c>
      <c r="AW270" s="526">
        <f t="shared" si="571"/>
        <v>50000</v>
      </c>
      <c r="AX270" s="526">
        <f t="shared" si="571"/>
        <v>1352327</v>
      </c>
      <c r="AY270" s="526">
        <f t="shared" si="571"/>
        <v>79020</v>
      </c>
      <c r="AZ270" s="526">
        <f t="shared" si="571"/>
        <v>33674</v>
      </c>
      <c r="BA270" s="527">
        <f t="shared" si="571"/>
        <v>9.7073</v>
      </c>
      <c r="BB270" s="527">
        <f t="shared" si="571"/>
        <v>5.88</v>
      </c>
      <c r="BC270" s="40">
        <f t="shared" si="571"/>
        <v>3.8272999999999997</v>
      </c>
    </row>
    <row r="271" spans="1:55" s="234" customFormat="1" ht="12.75" customHeight="1" x14ac:dyDescent="0.2">
      <c r="A271" s="221">
        <v>49</v>
      </c>
      <c r="B271" s="222">
        <v>4490</v>
      </c>
      <c r="C271" s="222">
        <v>600074692</v>
      </c>
      <c r="D271" s="222">
        <v>72745088</v>
      </c>
      <c r="E271" s="220" t="s">
        <v>240</v>
      </c>
      <c r="F271" s="222">
        <v>3111</v>
      </c>
      <c r="G271" s="172" t="s">
        <v>311</v>
      </c>
      <c r="H271" s="223" t="s">
        <v>277</v>
      </c>
      <c r="I271" s="477">
        <v>1230549</v>
      </c>
      <c r="J271" s="472">
        <v>901509</v>
      </c>
      <c r="K271" s="472">
        <v>0</v>
      </c>
      <c r="L271" s="472">
        <v>304710</v>
      </c>
      <c r="M271" s="472">
        <v>18030</v>
      </c>
      <c r="N271" s="472">
        <v>6300</v>
      </c>
      <c r="O271" s="473">
        <v>2.2673999999999999</v>
      </c>
      <c r="P271" s="474">
        <v>1.8065</v>
      </c>
      <c r="Q271" s="483">
        <v>0.46089999999999998</v>
      </c>
      <c r="R271" s="485">
        <f t="shared" ref="R271:R276" si="572">Y271*-1</f>
        <v>0</v>
      </c>
      <c r="S271" s="475">
        <v>0</v>
      </c>
      <c r="T271" s="475">
        <v>0</v>
      </c>
      <c r="U271" s="475">
        <v>0</v>
      </c>
      <c r="V271" s="475">
        <v>0</v>
      </c>
      <c r="W271" s="475">
        <v>0</v>
      </c>
      <c r="X271" s="475">
        <f t="shared" si="570"/>
        <v>0</v>
      </c>
      <c r="Y271" s="475">
        <v>0</v>
      </c>
      <c r="Z271" s="475">
        <v>0</v>
      </c>
      <c r="AA271" s="475">
        <v>0</v>
      </c>
      <c r="AB271" s="475">
        <f t="shared" ref="AB271:AB276" si="573">SUM(Y271:AA271)</f>
        <v>0</v>
      </c>
      <c r="AC271" s="475">
        <f t="shared" ref="AC271:AC276" si="574">X271+AB271</f>
        <v>0</v>
      </c>
      <c r="AD271" s="70">
        <f t="shared" ref="AD271:AD276" si="575">ROUND((X271+Y271+Z271)*33.8%,0)</f>
        <v>0</v>
      </c>
      <c r="AE271" s="70">
        <f t="shared" ref="AE271:AE276" si="576">ROUND(X271*2%,0)</f>
        <v>0</v>
      </c>
      <c r="AF271" s="475">
        <v>0</v>
      </c>
      <c r="AG271" s="475">
        <v>0</v>
      </c>
      <c r="AH271" s="475">
        <f t="shared" ref="AH271:AH276" si="577">SUM(AF271:AG271)</f>
        <v>0</v>
      </c>
      <c r="AI271" s="475">
        <f t="shared" ref="AI271:AI276" si="578">AC271+AD271+AE271+AH271</f>
        <v>0</v>
      </c>
      <c r="AJ271" s="476">
        <v>0</v>
      </c>
      <c r="AK271" s="476">
        <v>0</v>
      </c>
      <c r="AL271" s="476">
        <v>0</v>
      </c>
      <c r="AM271" s="476">
        <v>0</v>
      </c>
      <c r="AN271" s="476">
        <v>0</v>
      </c>
      <c r="AO271" s="476">
        <v>0</v>
      </c>
      <c r="AP271" s="476">
        <v>0</v>
      </c>
      <c r="AQ271" s="476">
        <v>0</v>
      </c>
      <c r="AR271" s="476">
        <f t="shared" ref="AR271:AR276" si="579">AJ271+AL271+AM271+AO271+AP271</f>
        <v>0</v>
      </c>
      <c r="AS271" s="476">
        <f t="shared" ref="AS271:AS276" si="580">AK271+AN271+AQ271</f>
        <v>0</v>
      </c>
      <c r="AT271" s="478">
        <f t="shared" ref="AT271:AT276" si="581">SUM(AR271:AS271)</f>
        <v>0</v>
      </c>
      <c r="AU271" s="484">
        <f t="shared" ref="AU271:AU276" si="582">I271+AI271</f>
        <v>1230549</v>
      </c>
      <c r="AV271" s="475">
        <f t="shared" ref="AV271:AV276" si="583">J271+X271</f>
        <v>901509</v>
      </c>
      <c r="AW271" s="475">
        <f t="shared" ref="AW271:AW276" si="584">K271+AB271</f>
        <v>0</v>
      </c>
      <c r="AX271" s="475">
        <f t="shared" ref="AX271:AY276" si="585">L271+AD271</f>
        <v>304710</v>
      </c>
      <c r="AY271" s="475">
        <f t="shared" si="585"/>
        <v>18030</v>
      </c>
      <c r="AZ271" s="475">
        <f t="shared" ref="AZ271:AZ276" si="586">N271+AH271</f>
        <v>6300</v>
      </c>
      <c r="BA271" s="476">
        <f t="shared" ref="BA271:BA276" si="587">O271+AT271</f>
        <v>2.2673999999999999</v>
      </c>
      <c r="BB271" s="476">
        <f t="shared" ref="BB271:BC276" si="588">P271+AR271</f>
        <v>1.8065</v>
      </c>
      <c r="BC271" s="478">
        <f t="shared" si="588"/>
        <v>0.46089999999999998</v>
      </c>
    </row>
    <row r="272" spans="1:55" s="234" customFormat="1" ht="12.75" customHeight="1" x14ac:dyDescent="0.2">
      <c r="A272" s="221">
        <v>49</v>
      </c>
      <c r="B272" s="222">
        <v>4490</v>
      </c>
      <c r="C272" s="222">
        <v>600074692</v>
      </c>
      <c r="D272" s="222">
        <v>72745088</v>
      </c>
      <c r="E272" s="220" t="s">
        <v>240</v>
      </c>
      <c r="F272" s="222">
        <v>3117</v>
      </c>
      <c r="G272" s="172" t="s">
        <v>314</v>
      </c>
      <c r="H272" s="223" t="s">
        <v>277</v>
      </c>
      <c r="I272" s="477">
        <v>2408767</v>
      </c>
      <c r="J272" s="472">
        <v>1738723</v>
      </c>
      <c r="K272" s="472">
        <v>10000</v>
      </c>
      <c r="L272" s="472">
        <v>591069</v>
      </c>
      <c r="M272" s="472">
        <v>34775</v>
      </c>
      <c r="N272" s="472">
        <v>34200</v>
      </c>
      <c r="O272" s="473">
        <v>3.6339999999999999</v>
      </c>
      <c r="P272" s="474">
        <v>2.5829</v>
      </c>
      <c r="Q272" s="483">
        <v>1.0510999999999999</v>
      </c>
      <c r="R272" s="485">
        <f t="shared" si="572"/>
        <v>0</v>
      </c>
      <c r="S272" s="475">
        <v>0</v>
      </c>
      <c r="T272" s="475">
        <v>0</v>
      </c>
      <c r="U272" s="475">
        <v>0</v>
      </c>
      <c r="V272" s="475">
        <v>0</v>
      </c>
      <c r="W272" s="475">
        <v>0</v>
      </c>
      <c r="X272" s="475">
        <f t="shared" si="570"/>
        <v>0</v>
      </c>
      <c r="Y272" s="475">
        <v>0</v>
      </c>
      <c r="Z272" s="475">
        <v>0</v>
      </c>
      <c r="AA272" s="475">
        <v>0</v>
      </c>
      <c r="AB272" s="475">
        <f t="shared" si="573"/>
        <v>0</v>
      </c>
      <c r="AC272" s="475">
        <f t="shared" si="574"/>
        <v>0</v>
      </c>
      <c r="AD272" s="70">
        <f t="shared" si="575"/>
        <v>0</v>
      </c>
      <c r="AE272" s="70">
        <f t="shared" si="576"/>
        <v>0</v>
      </c>
      <c r="AF272" s="475">
        <v>0</v>
      </c>
      <c r="AG272" s="475">
        <v>0</v>
      </c>
      <c r="AH272" s="475">
        <f t="shared" si="577"/>
        <v>0</v>
      </c>
      <c r="AI272" s="475">
        <f t="shared" si="578"/>
        <v>0</v>
      </c>
      <c r="AJ272" s="476">
        <v>0</v>
      </c>
      <c r="AK272" s="476">
        <v>0</v>
      </c>
      <c r="AL272" s="476">
        <v>0</v>
      </c>
      <c r="AM272" s="476">
        <v>0</v>
      </c>
      <c r="AN272" s="476">
        <v>0</v>
      </c>
      <c r="AO272" s="476">
        <v>0</v>
      </c>
      <c r="AP272" s="476">
        <v>0</v>
      </c>
      <c r="AQ272" s="476">
        <v>0</v>
      </c>
      <c r="AR272" s="476">
        <f t="shared" si="579"/>
        <v>0</v>
      </c>
      <c r="AS272" s="476">
        <f t="shared" si="580"/>
        <v>0</v>
      </c>
      <c r="AT272" s="478">
        <f t="shared" si="581"/>
        <v>0</v>
      </c>
      <c r="AU272" s="484">
        <f t="shared" si="582"/>
        <v>2408767</v>
      </c>
      <c r="AV272" s="475">
        <f t="shared" si="583"/>
        <v>1738723</v>
      </c>
      <c r="AW272" s="475">
        <f t="shared" si="584"/>
        <v>10000</v>
      </c>
      <c r="AX272" s="475">
        <f t="shared" si="585"/>
        <v>591069</v>
      </c>
      <c r="AY272" s="475">
        <f t="shared" si="585"/>
        <v>34775</v>
      </c>
      <c r="AZ272" s="475">
        <f t="shared" si="586"/>
        <v>34200</v>
      </c>
      <c r="BA272" s="476">
        <f t="shared" si="587"/>
        <v>3.6339999999999999</v>
      </c>
      <c r="BB272" s="476">
        <f t="shared" si="588"/>
        <v>2.5829</v>
      </c>
      <c r="BC272" s="478">
        <f t="shared" si="588"/>
        <v>1.0510999999999999</v>
      </c>
    </row>
    <row r="273" spans="1:55" s="234" customFormat="1" ht="12.75" customHeight="1" x14ac:dyDescent="0.2">
      <c r="A273" s="221">
        <v>49</v>
      </c>
      <c r="B273" s="222">
        <v>4490</v>
      </c>
      <c r="C273" s="222">
        <v>600074692</v>
      </c>
      <c r="D273" s="222">
        <v>72745088</v>
      </c>
      <c r="E273" s="220" t="s">
        <v>240</v>
      </c>
      <c r="F273" s="222">
        <v>3117</v>
      </c>
      <c r="G273" s="172" t="s">
        <v>312</v>
      </c>
      <c r="H273" s="223" t="s">
        <v>278</v>
      </c>
      <c r="I273" s="477">
        <v>0</v>
      </c>
      <c r="J273" s="472">
        <v>0</v>
      </c>
      <c r="K273" s="472">
        <v>0</v>
      </c>
      <c r="L273" s="472">
        <v>0</v>
      </c>
      <c r="M273" s="472">
        <v>0</v>
      </c>
      <c r="N273" s="472">
        <v>0</v>
      </c>
      <c r="O273" s="473">
        <v>0</v>
      </c>
      <c r="P273" s="474">
        <v>0</v>
      </c>
      <c r="Q273" s="483">
        <v>0</v>
      </c>
      <c r="R273" s="485">
        <f t="shared" si="572"/>
        <v>0</v>
      </c>
      <c r="S273" s="475">
        <v>0</v>
      </c>
      <c r="T273" s="475">
        <v>0</v>
      </c>
      <c r="U273" s="475">
        <v>0</v>
      </c>
      <c r="V273" s="475">
        <v>0</v>
      </c>
      <c r="W273" s="475">
        <v>0</v>
      </c>
      <c r="X273" s="475">
        <f t="shared" si="570"/>
        <v>0</v>
      </c>
      <c r="Y273" s="475">
        <v>0</v>
      </c>
      <c r="Z273" s="475">
        <v>0</v>
      </c>
      <c r="AA273" s="475">
        <v>0</v>
      </c>
      <c r="AB273" s="475">
        <f t="shared" si="573"/>
        <v>0</v>
      </c>
      <c r="AC273" s="475">
        <f t="shared" si="574"/>
        <v>0</v>
      </c>
      <c r="AD273" s="70">
        <f t="shared" si="575"/>
        <v>0</v>
      </c>
      <c r="AE273" s="70">
        <f t="shared" si="576"/>
        <v>0</v>
      </c>
      <c r="AF273" s="475">
        <v>0</v>
      </c>
      <c r="AG273" s="475">
        <v>0</v>
      </c>
      <c r="AH273" s="475">
        <f t="shared" si="577"/>
        <v>0</v>
      </c>
      <c r="AI273" s="475">
        <f t="shared" si="578"/>
        <v>0</v>
      </c>
      <c r="AJ273" s="476">
        <v>0</v>
      </c>
      <c r="AK273" s="476">
        <v>0</v>
      </c>
      <c r="AL273" s="476">
        <v>0</v>
      </c>
      <c r="AM273" s="476">
        <v>0</v>
      </c>
      <c r="AN273" s="476">
        <v>0</v>
      </c>
      <c r="AO273" s="476">
        <v>0</v>
      </c>
      <c r="AP273" s="476">
        <v>0</v>
      </c>
      <c r="AQ273" s="476">
        <v>0</v>
      </c>
      <c r="AR273" s="476">
        <f t="shared" si="579"/>
        <v>0</v>
      </c>
      <c r="AS273" s="476">
        <f t="shared" si="580"/>
        <v>0</v>
      </c>
      <c r="AT273" s="478">
        <f t="shared" si="581"/>
        <v>0</v>
      </c>
      <c r="AU273" s="484">
        <f t="shared" si="582"/>
        <v>0</v>
      </c>
      <c r="AV273" s="475">
        <f t="shared" si="583"/>
        <v>0</v>
      </c>
      <c r="AW273" s="475">
        <f t="shared" si="584"/>
        <v>0</v>
      </c>
      <c r="AX273" s="475">
        <f t="shared" si="585"/>
        <v>0</v>
      </c>
      <c r="AY273" s="475">
        <f t="shared" si="585"/>
        <v>0</v>
      </c>
      <c r="AZ273" s="475">
        <f t="shared" si="586"/>
        <v>0</v>
      </c>
      <c r="BA273" s="476">
        <f t="shared" si="587"/>
        <v>0</v>
      </c>
      <c r="BB273" s="476">
        <f t="shared" si="588"/>
        <v>0</v>
      </c>
      <c r="BC273" s="478">
        <f t="shared" si="588"/>
        <v>0</v>
      </c>
    </row>
    <row r="274" spans="1:55" s="234" customFormat="1" ht="12.75" customHeight="1" x14ac:dyDescent="0.2">
      <c r="A274" s="221">
        <v>49</v>
      </c>
      <c r="B274" s="222">
        <v>4490</v>
      </c>
      <c r="C274" s="222">
        <v>600074692</v>
      </c>
      <c r="D274" s="222">
        <v>72745088</v>
      </c>
      <c r="E274" s="220" t="s">
        <v>240</v>
      </c>
      <c r="F274" s="222">
        <v>3141</v>
      </c>
      <c r="G274" s="172" t="s">
        <v>315</v>
      </c>
      <c r="H274" s="223" t="s">
        <v>278</v>
      </c>
      <c r="I274" s="477">
        <v>480880</v>
      </c>
      <c r="J274" s="472">
        <v>347816</v>
      </c>
      <c r="K274" s="472">
        <v>5000</v>
      </c>
      <c r="L274" s="472">
        <v>119252</v>
      </c>
      <c r="M274" s="472">
        <v>6956</v>
      </c>
      <c r="N274" s="472">
        <v>1856</v>
      </c>
      <c r="O274" s="473">
        <v>1.1100000000000001</v>
      </c>
      <c r="P274" s="474">
        <v>0</v>
      </c>
      <c r="Q274" s="483">
        <v>1.1100000000000001</v>
      </c>
      <c r="R274" s="485">
        <f t="shared" si="572"/>
        <v>0</v>
      </c>
      <c r="S274" s="475">
        <v>0</v>
      </c>
      <c r="T274" s="475">
        <v>669</v>
      </c>
      <c r="U274" s="475">
        <v>0</v>
      </c>
      <c r="V274" s="475">
        <v>0</v>
      </c>
      <c r="W274" s="475">
        <v>0</v>
      </c>
      <c r="X274" s="475">
        <f t="shared" si="570"/>
        <v>669</v>
      </c>
      <c r="Y274" s="475">
        <v>0</v>
      </c>
      <c r="Z274" s="475">
        <v>0</v>
      </c>
      <c r="AA274" s="475">
        <v>0</v>
      </c>
      <c r="AB274" s="475">
        <f t="shared" si="573"/>
        <v>0</v>
      </c>
      <c r="AC274" s="475">
        <f t="shared" si="574"/>
        <v>669</v>
      </c>
      <c r="AD274" s="70">
        <f t="shared" si="575"/>
        <v>226</v>
      </c>
      <c r="AE274" s="70">
        <f t="shared" si="576"/>
        <v>13</v>
      </c>
      <c r="AF274" s="475">
        <v>0</v>
      </c>
      <c r="AG274" s="475">
        <v>0</v>
      </c>
      <c r="AH274" s="475">
        <f t="shared" si="577"/>
        <v>0</v>
      </c>
      <c r="AI274" s="475">
        <f t="shared" si="578"/>
        <v>908</v>
      </c>
      <c r="AJ274" s="476">
        <v>0</v>
      </c>
      <c r="AK274" s="476">
        <v>0</v>
      </c>
      <c r="AL274" s="476">
        <v>0</v>
      </c>
      <c r="AM274" s="476">
        <v>0</v>
      </c>
      <c r="AN274" s="476">
        <v>0</v>
      </c>
      <c r="AO274" s="476">
        <v>0</v>
      </c>
      <c r="AP274" s="476">
        <v>0</v>
      </c>
      <c r="AQ274" s="476">
        <v>0</v>
      </c>
      <c r="AR274" s="476">
        <f t="shared" si="579"/>
        <v>0</v>
      </c>
      <c r="AS274" s="476">
        <f t="shared" si="580"/>
        <v>0</v>
      </c>
      <c r="AT274" s="478">
        <f t="shared" si="581"/>
        <v>0</v>
      </c>
      <c r="AU274" s="484">
        <f t="shared" si="582"/>
        <v>481788</v>
      </c>
      <c r="AV274" s="475">
        <f t="shared" si="583"/>
        <v>348485</v>
      </c>
      <c r="AW274" s="475">
        <f t="shared" si="584"/>
        <v>5000</v>
      </c>
      <c r="AX274" s="475">
        <f t="shared" si="585"/>
        <v>119478</v>
      </c>
      <c r="AY274" s="475">
        <f t="shared" si="585"/>
        <v>6969</v>
      </c>
      <c r="AZ274" s="475">
        <f t="shared" si="586"/>
        <v>1856</v>
      </c>
      <c r="BA274" s="476">
        <f t="shared" si="587"/>
        <v>1.1100000000000001</v>
      </c>
      <c r="BB274" s="476">
        <f t="shared" si="588"/>
        <v>0</v>
      </c>
      <c r="BC274" s="478">
        <f t="shared" si="588"/>
        <v>1.1100000000000001</v>
      </c>
    </row>
    <row r="275" spans="1:55" s="234" customFormat="1" ht="12.75" customHeight="1" x14ac:dyDescent="0.2">
      <c r="A275" s="221">
        <v>49</v>
      </c>
      <c r="B275" s="222">
        <v>4490</v>
      </c>
      <c r="C275" s="222">
        <v>600074692</v>
      </c>
      <c r="D275" s="222">
        <v>72745088</v>
      </c>
      <c r="E275" s="220" t="s">
        <v>240</v>
      </c>
      <c r="F275" s="222">
        <v>3143</v>
      </c>
      <c r="G275" s="172" t="s">
        <v>626</v>
      </c>
      <c r="H275" s="239" t="s">
        <v>277</v>
      </c>
      <c r="I275" s="477">
        <v>649941</v>
      </c>
      <c r="J275" s="472">
        <v>478602</v>
      </c>
      <c r="K275" s="472">
        <v>0</v>
      </c>
      <c r="L275" s="472">
        <v>161767</v>
      </c>
      <c r="M275" s="472">
        <v>9572</v>
      </c>
      <c r="N275" s="472">
        <v>0</v>
      </c>
      <c r="O275" s="473">
        <v>1</v>
      </c>
      <c r="P275" s="474">
        <v>1</v>
      </c>
      <c r="Q275" s="483">
        <v>0</v>
      </c>
      <c r="R275" s="485">
        <f t="shared" si="572"/>
        <v>0</v>
      </c>
      <c r="S275" s="475">
        <v>0</v>
      </c>
      <c r="T275" s="475">
        <v>0</v>
      </c>
      <c r="U275" s="475">
        <v>0</v>
      </c>
      <c r="V275" s="475">
        <v>0</v>
      </c>
      <c r="W275" s="475">
        <v>0</v>
      </c>
      <c r="X275" s="475">
        <f t="shared" si="570"/>
        <v>0</v>
      </c>
      <c r="Y275" s="475">
        <v>0</v>
      </c>
      <c r="Z275" s="475">
        <v>0</v>
      </c>
      <c r="AA275" s="475">
        <v>0</v>
      </c>
      <c r="AB275" s="475">
        <f t="shared" si="573"/>
        <v>0</v>
      </c>
      <c r="AC275" s="475">
        <f t="shared" si="574"/>
        <v>0</v>
      </c>
      <c r="AD275" s="70">
        <f t="shared" si="575"/>
        <v>0</v>
      </c>
      <c r="AE275" s="70">
        <f t="shared" si="576"/>
        <v>0</v>
      </c>
      <c r="AF275" s="475">
        <v>0</v>
      </c>
      <c r="AG275" s="475">
        <v>0</v>
      </c>
      <c r="AH275" s="475">
        <f t="shared" si="577"/>
        <v>0</v>
      </c>
      <c r="AI275" s="475">
        <f t="shared" si="578"/>
        <v>0</v>
      </c>
      <c r="AJ275" s="476">
        <v>0</v>
      </c>
      <c r="AK275" s="476">
        <v>0</v>
      </c>
      <c r="AL275" s="476">
        <v>0</v>
      </c>
      <c r="AM275" s="476">
        <v>0</v>
      </c>
      <c r="AN275" s="476">
        <v>0</v>
      </c>
      <c r="AO275" s="476">
        <v>0</v>
      </c>
      <c r="AP275" s="476">
        <v>0</v>
      </c>
      <c r="AQ275" s="476">
        <v>0</v>
      </c>
      <c r="AR275" s="476">
        <f t="shared" si="579"/>
        <v>0</v>
      </c>
      <c r="AS275" s="476">
        <f t="shared" si="580"/>
        <v>0</v>
      </c>
      <c r="AT275" s="478">
        <f t="shared" si="581"/>
        <v>0</v>
      </c>
      <c r="AU275" s="484">
        <f t="shared" si="582"/>
        <v>649941</v>
      </c>
      <c r="AV275" s="475">
        <f t="shared" si="583"/>
        <v>478602</v>
      </c>
      <c r="AW275" s="475">
        <f t="shared" si="584"/>
        <v>0</v>
      </c>
      <c r="AX275" s="475">
        <f t="shared" si="585"/>
        <v>161767</v>
      </c>
      <c r="AY275" s="475">
        <f t="shared" si="585"/>
        <v>9572</v>
      </c>
      <c r="AZ275" s="475">
        <f t="shared" si="586"/>
        <v>0</v>
      </c>
      <c r="BA275" s="476">
        <f t="shared" si="587"/>
        <v>1</v>
      </c>
      <c r="BB275" s="476">
        <f t="shared" si="588"/>
        <v>1</v>
      </c>
      <c r="BC275" s="478">
        <f t="shared" si="588"/>
        <v>0</v>
      </c>
    </row>
    <row r="276" spans="1:55" s="234" customFormat="1" ht="12.75" customHeight="1" x14ac:dyDescent="0.2">
      <c r="A276" s="221">
        <v>49</v>
      </c>
      <c r="B276" s="222">
        <v>4490</v>
      </c>
      <c r="C276" s="222">
        <v>600074692</v>
      </c>
      <c r="D276" s="222">
        <v>72745088</v>
      </c>
      <c r="E276" s="220" t="s">
        <v>240</v>
      </c>
      <c r="F276" s="222">
        <v>3143</v>
      </c>
      <c r="G276" s="172" t="s">
        <v>627</v>
      </c>
      <c r="H276" s="239" t="s">
        <v>278</v>
      </c>
      <c r="I276" s="477">
        <v>13608</v>
      </c>
      <c r="J276" s="472">
        <v>9623</v>
      </c>
      <c r="K276" s="472">
        <v>0</v>
      </c>
      <c r="L276" s="472">
        <v>3253</v>
      </c>
      <c r="M276" s="472">
        <v>192</v>
      </c>
      <c r="N276" s="472">
        <v>540</v>
      </c>
      <c r="O276" s="473">
        <v>0.04</v>
      </c>
      <c r="P276" s="474">
        <v>0</v>
      </c>
      <c r="Q276" s="483">
        <v>0.04</v>
      </c>
      <c r="R276" s="485">
        <f t="shared" si="572"/>
        <v>0</v>
      </c>
      <c r="S276" s="475">
        <v>0</v>
      </c>
      <c r="T276" s="475">
        <v>0</v>
      </c>
      <c r="U276" s="475">
        <v>0</v>
      </c>
      <c r="V276" s="475">
        <v>0</v>
      </c>
      <c r="W276" s="475">
        <v>0</v>
      </c>
      <c r="X276" s="475">
        <f t="shared" si="570"/>
        <v>0</v>
      </c>
      <c r="Y276" s="475">
        <v>0</v>
      </c>
      <c r="Z276" s="475">
        <v>0</v>
      </c>
      <c r="AA276" s="475">
        <v>0</v>
      </c>
      <c r="AB276" s="475">
        <f t="shared" si="573"/>
        <v>0</v>
      </c>
      <c r="AC276" s="475">
        <f t="shared" si="574"/>
        <v>0</v>
      </c>
      <c r="AD276" s="70">
        <f t="shared" si="575"/>
        <v>0</v>
      </c>
      <c r="AE276" s="70">
        <f t="shared" si="576"/>
        <v>0</v>
      </c>
      <c r="AF276" s="475">
        <v>0</v>
      </c>
      <c r="AG276" s="475">
        <v>0</v>
      </c>
      <c r="AH276" s="475">
        <f t="shared" si="577"/>
        <v>0</v>
      </c>
      <c r="AI276" s="475">
        <f t="shared" si="578"/>
        <v>0</v>
      </c>
      <c r="AJ276" s="476">
        <v>0</v>
      </c>
      <c r="AK276" s="476">
        <v>0</v>
      </c>
      <c r="AL276" s="476">
        <v>0</v>
      </c>
      <c r="AM276" s="476">
        <v>0</v>
      </c>
      <c r="AN276" s="476">
        <v>0</v>
      </c>
      <c r="AO276" s="476">
        <v>0</v>
      </c>
      <c r="AP276" s="476">
        <v>0</v>
      </c>
      <c r="AQ276" s="476">
        <v>0</v>
      </c>
      <c r="AR276" s="476">
        <f t="shared" si="579"/>
        <v>0</v>
      </c>
      <c r="AS276" s="476">
        <f t="shared" si="580"/>
        <v>0</v>
      </c>
      <c r="AT276" s="478">
        <f t="shared" si="581"/>
        <v>0</v>
      </c>
      <c r="AU276" s="484">
        <f t="shared" si="582"/>
        <v>13608</v>
      </c>
      <c r="AV276" s="475">
        <f t="shared" si="583"/>
        <v>9623</v>
      </c>
      <c r="AW276" s="475">
        <f t="shared" si="584"/>
        <v>0</v>
      </c>
      <c r="AX276" s="475">
        <f t="shared" si="585"/>
        <v>3253</v>
      </c>
      <c r="AY276" s="475">
        <f t="shared" si="585"/>
        <v>192</v>
      </c>
      <c r="AZ276" s="475">
        <f t="shared" si="586"/>
        <v>540</v>
      </c>
      <c r="BA276" s="476">
        <f t="shared" si="587"/>
        <v>0.04</v>
      </c>
      <c r="BB276" s="476">
        <f t="shared" si="588"/>
        <v>0</v>
      </c>
      <c r="BC276" s="478">
        <f t="shared" si="588"/>
        <v>0.04</v>
      </c>
    </row>
    <row r="277" spans="1:55" s="234" customFormat="1" ht="12.75" customHeight="1" x14ac:dyDescent="0.2">
      <c r="A277" s="162">
        <v>49</v>
      </c>
      <c r="B277" s="18">
        <v>4490</v>
      </c>
      <c r="C277" s="18">
        <v>600074692</v>
      </c>
      <c r="D277" s="18">
        <v>72745088</v>
      </c>
      <c r="E277" s="171" t="s">
        <v>241</v>
      </c>
      <c r="F277" s="18"/>
      <c r="G277" s="161"/>
      <c r="H277" s="195"/>
      <c r="I277" s="528">
        <v>4783745</v>
      </c>
      <c r="J277" s="524">
        <v>3476273</v>
      </c>
      <c r="K277" s="524">
        <v>15000</v>
      </c>
      <c r="L277" s="524">
        <v>1180051</v>
      </c>
      <c r="M277" s="524">
        <v>69525</v>
      </c>
      <c r="N277" s="524">
        <v>42896</v>
      </c>
      <c r="O277" s="525">
        <v>8.0513999999999992</v>
      </c>
      <c r="P277" s="525">
        <v>5.3894000000000002</v>
      </c>
      <c r="Q277" s="530">
        <v>2.6619999999999999</v>
      </c>
      <c r="R277" s="528">
        <f t="shared" ref="R277:BC277" si="589">SUM(R271:R276)</f>
        <v>0</v>
      </c>
      <c r="S277" s="524">
        <f t="shared" si="589"/>
        <v>0</v>
      </c>
      <c r="T277" s="524">
        <f t="shared" si="589"/>
        <v>669</v>
      </c>
      <c r="U277" s="524">
        <f t="shared" si="589"/>
        <v>0</v>
      </c>
      <c r="V277" s="524">
        <f t="shared" si="589"/>
        <v>0</v>
      </c>
      <c r="W277" s="524">
        <f t="shared" si="589"/>
        <v>0</v>
      </c>
      <c r="X277" s="524">
        <f t="shared" si="589"/>
        <v>669</v>
      </c>
      <c r="Y277" s="524">
        <f t="shared" si="589"/>
        <v>0</v>
      </c>
      <c r="Z277" s="524">
        <f t="shared" si="589"/>
        <v>0</v>
      </c>
      <c r="AA277" s="524">
        <f t="shared" si="589"/>
        <v>0</v>
      </c>
      <c r="AB277" s="524">
        <f t="shared" si="589"/>
        <v>0</v>
      </c>
      <c r="AC277" s="524">
        <f t="shared" si="589"/>
        <v>669</v>
      </c>
      <c r="AD277" s="524">
        <f t="shared" si="589"/>
        <v>226</v>
      </c>
      <c r="AE277" s="524">
        <f t="shared" si="589"/>
        <v>13</v>
      </c>
      <c r="AF277" s="524">
        <f t="shared" si="589"/>
        <v>0</v>
      </c>
      <c r="AG277" s="524">
        <f t="shared" si="589"/>
        <v>0</v>
      </c>
      <c r="AH277" s="524">
        <f t="shared" si="589"/>
        <v>0</v>
      </c>
      <c r="AI277" s="524">
        <f t="shared" si="589"/>
        <v>908</v>
      </c>
      <c r="AJ277" s="525">
        <f t="shared" si="589"/>
        <v>0</v>
      </c>
      <c r="AK277" s="525">
        <f t="shared" si="589"/>
        <v>0</v>
      </c>
      <c r="AL277" s="525">
        <f t="shared" si="589"/>
        <v>0</v>
      </c>
      <c r="AM277" s="525">
        <f t="shared" si="589"/>
        <v>0</v>
      </c>
      <c r="AN277" s="525">
        <f t="shared" si="589"/>
        <v>0</v>
      </c>
      <c r="AO277" s="525">
        <f t="shared" si="589"/>
        <v>0</v>
      </c>
      <c r="AP277" s="525">
        <f t="shared" si="589"/>
        <v>0</v>
      </c>
      <c r="AQ277" s="525">
        <f t="shared" si="589"/>
        <v>0</v>
      </c>
      <c r="AR277" s="525">
        <f t="shared" si="589"/>
        <v>0</v>
      </c>
      <c r="AS277" s="525">
        <f t="shared" si="589"/>
        <v>0</v>
      </c>
      <c r="AT277" s="41">
        <f t="shared" si="589"/>
        <v>0</v>
      </c>
      <c r="AU277" s="532">
        <f t="shared" si="589"/>
        <v>4784653</v>
      </c>
      <c r="AV277" s="524">
        <f t="shared" si="589"/>
        <v>3476942</v>
      </c>
      <c r="AW277" s="524">
        <f t="shared" si="589"/>
        <v>15000</v>
      </c>
      <c r="AX277" s="524">
        <f t="shared" si="589"/>
        <v>1180277</v>
      </c>
      <c r="AY277" s="524">
        <f t="shared" si="589"/>
        <v>69538</v>
      </c>
      <c r="AZ277" s="524">
        <f t="shared" si="589"/>
        <v>42896</v>
      </c>
      <c r="BA277" s="525">
        <f t="shared" si="589"/>
        <v>8.0513999999999992</v>
      </c>
      <c r="BB277" s="525">
        <f t="shared" si="589"/>
        <v>5.3894000000000002</v>
      </c>
      <c r="BC277" s="41">
        <f t="shared" si="589"/>
        <v>2.6619999999999999</v>
      </c>
    </row>
    <row r="278" spans="1:55" s="234" customFormat="1" ht="12.75" customHeight="1" x14ac:dyDescent="0.2">
      <c r="A278" s="221">
        <v>50</v>
      </c>
      <c r="B278" s="222">
        <v>4491</v>
      </c>
      <c r="C278" s="222">
        <v>650050517</v>
      </c>
      <c r="D278" s="222">
        <v>72742437</v>
      </c>
      <c r="E278" s="220" t="s">
        <v>242</v>
      </c>
      <c r="F278" s="222">
        <v>3111</v>
      </c>
      <c r="G278" s="172" t="s">
        <v>311</v>
      </c>
      <c r="H278" s="223" t="s">
        <v>277</v>
      </c>
      <c r="I278" s="477">
        <v>1590412</v>
      </c>
      <c r="J278" s="472">
        <v>1162545</v>
      </c>
      <c r="K278" s="472">
        <v>2000</v>
      </c>
      <c r="L278" s="472">
        <v>393616</v>
      </c>
      <c r="M278" s="472">
        <v>23251</v>
      </c>
      <c r="N278" s="472">
        <v>9000</v>
      </c>
      <c r="O278" s="473">
        <v>2.4609000000000001</v>
      </c>
      <c r="P278" s="474">
        <v>2</v>
      </c>
      <c r="Q278" s="483">
        <v>0.46089999999999998</v>
      </c>
      <c r="R278" s="485">
        <f t="shared" ref="R278:R283" si="590">Y278*-1</f>
        <v>0</v>
      </c>
      <c r="S278" s="475">
        <v>0</v>
      </c>
      <c r="T278" s="475">
        <v>0</v>
      </c>
      <c r="U278" s="475">
        <v>0</v>
      </c>
      <c r="V278" s="475">
        <v>0</v>
      </c>
      <c r="W278" s="475">
        <v>0</v>
      </c>
      <c r="X278" s="475">
        <f t="shared" si="570"/>
        <v>0</v>
      </c>
      <c r="Y278" s="475">
        <v>0</v>
      </c>
      <c r="Z278" s="475">
        <v>0</v>
      </c>
      <c r="AA278" s="475">
        <v>0</v>
      </c>
      <c r="AB278" s="475">
        <f t="shared" ref="AB278:AB283" si="591">SUM(Y278:AA278)</f>
        <v>0</v>
      </c>
      <c r="AC278" s="475">
        <f t="shared" ref="AC278:AC283" si="592">X278+AB278</f>
        <v>0</v>
      </c>
      <c r="AD278" s="70">
        <f t="shared" ref="AD278:AD283" si="593">ROUND((X278+Y278+Z278)*33.8%,0)</f>
        <v>0</v>
      </c>
      <c r="AE278" s="70">
        <f t="shared" ref="AE278:AE283" si="594">ROUND(X278*2%,0)</f>
        <v>0</v>
      </c>
      <c r="AF278" s="475">
        <v>0</v>
      </c>
      <c r="AG278" s="475">
        <v>0</v>
      </c>
      <c r="AH278" s="475">
        <f t="shared" ref="AH278:AH283" si="595">SUM(AF278:AG278)</f>
        <v>0</v>
      </c>
      <c r="AI278" s="475">
        <f t="shared" ref="AI278:AI283" si="596">AC278+AD278+AE278+AH278</f>
        <v>0</v>
      </c>
      <c r="AJ278" s="476">
        <v>0</v>
      </c>
      <c r="AK278" s="476">
        <v>0</v>
      </c>
      <c r="AL278" s="476">
        <v>0</v>
      </c>
      <c r="AM278" s="476">
        <v>0</v>
      </c>
      <c r="AN278" s="476">
        <v>0</v>
      </c>
      <c r="AO278" s="476">
        <v>0</v>
      </c>
      <c r="AP278" s="476">
        <v>0</v>
      </c>
      <c r="AQ278" s="476">
        <v>0</v>
      </c>
      <c r="AR278" s="476">
        <f t="shared" ref="AR278:AR283" si="597">AJ278+AL278+AM278+AO278+AP278</f>
        <v>0</v>
      </c>
      <c r="AS278" s="476">
        <f t="shared" ref="AS278:AS283" si="598">AK278+AN278+AQ278</f>
        <v>0</v>
      </c>
      <c r="AT278" s="478">
        <f t="shared" ref="AT278:AT283" si="599">SUM(AR278:AS278)</f>
        <v>0</v>
      </c>
      <c r="AU278" s="484">
        <f t="shared" ref="AU278:AU283" si="600">I278+AI278</f>
        <v>1590412</v>
      </c>
      <c r="AV278" s="475">
        <f t="shared" ref="AV278:AV283" si="601">J278+X278</f>
        <v>1162545</v>
      </c>
      <c r="AW278" s="475">
        <f t="shared" ref="AW278:AW283" si="602">K278+AB278</f>
        <v>2000</v>
      </c>
      <c r="AX278" s="475">
        <f t="shared" ref="AX278:AY283" si="603">L278+AD278</f>
        <v>393616</v>
      </c>
      <c r="AY278" s="475">
        <f t="shared" si="603"/>
        <v>23251</v>
      </c>
      <c r="AZ278" s="475">
        <f t="shared" ref="AZ278:AZ283" si="604">N278+AH278</f>
        <v>9000</v>
      </c>
      <c r="BA278" s="476">
        <f t="shared" ref="BA278:BA283" si="605">O278+AT278</f>
        <v>2.4609000000000001</v>
      </c>
      <c r="BB278" s="476">
        <f t="shared" ref="BB278:BC283" si="606">P278+AR278</f>
        <v>2</v>
      </c>
      <c r="BC278" s="478">
        <f t="shared" si="606"/>
        <v>0.46089999999999998</v>
      </c>
    </row>
    <row r="279" spans="1:55" s="234" customFormat="1" ht="12.75" customHeight="1" x14ac:dyDescent="0.2">
      <c r="A279" s="221">
        <v>50</v>
      </c>
      <c r="B279" s="222">
        <v>4491</v>
      </c>
      <c r="C279" s="222">
        <v>650050517</v>
      </c>
      <c r="D279" s="222">
        <v>72742437</v>
      </c>
      <c r="E279" s="220" t="s">
        <v>242</v>
      </c>
      <c r="F279" s="222">
        <v>3117</v>
      </c>
      <c r="G279" s="172" t="s">
        <v>314</v>
      </c>
      <c r="H279" s="223" t="s">
        <v>277</v>
      </c>
      <c r="I279" s="477">
        <v>3569097</v>
      </c>
      <c r="J279" s="472">
        <v>2571977</v>
      </c>
      <c r="K279" s="472">
        <v>8500</v>
      </c>
      <c r="L279" s="472">
        <v>872201</v>
      </c>
      <c r="M279" s="472">
        <v>51439</v>
      </c>
      <c r="N279" s="472">
        <v>64980</v>
      </c>
      <c r="O279" s="473">
        <v>4.4271000000000003</v>
      </c>
      <c r="P279" s="474">
        <v>2.9800000000000004</v>
      </c>
      <c r="Q279" s="483">
        <v>1.4471000000000001</v>
      </c>
      <c r="R279" s="485">
        <f t="shared" si="590"/>
        <v>0</v>
      </c>
      <c r="S279" s="475">
        <v>0</v>
      </c>
      <c r="T279" s="475">
        <v>0</v>
      </c>
      <c r="U279" s="475">
        <v>0</v>
      </c>
      <c r="V279" s="475">
        <v>0</v>
      </c>
      <c r="W279" s="475">
        <v>0</v>
      </c>
      <c r="X279" s="475">
        <f t="shared" si="570"/>
        <v>0</v>
      </c>
      <c r="Y279" s="475">
        <v>0</v>
      </c>
      <c r="Z279" s="475">
        <v>0</v>
      </c>
      <c r="AA279" s="475">
        <v>0</v>
      </c>
      <c r="AB279" s="475">
        <f t="shared" si="591"/>
        <v>0</v>
      </c>
      <c r="AC279" s="475">
        <f t="shared" si="592"/>
        <v>0</v>
      </c>
      <c r="AD279" s="70">
        <f t="shared" si="593"/>
        <v>0</v>
      </c>
      <c r="AE279" s="70">
        <f t="shared" si="594"/>
        <v>0</v>
      </c>
      <c r="AF279" s="475">
        <v>0</v>
      </c>
      <c r="AG279" s="475">
        <v>0</v>
      </c>
      <c r="AH279" s="475">
        <f t="shared" si="595"/>
        <v>0</v>
      </c>
      <c r="AI279" s="475">
        <f t="shared" si="596"/>
        <v>0</v>
      </c>
      <c r="AJ279" s="476">
        <v>0</v>
      </c>
      <c r="AK279" s="476">
        <v>0</v>
      </c>
      <c r="AL279" s="476">
        <v>0</v>
      </c>
      <c r="AM279" s="476">
        <v>0</v>
      </c>
      <c r="AN279" s="476">
        <v>0</v>
      </c>
      <c r="AO279" s="476">
        <v>0</v>
      </c>
      <c r="AP279" s="476">
        <v>0</v>
      </c>
      <c r="AQ279" s="476">
        <v>0</v>
      </c>
      <c r="AR279" s="476">
        <f t="shared" si="597"/>
        <v>0</v>
      </c>
      <c r="AS279" s="476">
        <f t="shared" si="598"/>
        <v>0</v>
      </c>
      <c r="AT279" s="478">
        <f t="shared" si="599"/>
        <v>0</v>
      </c>
      <c r="AU279" s="484">
        <f t="shared" si="600"/>
        <v>3569097</v>
      </c>
      <c r="AV279" s="475">
        <f t="shared" si="601"/>
        <v>2571977</v>
      </c>
      <c r="AW279" s="475">
        <f t="shared" si="602"/>
        <v>8500</v>
      </c>
      <c r="AX279" s="475">
        <f t="shared" si="603"/>
        <v>872201</v>
      </c>
      <c r="AY279" s="475">
        <f t="shared" si="603"/>
        <v>51439</v>
      </c>
      <c r="AZ279" s="475">
        <f t="shared" si="604"/>
        <v>64980</v>
      </c>
      <c r="BA279" s="476">
        <f t="shared" si="605"/>
        <v>4.4271000000000003</v>
      </c>
      <c r="BB279" s="476">
        <f t="shared" si="606"/>
        <v>2.9800000000000004</v>
      </c>
      <c r="BC279" s="478">
        <f t="shared" si="606"/>
        <v>1.4471000000000001</v>
      </c>
    </row>
    <row r="280" spans="1:55" s="234" customFormat="1" ht="12.75" customHeight="1" x14ac:dyDescent="0.2">
      <c r="A280" s="221">
        <v>50</v>
      </c>
      <c r="B280" s="222">
        <v>4491</v>
      </c>
      <c r="C280" s="222">
        <v>650050517</v>
      </c>
      <c r="D280" s="222">
        <v>72742437</v>
      </c>
      <c r="E280" s="220" t="s">
        <v>242</v>
      </c>
      <c r="F280" s="222">
        <v>3117</v>
      </c>
      <c r="G280" s="172" t="s">
        <v>312</v>
      </c>
      <c r="H280" s="223" t="s">
        <v>278</v>
      </c>
      <c r="I280" s="477">
        <v>470470</v>
      </c>
      <c r="J280" s="472">
        <v>346443</v>
      </c>
      <c r="K280" s="472">
        <v>0</v>
      </c>
      <c r="L280" s="472">
        <v>117098</v>
      </c>
      <c r="M280" s="472">
        <v>6929</v>
      </c>
      <c r="N280" s="472">
        <v>0</v>
      </c>
      <c r="O280" s="473">
        <v>1</v>
      </c>
      <c r="P280" s="474">
        <v>1</v>
      </c>
      <c r="Q280" s="483">
        <v>0</v>
      </c>
      <c r="R280" s="485">
        <f t="shared" si="590"/>
        <v>0</v>
      </c>
      <c r="S280" s="475">
        <v>0</v>
      </c>
      <c r="T280" s="475">
        <v>0</v>
      </c>
      <c r="U280" s="475">
        <v>0</v>
      </c>
      <c r="V280" s="475">
        <v>0</v>
      </c>
      <c r="W280" s="475">
        <v>0</v>
      </c>
      <c r="X280" s="475">
        <f t="shared" si="570"/>
        <v>0</v>
      </c>
      <c r="Y280" s="475">
        <v>0</v>
      </c>
      <c r="Z280" s="475">
        <v>0</v>
      </c>
      <c r="AA280" s="475">
        <v>0</v>
      </c>
      <c r="AB280" s="475">
        <f t="shared" si="591"/>
        <v>0</v>
      </c>
      <c r="AC280" s="475">
        <f t="shared" si="592"/>
        <v>0</v>
      </c>
      <c r="AD280" s="70">
        <f t="shared" si="593"/>
        <v>0</v>
      </c>
      <c r="AE280" s="70">
        <f t="shared" si="594"/>
        <v>0</v>
      </c>
      <c r="AF280" s="475">
        <v>0</v>
      </c>
      <c r="AG280" s="475">
        <v>0</v>
      </c>
      <c r="AH280" s="475">
        <f t="shared" si="595"/>
        <v>0</v>
      </c>
      <c r="AI280" s="475">
        <f t="shared" si="596"/>
        <v>0</v>
      </c>
      <c r="AJ280" s="476">
        <v>0</v>
      </c>
      <c r="AK280" s="476">
        <v>0</v>
      </c>
      <c r="AL280" s="476">
        <v>0</v>
      </c>
      <c r="AM280" s="476">
        <v>0</v>
      </c>
      <c r="AN280" s="476">
        <v>0</v>
      </c>
      <c r="AO280" s="476">
        <v>0</v>
      </c>
      <c r="AP280" s="476">
        <v>0</v>
      </c>
      <c r="AQ280" s="476">
        <v>0</v>
      </c>
      <c r="AR280" s="476">
        <f t="shared" si="597"/>
        <v>0</v>
      </c>
      <c r="AS280" s="476">
        <f t="shared" si="598"/>
        <v>0</v>
      </c>
      <c r="AT280" s="478">
        <f t="shared" si="599"/>
        <v>0</v>
      </c>
      <c r="AU280" s="484">
        <f t="shared" si="600"/>
        <v>470470</v>
      </c>
      <c r="AV280" s="475">
        <f t="shared" si="601"/>
        <v>346443</v>
      </c>
      <c r="AW280" s="475">
        <f t="shared" si="602"/>
        <v>0</v>
      </c>
      <c r="AX280" s="475">
        <f t="shared" si="603"/>
        <v>117098</v>
      </c>
      <c r="AY280" s="475">
        <f t="shared" si="603"/>
        <v>6929</v>
      </c>
      <c r="AZ280" s="475">
        <f t="shared" si="604"/>
        <v>0</v>
      </c>
      <c r="BA280" s="476">
        <f t="shared" si="605"/>
        <v>1</v>
      </c>
      <c r="BB280" s="476">
        <f t="shared" si="606"/>
        <v>1</v>
      </c>
      <c r="BC280" s="478">
        <f t="shared" si="606"/>
        <v>0</v>
      </c>
    </row>
    <row r="281" spans="1:55" s="234" customFormat="1" ht="12.75" customHeight="1" x14ac:dyDescent="0.2">
      <c r="A281" s="221">
        <v>50</v>
      </c>
      <c r="B281" s="222">
        <v>4491</v>
      </c>
      <c r="C281" s="222">
        <v>650050517</v>
      </c>
      <c r="D281" s="222">
        <v>72742437</v>
      </c>
      <c r="E281" s="220" t="s">
        <v>242</v>
      </c>
      <c r="F281" s="222">
        <v>3141</v>
      </c>
      <c r="G281" s="172" t="s">
        <v>315</v>
      </c>
      <c r="H281" s="223" t="s">
        <v>278</v>
      </c>
      <c r="I281" s="477">
        <v>790287</v>
      </c>
      <c r="J281" s="472">
        <v>578703</v>
      </c>
      <c r="K281" s="472">
        <v>0</v>
      </c>
      <c r="L281" s="472">
        <v>195602</v>
      </c>
      <c r="M281" s="472">
        <v>11574</v>
      </c>
      <c r="N281" s="472">
        <v>4408</v>
      </c>
      <c r="O281" s="473">
        <v>1.82</v>
      </c>
      <c r="P281" s="474">
        <v>0</v>
      </c>
      <c r="Q281" s="483">
        <v>1.82</v>
      </c>
      <c r="R281" s="485">
        <f t="shared" si="590"/>
        <v>0</v>
      </c>
      <c r="S281" s="475">
        <v>0</v>
      </c>
      <c r="T281" s="475">
        <v>-8649</v>
      </c>
      <c r="U281" s="475">
        <v>0</v>
      </c>
      <c r="V281" s="475">
        <v>0</v>
      </c>
      <c r="W281" s="475">
        <v>0</v>
      </c>
      <c r="X281" s="475">
        <f t="shared" si="570"/>
        <v>-8649</v>
      </c>
      <c r="Y281" s="475">
        <v>0</v>
      </c>
      <c r="Z281" s="475">
        <v>0</v>
      </c>
      <c r="AA281" s="475">
        <v>0</v>
      </c>
      <c r="AB281" s="475">
        <f t="shared" si="591"/>
        <v>0</v>
      </c>
      <c r="AC281" s="475">
        <f t="shared" si="592"/>
        <v>-8649</v>
      </c>
      <c r="AD281" s="70">
        <f t="shared" si="593"/>
        <v>-2923</v>
      </c>
      <c r="AE281" s="70">
        <f t="shared" si="594"/>
        <v>-173</v>
      </c>
      <c r="AF281" s="475">
        <v>0</v>
      </c>
      <c r="AG281" s="475">
        <v>0</v>
      </c>
      <c r="AH281" s="475">
        <f t="shared" si="595"/>
        <v>0</v>
      </c>
      <c r="AI281" s="475">
        <f t="shared" si="596"/>
        <v>-11745</v>
      </c>
      <c r="AJ281" s="476">
        <v>0</v>
      </c>
      <c r="AK281" s="476">
        <v>0</v>
      </c>
      <c r="AL281" s="476">
        <v>0</v>
      </c>
      <c r="AM281" s="476">
        <v>0</v>
      </c>
      <c r="AN281" s="476">
        <v>-0.02</v>
      </c>
      <c r="AO281" s="476">
        <v>0</v>
      </c>
      <c r="AP281" s="476">
        <v>0</v>
      </c>
      <c r="AQ281" s="476">
        <v>0</v>
      </c>
      <c r="AR281" s="476">
        <f t="shared" si="597"/>
        <v>0</v>
      </c>
      <c r="AS281" s="476">
        <f t="shared" si="598"/>
        <v>-0.02</v>
      </c>
      <c r="AT281" s="478">
        <f t="shared" si="599"/>
        <v>-0.02</v>
      </c>
      <c r="AU281" s="484">
        <f t="shared" si="600"/>
        <v>778542</v>
      </c>
      <c r="AV281" s="475">
        <f t="shared" si="601"/>
        <v>570054</v>
      </c>
      <c r="AW281" s="475">
        <f t="shared" si="602"/>
        <v>0</v>
      </c>
      <c r="AX281" s="475">
        <f t="shared" si="603"/>
        <v>192679</v>
      </c>
      <c r="AY281" s="475">
        <f t="shared" si="603"/>
        <v>11401</v>
      </c>
      <c r="AZ281" s="475">
        <f t="shared" si="604"/>
        <v>4408</v>
      </c>
      <c r="BA281" s="476">
        <f t="shared" si="605"/>
        <v>1.8</v>
      </c>
      <c r="BB281" s="476">
        <f t="shared" si="606"/>
        <v>0</v>
      </c>
      <c r="BC281" s="478">
        <f t="shared" si="606"/>
        <v>1.8</v>
      </c>
    </row>
    <row r="282" spans="1:55" s="234" customFormat="1" ht="12.75" customHeight="1" x14ac:dyDescent="0.2">
      <c r="A282" s="221">
        <v>50</v>
      </c>
      <c r="B282" s="222">
        <v>4491</v>
      </c>
      <c r="C282" s="222">
        <v>650050517</v>
      </c>
      <c r="D282" s="222">
        <v>72742437</v>
      </c>
      <c r="E282" s="220" t="s">
        <v>242</v>
      </c>
      <c r="F282" s="222">
        <v>3143</v>
      </c>
      <c r="G282" s="172" t="s">
        <v>626</v>
      </c>
      <c r="H282" s="239" t="s">
        <v>277</v>
      </c>
      <c r="I282" s="477">
        <v>690768</v>
      </c>
      <c r="J282" s="472">
        <v>506695</v>
      </c>
      <c r="K282" s="472">
        <v>2000</v>
      </c>
      <c r="L282" s="472">
        <v>171939</v>
      </c>
      <c r="M282" s="472">
        <v>10134</v>
      </c>
      <c r="N282" s="472">
        <v>0</v>
      </c>
      <c r="O282" s="473">
        <v>1.0179</v>
      </c>
      <c r="P282" s="474">
        <v>1.0179</v>
      </c>
      <c r="Q282" s="483">
        <v>0</v>
      </c>
      <c r="R282" s="485">
        <f t="shared" si="590"/>
        <v>0</v>
      </c>
      <c r="S282" s="475">
        <v>0</v>
      </c>
      <c r="T282" s="475">
        <v>0</v>
      </c>
      <c r="U282" s="475">
        <v>0</v>
      </c>
      <c r="V282" s="475">
        <v>0</v>
      </c>
      <c r="W282" s="475">
        <v>0</v>
      </c>
      <c r="X282" s="475">
        <f t="shared" si="570"/>
        <v>0</v>
      </c>
      <c r="Y282" s="475">
        <v>0</v>
      </c>
      <c r="Z282" s="475">
        <v>0</v>
      </c>
      <c r="AA282" s="475">
        <v>0</v>
      </c>
      <c r="AB282" s="475">
        <f t="shared" si="591"/>
        <v>0</v>
      </c>
      <c r="AC282" s="475">
        <f t="shared" si="592"/>
        <v>0</v>
      </c>
      <c r="AD282" s="70">
        <f t="shared" si="593"/>
        <v>0</v>
      </c>
      <c r="AE282" s="70">
        <f t="shared" si="594"/>
        <v>0</v>
      </c>
      <c r="AF282" s="475">
        <v>0</v>
      </c>
      <c r="AG282" s="475">
        <v>0</v>
      </c>
      <c r="AH282" s="475">
        <f t="shared" si="595"/>
        <v>0</v>
      </c>
      <c r="AI282" s="475">
        <f t="shared" si="596"/>
        <v>0</v>
      </c>
      <c r="AJ282" s="476">
        <v>0</v>
      </c>
      <c r="AK282" s="476">
        <v>0</v>
      </c>
      <c r="AL282" s="476">
        <v>0</v>
      </c>
      <c r="AM282" s="476">
        <v>0</v>
      </c>
      <c r="AN282" s="476">
        <v>0</v>
      </c>
      <c r="AO282" s="476">
        <v>0</v>
      </c>
      <c r="AP282" s="476">
        <v>0</v>
      </c>
      <c r="AQ282" s="476">
        <v>0</v>
      </c>
      <c r="AR282" s="476">
        <f t="shared" si="597"/>
        <v>0</v>
      </c>
      <c r="AS282" s="476">
        <f t="shared" si="598"/>
        <v>0</v>
      </c>
      <c r="AT282" s="478">
        <f t="shared" si="599"/>
        <v>0</v>
      </c>
      <c r="AU282" s="484">
        <f t="shared" si="600"/>
        <v>690768</v>
      </c>
      <c r="AV282" s="475">
        <f t="shared" si="601"/>
        <v>506695</v>
      </c>
      <c r="AW282" s="475">
        <f t="shared" si="602"/>
        <v>2000</v>
      </c>
      <c r="AX282" s="475">
        <f t="shared" si="603"/>
        <v>171939</v>
      </c>
      <c r="AY282" s="475">
        <f t="shared" si="603"/>
        <v>10134</v>
      </c>
      <c r="AZ282" s="475">
        <f t="shared" si="604"/>
        <v>0</v>
      </c>
      <c r="BA282" s="476">
        <f t="shared" si="605"/>
        <v>1.0179</v>
      </c>
      <c r="BB282" s="476">
        <f t="shared" si="606"/>
        <v>1.0179</v>
      </c>
      <c r="BC282" s="478">
        <f t="shared" si="606"/>
        <v>0</v>
      </c>
    </row>
    <row r="283" spans="1:55" s="234" customFormat="1" ht="12.75" customHeight="1" x14ac:dyDescent="0.2">
      <c r="A283" s="221">
        <v>50</v>
      </c>
      <c r="B283" s="222">
        <v>4491</v>
      </c>
      <c r="C283" s="222">
        <v>650050517</v>
      </c>
      <c r="D283" s="222">
        <v>72742437</v>
      </c>
      <c r="E283" s="220" t="s">
        <v>242</v>
      </c>
      <c r="F283" s="222">
        <v>3143</v>
      </c>
      <c r="G283" s="172" t="s">
        <v>627</v>
      </c>
      <c r="H283" s="239" t="s">
        <v>278</v>
      </c>
      <c r="I283" s="477">
        <v>22680</v>
      </c>
      <c r="J283" s="472">
        <v>16038</v>
      </c>
      <c r="K283" s="472">
        <v>0</v>
      </c>
      <c r="L283" s="472">
        <v>5421</v>
      </c>
      <c r="M283" s="472">
        <v>321</v>
      </c>
      <c r="N283" s="472">
        <v>900</v>
      </c>
      <c r="O283" s="473">
        <v>0.06</v>
      </c>
      <c r="P283" s="474">
        <v>0</v>
      </c>
      <c r="Q283" s="483">
        <v>0.06</v>
      </c>
      <c r="R283" s="485">
        <f t="shared" si="590"/>
        <v>0</v>
      </c>
      <c r="S283" s="475">
        <v>0</v>
      </c>
      <c r="T283" s="475">
        <v>0</v>
      </c>
      <c r="U283" s="475">
        <v>0</v>
      </c>
      <c r="V283" s="475">
        <v>0</v>
      </c>
      <c r="W283" s="475">
        <v>0</v>
      </c>
      <c r="X283" s="475">
        <f t="shared" si="570"/>
        <v>0</v>
      </c>
      <c r="Y283" s="475">
        <v>0</v>
      </c>
      <c r="Z283" s="475">
        <v>0</v>
      </c>
      <c r="AA283" s="475">
        <v>0</v>
      </c>
      <c r="AB283" s="475">
        <f t="shared" si="591"/>
        <v>0</v>
      </c>
      <c r="AC283" s="475">
        <f t="shared" si="592"/>
        <v>0</v>
      </c>
      <c r="AD283" s="70">
        <f t="shared" si="593"/>
        <v>0</v>
      </c>
      <c r="AE283" s="70">
        <f t="shared" si="594"/>
        <v>0</v>
      </c>
      <c r="AF283" s="475">
        <v>0</v>
      </c>
      <c r="AG283" s="475">
        <v>0</v>
      </c>
      <c r="AH283" s="475">
        <f t="shared" si="595"/>
        <v>0</v>
      </c>
      <c r="AI283" s="475">
        <f t="shared" si="596"/>
        <v>0</v>
      </c>
      <c r="AJ283" s="476">
        <v>0</v>
      </c>
      <c r="AK283" s="476">
        <v>0</v>
      </c>
      <c r="AL283" s="476">
        <v>0</v>
      </c>
      <c r="AM283" s="476">
        <v>0</v>
      </c>
      <c r="AN283" s="476">
        <v>0</v>
      </c>
      <c r="AO283" s="476">
        <v>0</v>
      </c>
      <c r="AP283" s="476">
        <v>0</v>
      </c>
      <c r="AQ283" s="476">
        <v>0</v>
      </c>
      <c r="AR283" s="476">
        <f t="shared" si="597"/>
        <v>0</v>
      </c>
      <c r="AS283" s="476">
        <f t="shared" si="598"/>
        <v>0</v>
      </c>
      <c r="AT283" s="478">
        <f t="shared" si="599"/>
        <v>0</v>
      </c>
      <c r="AU283" s="484">
        <f t="shared" si="600"/>
        <v>22680</v>
      </c>
      <c r="AV283" s="475">
        <f t="shared" si="601"/>
        <v>16038</v>
      </c>
      <c r="AW283" s="475">
        <f t="shared" si="602"/>
        <v>0</v>
      </c>
      <c r="AX283" s="475">
        <f t="shared" si="603"/>
        <v>5421</v>
      </c>
      <c r="AY283" s="475">
        <f t="shared" si="603"/>
        <v>321</v>
      </c>
      <c r="AZ283" s="475">
        <f t="shared" si="604"/>
        <v>900</v>
      </c>
      <c r="BA283" s="476">
        <f t="shared" si="605"/>
        <v>0.06</v>
      </c>
      <c r="BB283" s="476">
        <f t="shared" si="606"/>
        <v>0</v>
      </c>
      <c r="BC283" s="478">
        <f t="shared" si="606"/>
        <v>0.06</v>
      </c>
    </row>
    <row r="284" spans="1:55" s="234" customFormat="1" ht="12.75" customHeight="1" x14ac:dyDescent="0.2">
      <c r="A284" s="162">
        <v>50</v>
      </c>
      <c r="B284" s="18">
        <v>4491</v>
      </c>
      <c r="C284" s="18">
        <v>650050517</v>
      </c>
      <c r="D284" s="18">
        <v>72742437</v>
      </c>
      <c r="E284" s="171" t="s">
        <v>243</v>
      </c>
      <c r="F284" s="18"/>
      <c r="G284" s="161"/>
      <c r="H284" s="195"/>
      <c r="I284" s="529">
        <v>7133714</v>
      </c>
      <c r="J284" s="526">
        <v>5182401</v>
      </c>
      <c r="K284" s="526">
        <v>12500</v>
      </c>
      <c r="L284" s="526">
        <v>1755877</v>
      </c>
      <c r="M284" s="526">
        <v>103648</v>
      </c>
      <c r="N284" s="526">
        <v>79288</v>
      </c>
      <c r="O284" s="527">
        <v>10.7859</v>
      </c>
      <c r="P284" s="527">
        <v>6.9979000000000005</v>
      </c>
      <c r="Q284" s="531">
        <v>3.7879999999999998</v>
      </c>
      <c r="R284" s="529">
        <f t="shared" ref="R284:BC284" si="607">SUM(R278:R283)</f>
        <v>0</v>
      </c>
      <c r="S284" s="526">
        <f t="shared" si="607"/>
        <v>0</v>
      </c>
      <c r="T284" s="526">
        <f t="shared" si="607"/>
        <v>-8649</v>
      </c>
      <c r="U284" s="526">
        <f t="shared" si="607"/>
        <v>0</v>
      </c>
      <c r="V284" s="526">
        <f t="shared" si="607"/>
        <v>0</v>
      </c>
      <c r="W284" s="526">
        <f t="shared" si="607"/>
        <v>0</v>
      </c>
      <c r="X284" s="526">
        <f t="shared" si="607"/>
        <v>-8649</v>
      </c>
      <c r="Y284" s="526">
        <f t="shared" si="607"/>
        <v>0</v>
      </c>
      <c r="Z284" s="526">
        <f t="shared" si="607"/>
        <v>0</v>
      </c>
      <c r="AA284" s="526">
        <f t="shared" si="607"/>
        <v>0</v>
      </c>
      <c r="AB284" s="526">
        <f t="shared" si="607"/>
        <v>0</v>
      </c>
      <c r="AC284" s="526">
        <f t="shared" si="607"/>
        <v>-8649</v>
      </c>
      <c r="AD284" s="526">
        <f t="shared" si="607"/>
        <v>-2923</v>
      </c>
      <c r="AE284" s="526">
        <f t="shared" si="607"/>
        <v>-173</v>
      </c>
      <c r="AF284" s="526">
        <f t="shared" si="607"/>
        <v>0</v>
      </c>
      <c r="AG284" s="526">
        <f t="shared" si="607"/>
        <v>0</v>
      </c>
      <c r="AH284" s="526">
        <f t="shared" si="607"/>
        <v>0</v>
      </c>
      <c r="AI284" s="526">
        <f t="shared" si="607"/>
        <v>-11745</v>
      </c>
      <c r="AJ284" s="527">
        <f t="shared" si="607"/>
        <v>0</v>
      </c>
      <c r="AK284" s="527">
        <f t="shared" si="607"/>
        <v>0</v>
      </c>
      <c r="AL284" s="527">
        <f t="shared" si="607"/>
        <v>0</v>
      </c>
      <c r="AM284" s="527">
        <f t="shared" si="607"/>
        <v>0</v>
      </c>
      <c r="AN284" s="527">
        <f t="shared" si="607"/>
        <v>-0.02</v>
      </c>
      <c r="AO284" s="527">
        <f t="shared" si="607"/>
        <v>0</v>
      </c>
      <c r="AP284" s="527">
        <f t="shared" si="607"/>
        <v>0</v>
      </c>
      <c r="AQ284" s="527">
        <f t="shared" si="607"/>
        <v>0</v>
      </c>
      <c r="AR284" s="527">
        <f t="shared" si="607"/>
        <v>0</v>
      </c>
      <c r="AS284" s="527">
        <f t="shared" si="607"/>
        <v>-0.02</v>
      </c>
      <c r="AT284" s="40">
        <f t="shared" si="607"/>
        <v>-0.02</v>
      </c>
      <c r="AU284" s="533">
        <f t="shared" si="607"/>
        <v>7121969</v>
      </c>
      <c r="AV284" s="526">
        <f t="shared" si="607"/>
        <v>5173752</v>
      </c>
      <c r="AW284" s="526">
        <f t="shared" si="607"/>
        <v>12500</v>
      </c>
      <c r="AX284" s="526">
        <f t="shared" si="607"/>
        <v>1752954</v>
      </c>
      <c r="AY284" s="526">
        <f t="shared" si="607"/>
        <v>103475</v>
      </c>
      <c r="AZ284" s="526">
        <f t="shared" si="607"/>
        <v>79288</v>
      </c>
      <c r="BA284" s="527">
        <f t="shared" si="607"/>
        <v>10.7659</v>
      </c>
      <c r="BB284" s="527">
        <f t="shared" si="607"/>
        <v>6.9979000000000005</v>
      </c>
      <c r="BC284" s="40">
        <f t="shared" si="607"/>
        <v>3.7680000000000002</v>
      </c>
    </row>
    <row r="285" spans="1:55" s="234" customFormat="1" ht="12.75" customHeight="1" x14ac:dyDescent="0.2">
      <c r="A285" s="221">
        <v>51</v>
      </c>
      <c r="B285" s="222">
        <v>4465</v>
      </c>
      <c r="C285" s="222">
        <v>600074757</v>
      </c>
      <c r="D285" s="222">
        <v>46750428</v>
      </c>
      <c r="E285" s="220" t="s">
        <v>244</v>
      </c>
      <c r="F285" s="222">
        <v>3111</v>
      </c>
      <c r="G285" s="172" t="s">
        <v>311</v>
      </c>
      <c r="H285" s="223" t="s">
        <v>277</v>
      </c>
      <c r="I285" s="477">
        <v>7531427</v>
      </c>
      <c r="J285" s="472">
        <v>5490145</v>
      </c>
      <c r="K285" s="472">
        <v>20000</v>
      </c>
      <c r="L285" s="472">
        <v>1862429</v>
      </c>
      <c r="M285" s="472">
        <v>109803</v>
      </c>
      <c r="N285" s="472">
        <v>49050</v>
      </c>
      <c r="O285" s="473">
        <v>12.151300000000001</v>
      </c>
      <c r="P285" s="474">
        <v>9.5967000000000002</v>
      </c>
      <c r="Q285" s="483">
        <v>2.5546000000000002</v>
      </c>
      <c r="R285" s="485">
        <f t="shared" ref="R285:R290" si="608">Y285*-1</f>
        <v>0</v>
      </c>
      <c r="S285" s="475">
        <v>0</v>
      </c>
      <c r="T285" s="475">
        <v>59461</v>
      </c>
      <c r="U285" s="475">
        <v>0</v>
      </c>
      <c r="V285" s="475">
        <v>0</v>
      </c>
      <c r="W285" s="475">
        <v>0</v>
      </c>
      <c r="X285" s="475">
        <f t="shared" si="570"/>
        <v>59461</v>
      </c>
      <c r="Y285" s="475">
        <v>0</v>
      </c>
      <c r="Z285" s="475">
        <v>0</v>
      </c>
      <c r="AA285" s="475">
        <v>0</v>
      </c>
      <c r="AB285" s="475">
        <f t="shared" ref="AB285:AB290" si="609">SUM(Y285:AA285)</f>
        <v>0</v>
      </c>
      <c r="AC285" s="475">
        <f t="shared" ref="AC285:AC290" si="610">X285+AB285</f>
        <v>59461</v>
      </c>
      <c r="AD285" s="70">
        <f t="shared" ref="AD285:AD290" si="611">ROUND((X285+Y285+Z285)*33.8%,0)</f>
        <v>20098</v>
      </c>
      <c r="AE285" s="70">
        <f t="shared" ref="AE285:AE290" si="612">ROUND(X285*2%,0)</f>
        <v>1189</v>
      </c>
      <c r="AF285" s="475">
        <v>0</v>
      </c>
      <c r="AG285" s="475">
        <v>0</v>
      </c>
      <c r="AH285" s="475">
        <f t="shared" ref="AH285:AH290" si="613">SUM(AF285:AG285)</f>
        <v>0</v>
      </c>
      <c r="AI285" s="475">
        <f t="shared" ref="AI285:AI290" si="614">AC285+AD285+AE285+AH285</f>
        <v>80748</v>
      </c>
      <c r="AJ285" s="476">
        <v>0</v>
      </c>
      <c r="AK285" s="476">
        <v>0</v>
      </c>
      <c r="AL285" s="476">
        <v>0</v>
      </c>
      <c r="AM285" s="476">
        <v>0.12</v>
      </c>
      <c r="AN285" s="476">
        <v>0</v>
      </c>
      <c r="AO285" s="476">
        <v>0</v>
      </c>
      <c r="AP285" s="476">
        <v>0</v>
      </c>
      <c r="AQ285" s="476">
        <v>0</v>
      </c>
      <c r="AR285" s="476">
        <f t="shared" ref="AR285:AR290" si="615">AJ285+AL285+AM285+AO285+AP285</f>
        <v>0.12</v>
      </c>
      <c r="AS285" s="476">
        <f t="shared" ref="AS285:AS290" si="616">AK285+AN285+AQ285</f>
        <v>0</v>
      </c>
      <c r="AT285" s="478">
        <f t="shared" ref="AT285:AT290" si="617">SUM(AR285:AS285)</f>
        <v>0.12</v>
      </c>
      <c r="AU285" s="484">
        <f t="shared" ref="AU285:AU290" si="618">I285+AI285</f>
        <v>7612175</v>
      </c>
      <c r="AV285" s="475">
        <f t="shared" ref="AV285:AV290" si="619">J285+X285</f>
        <v>5549606</v>
      </c>
      <c r="AW285" s="475">
        <f t="shared" ref="AW285:AW290" si="620">K285+AB285</f>
        <v>20000</v>
      </c>
      <c r="AX285" s="475">
        <f t="shared" ref="AX285:AY290" si="621">L285+AD285</f>
        <v>1882527</v>
      </c>
      <c r="AY285" s="475">
        <f t="shared" si="621"/>
        <v>110992</v>
      </c>
      <c r="AZ285" s="475">
        <f t="shared" ref="AZ285:AZ290" si="622">N285+AH285</f>
        <v>49050</v>
      </c>
      <c r="BA285" s="476">
        <f t="shared" ref="BA285:BA290" si="623">O285+AT285</f>
        <v>12.2713</v>
      </c>
      <c r="BB285" s="476">
        <f t="shared" ref="BB285:BC290" si="624">P285+AR285</f>
        <v>9.7166999999999994</v>
      </c>
      <c r="BC285" s="478">
        <f t="shared" si="624"/>
        <v>2.5546000000000002</v>
      </c>
    </row>
    <row r="286" spans="1:55" s="234" customFormat="1" ht="12.75" customHeight="1" x14ac:dyDescent="0.2">
      <c r="A286" s="221">
        <v>51</v>
      </c>
      <c r="B286" s="222">
        <v>4465</v>
      </c>
      <c r="C286" s="222">
        <v>600074757</v>
      </c>
      <c r="D286" s="222">
        <v>46750428</v>
      </c>
      <c r="E286" s="220" t="s">
        <v>244</v>
      </c>
      <c r="F286" s="222">
        <v>3113</v>
      </c>
      <c r="G286" s="172" t="s">
        <v>314</v>
      </c>
      <c r="H286" s="223" t="s">
        <v>277</v>
      </c>
      <c r="I286" s="477">
        <v>24643703</v>
      </c>
      <c r="J286" s="472">
        <v>17613529</v>
      </c>
      <c r="K286" s="472">
        <v>161687</v>
      </c>
      <c r="L286" s="472">
        <v>6000997</v>
      </c>
      <c r="M286" s="472">
        <v>352270</v>
      </c>
      <c r="N286" s="472">
        <v>515220</v>
      </c>
      <c r="O286" s="473">
        <v>32.280900000000003</v>
      </c>
      <c r="P286" s="474">
        <v>24.1081</v>
      </c>
      <c r="Q286" s="483">
        <v>8.1728000000000005</v>
      </c>
      <c r="R286" s="485">
        <f t="shared" si="608"/>
        <v>0</v>
      </c>
      <c r="S286" s="475">
        <v>0</v>
      </c>
      <c r="T286" s="475">
        <v>0</v>
      </c>
      <c r="U286" s="475">
        <v>0</v>
      </c>
      <c r="V286" s="475">
        <v>0</v>
      </c>
      <c r="W286" s="475">
        <v>0</v>
      </c>
      <c r="X286" s="475">
        <f t="shared" si="570"/>
        <v>0</v>
      </c>
      <c r="Y286" s="475">
        <v>0</v>
      </c>
      <c r="Z286" s="475">
        <v>0</v>
      </c>
      <c r="AA286" s="475">
        <v>0</v>
      </c>
      <c r="AB286" s="475">
        <f t="shared" si="609"/>
        <v>0</v>
      </c>
      <c r="AC286" s="475">
        <f t="shared" si="610"/>
        <v>0</v>
      </c>
      <c r="AD286" s="70">
        <f t="shared" si="611"/>
        <v>0</v>
      </c>
      <c r="AE286" s="70">
        <f t="shared" si="612"/>
        <v>0</v>
      </c>
      <c r="AF286" s="475">
        <v>0</v>
      </c>
      <c r="AG286" s="475">
        <v>0</v>
      </c>
      <c r="AH286" s="475">
        <f t="shared" si="613"/>
        <v>0</v>
      </c>
      <c r="AI286" s="475">
        <f t="shared" si="614"/>
        <v>0</v>
      </c>
      <c r="AJ286" s="476">
        <v>0</v>
      </c>
      <c r="AK286" s="476">
        <v>0</v>
      </c>
      <c r="AL286" s="476">
        <v>0</v>
      </c>
      <c r="AM286" s="476">
        <v>0</v>
      </c>
      <c r="AN286" s="476">
        <v>0</v>
      </c>
      <c r="AO286" s="476">
        <v>0</v>
      </c>
      <c r="AP286" s="476">
        <v>0</v>
      </c>
      <c r="AQ286" s="476">
        <v>0</v>
      </c>
      <c r="AR286" s="476">
        <f t="shared" si="615"/>
        <v>0</v>
      </c>
      <c r="AS286" s="476">
        <f t="shared" si="616"/>
        <v>0</v>
      </c>
      <c r="AT286" s="478">
        <f t="shared" si="617"/>
        <v>0</v>
      </c>
      <c r="AU286" s="484">
        <f t="shared" si="618"/>
        <v>24643703</v>
      </c>
      <c r="AV286" s="475">
        <f t="shared" si="619"/>
        <v>17613529</v>
      </c>
      <c r="AW286" s="475">
        <f t="shared" si="620"/>
        <v>161687</v>
      </c>
      <c r="AX286" s="475">
        <f t="shared" si="621"/>
        <v>6000997</v>
      </c>
      <c r="AY286" s="475">
        <f t="shared" si="621"/>
        <v>352270</v>
      </c>
      <c r="AZ286" s="475">
        <f t="shared" si="622"/>
        <v>515220</v>
      </c>
      <c r="BA286" s="476">
        <f t="shared" si="623"/>
        <v>32.280900000000003</v>
      </c>
      <c r="BB286" s="476">
        <f t="shared" si="624"/>
        <v>24.1081</v>
      </c>
      <c r="BC286" s="478">
        <f t="shared" si="624"/>
        <v>8.1728000000000005</v>
      </c>
    </row>
    <row r="287" spans="1:55" s="234" customFormat="1" ht="12.75" customHeight="1" x14ac:dyDescent="0.2">
      <c r="A287" s="221">
        <v>51</v>
      </c>
      <c r="B287" s="222">
        <v>4465</v>
      </c>
      <c r="C287" s="222">
        <v>600074757</v>
      </c>
      <c r="D287" s="222">
        <v>46750428</v>
      </c>
      <c r="E287" s="220" t="s">
        <v>244</v>
      </c>
      <c r="F287" s="222">
        <v>3113</v>
      </c>
      <c r="G287" s="172" t="s">
        <v>312</v>
      </c>
      <c r="H287" s="223" t="s">
        <v>278</v>
      </c>
      <c r="I287" s="477">
        <v>1839151</v>
      </c>
      <c r="J287" s="472">
        <v>1352099</v>
      </c>
      <c r="K287" s="472">
        <v>0</v>
      </c>
      <c r="L287" s="472">
        <v>457009</v>
      </c>
      <c r="M287" s="472">
        <v>27043</v>
      </c>
      <c r="N287" s="472">
        <v>3000</v>
      </c>
      <c r="O287" s="473">
        <v>3.9000000000000004</v>
      </c>
      <c r="P287" s="474">
        <v>3.9000000000000004</v>
      </c>
      <c r="Q287" s="483">
        <v>0</v>
      </c>
      <c r="R287" s="485">
        <f t="shared" si="608"/>
        <v>0</v>
      </c>
      <c r="S287" s="475">
        <v>21653</v>
      </c>
      <c r="T287" s="475">
        <v>0</v>
      </c>
      <c r="U287" s="475">
        <v>0</v>
      </c>
      <c r="V287" s="475">
        <v>0</v>
      </c>
      <c r="W287" s="475">
        <v>0</v>
      </c>
      <c r="X287" s="475">
        <f t="shared" si="570"/>
        <v>21653</v>
      </c>
      <c r="Y287" s="475">
        <v>0</v>
      </c>
      <c r="Z287" s="475">
        <v>0</v>
      </c>
      <c r="AA287" s="475">
        <v>0</v>
      </c>
      <c r="AB287" s="475">
        <f t="shared" si="609"/>
        <v>0</v>
      </c>
      <c r="AC287" s="475">
        <f t="shared" si="610"/>
        <v>21653</v>
      </c>
      <c r="AD287" s="70">
        <f t="shared" si="611"/>
        <v>7319</v>
      </c>
      <c r="AE287" s="70">
        <f t="shared" si="612"/>
        <v>433</v>
      </c>
      <c r="AF287" s="475">
        <v>0</v>
      </c>
      <c r="AG287" s="475">
        <v>0</v>
      </c>
      <c r="AH287" s="475">
        <f t="shared" si="613"/>
        <v>0</v>
      </c>
      <c r="AI287" s="475">
        <f t="shared" si="614"/>
        <v>29405</v>
      </c>
      <c r="AJ287" s="476">
        <v>0</v>
      </c>
      <c r="AK287" s="476">
        <v>0</v>
      </c>
      <c r="AL287" s="476">
        <v>0.06</v>
      </c>
      <c r="AM287" s="476">
        <v>0</v>
      </c>
      <c r="AN287" s="476">
        <v>0</v>
      </c>
      <c r="AO287" s="476">
        <v>0</v>
      </c>
      <c r="AP287" s="476">
        <v>0</v>
      </c>
      <c r="AQ287" s="476">
        <v>0</v>
      </c>
      <c r="AR287" s="476">
        <f t="shared" si="615"/>
        <v>0.06</v>
      </c>
      <c r="AS287" s="476">
        <f t="shared" si="616"/>
        <v>0</v>
      </c>
      <c r="AT287" s="478">
        <f t="shared" si="617"/>
        <v>0.06</v>
      </c>
      <c r="AU287" s="484">
        <f t="shared" si="618"/>
        <v>1868556</v>
      </c>
      <c r="AV287" s="475">
        <f t="shared" si="619"/>
        <v>1373752</v>
      </c>
      <c r="AW287" s="475">
        <f t="shared" si="620"/>
        <v>0</v>
      </c>
      <c r="AX287" s="475">
        <f t="shared" si="621"/>
        <v>464328</v>
      </c>
      <c r="AY287" s="475">
        <f t="shared" si="621"/>
        <v>27476</v>
      </c>
      <c r="AZ287" s="475">
        <f t="shared" si="622"/>
        <v>3000</v>
      </c>
      <c r="BA287" s="476">
        <f t="shared" si="623"/>
        <v>3.9600000000000004</v>
      </c>
      <c r="BB287" s="476">
        <f t="shared" si="624"/>
        <v>3.9600000000000004</v>
      </c>
      <c r="BC287" s="478">
        <f t="shared" si="624"/>
        <v>0</v>
      </c>
    </row>
    <row r="288" spans="1:55" s="234" customFormat="1" ht="12.75" customHeight="1" x14ac:dyDescent="0.2">
      <c r="A288" s="221">
        <v>51</v>
      </c>
      <c r="B288" s="222">
        <v>4465</v>
      </c>
      <c r="C288" s="222">
        <v>600074757</v>
      </c>
      <c r="D288" s="222">
        <v>46750428</v>
      </c>
      <c r="E288" s="220" t="s">
        <v>244</v>
      </c>
      <c r="F288" s="222">
        <v>3141</v>
      </c>
      <c r="G288" s="172" t="s">
        <v>315</v>
      </c>
      <c r="H288" s="223" t="s">
        <v>278</v>
      </c>
      <c r="I288" s="477">
        <v>3332807</v>
      </c>
      <c r="J288" s="472">
        <v>2437693</v>
      </c>
      <c r="K288" s="472">
        <v>0</v>
      </c>
      <c r="L288" s="472">
        <v>823940</v>
      </c>
      <c r="M288" s="472">
        <v>48754</v>
      </c>
      <c r="N288" s="472">
        <v>22420</v>
      </c>
      <c r="O288" s="473">
        <v>7.67</v>
      </c>
      <c r="P288" s="474">
        <v>0</v>
      </c>
      <c r="Q288" s="483">
        <v>7.67</v>
      </c>
      <c r="R288" s="485">
        <f t="shared" si="608"/>
        <v>0</v>
      </c>
      <c r="S288" s="475">
        <v>0</v>
      </c>
      <c r="T288" s="475">
        <v>-9523</v>
      </c>
      <c r="U288" s="475">
        <v>0</v>
      </c>
      <c r="V288" s="475">
        <v>0</v>
      </c>
      <c r="W288" s="475">
        <v>0</v>
      </c>
      <c r="X288" s="475">
        <f t="shared" si="570"/>
        <v>-9523</v>
      </c>
      <c r="Y288" s="475">
        <v>0</v>
      </c>
      <c r="Z288" s="475">
        <v>0</v>
      </c>
      <c r="AA288" s="475">
        <v>0</v>
      </c>
      <c r="AB288" s="475">
        <f t="shared" si="609"/>
        <v>0</v>
      </c>
      <c r="AC288" s="475">
        <f t="shared" si="610"/>
        <v>-9523</v>
      </c>
      <c r="AD288" s="70">
        <f t="shared" si="611"/>
        <v>-3219</v>
      </c>
      <c r="AE288" s="70">
        <f t="shared" si="612"/>
        <v>-190</v>
      </c>
      <c r="AF288" s="475">
        <v>0</v>
      </c>
      <c r="AG288" s="475">
        <v>0</v>
      </c>
      <c r="AH288" s="475">
        <f t="shared" si="613"/>
        <v>0</v>
      </c>
      <c r="AI288" s="475">
        <f t="shared" si="614"/>
        <v>-12932</v>
      </c>
      <c r="AJ288" s="476">
        <v>0</v>
      </c>
      <c r="AK288" s="476">
        <v>0</v>
      </c>
      <c r="AL288" s="476">
        <v>0</v>
      </c>
      <c r="AM288" s="476">
        <v>0</v>
      </c>
      <c r="AN288" s="476">
        <v>-0.03</v>
      </c>
      <c r="AO288" s="476">
        <v>0</v>
      </c>
      <c r="AP288" s="476">
        <v>0</v>
      </c>
      <c r="AQ288" s="476">
        <v>0</v>
      </c>
      <c r="AR288" s="476">
        <f t="shared" si="615"/>
        <v>0</v>
      </c>
      <c r="AS288" s="476">
        <f t="shared" si="616"/>
        <v>-0.03</v>
      </c>
      <c r="AT288" s="478">
        <f t="shared" si="617"/>
        <v>-0.03</v>
      </c>
      <c r="AU288" s="484">
        <f t="shared" si="618"/>
        <v>3319875</v>
      </c>
      <c r="AV288" s="475">
        <f t="shared" si="619"/>
        <v>2428170</v>
      </c>
      <c r="AW288" s="475">
        <f t="shared" si="620"/>
        <v>0</v>
      </c>
      <c r="AX288" s="475">
        <f t="shared" si="621"/>
        <v>820721</v>
      </c>
      <c r="AY288" s="475">
        <f t="shared" si="621"/>
        <v>48564</v>
      </c>
      <c r="AZ288" s="475">
        <f t="shared" si="622"/>
        <v>22420</v>
      </c>
      <c r="BA288" s="476">
        <f t="shared" si="623"/>
        <v>7.64</v>
      </c>
      <c r="BB288" s="476">
        <f t="shared" si="624"/>
        <v>0</v>
      </c>
      <c r="BC288" s="478">
        <f t="shared" si="624"/>
        <v>7.64</v>
      </c>
    </row>
    <row r="289" spans="1:55" s="234" customFormat="1" ht="12.75" customHeight="1" x14ac:dyDescent="0.2">
      <c r="A289" s="221">
        <v>51</v>
      </c>
      <c r="B289" s="222">
        <v>4465</v>
      </c>
      <c r="C289" s="222">
        <v>600074757</v>
      </c>
      <c r="D289" s="222">
        <v>46750428</v>
      </c>
      <c r="E289" s="220" t="s">
        <v>244</v>
      </c>
      <c r="F289" s="222">
        <v>3143</v>
      </c>
      <c r="G289" s="172" t="s">
        <v>626</v>
      </c>
      <c r="H289" s="239" t="s">
        <v>277</v>
      </c>
      <c r="I289" s="477">
        <v>1988195</v>
      </c>
      <c r="J289" s="472">
        <v>1446228</v>
      </c>
      <c r="K289" s="472">
        <v>18100</v>
      </c>
      <c r="L289" s="472">
        <v>494942</v>
      </c>
      <c r="M289" s="472">
        <v>28925</v>
      </c>
      <c r="N289" s="472">
        <v>0</v>
      </c>
      <c r="O289" s="473">
        <v>2.8597000000000001</v>
      </c>
      <c r="P289" s="474">
        <v>2.8597000000000001</v>
      </c>
      <c r="Q289" s="483">
        <v>0</v>
      </c>
      <c r="R289" s="485">
        <f t="shared" si="608"/>
        <v>0</v>
      </c>
      <c r="S289" s="475">
        <v>0</v>
      </c>
      <c r="T289" s="475">
        <v>0</v>
      </c>
      <c r="U289" s="475">
        <v>0</v>
      </c>
      <c r="V289" s="475">
        <v>0</v>
      </c>
      <c r="W289" s="475">
        <v>0</v>
      </c>
      <c r="X289" s="475">
        <f t="shared" si="570"/>
        <v>0</v>
      </c>
      <c r="Y289" s="475">
        <v>0</v>
      </c>
      <c r="Z289" s="475">
        <v>0</v>
      </c>
      <c r="AA289" s="475">
        <v>0</v>
      </c>
      <c r="AB289" s="475">
        <f t="shared" si="609"/>
        <v>0</v>
      </c>
      <c r="AC289" s="475">
        <f t="shared" si="610"/>
        <v>0</v>
      </c>
      <c r="AD289" s="70">
        <f t="shared" si="611"/>
        <v>0</v>
      </c>
      <c r="AE289" s="70">
        <f t="shared" si="612"/>
        <v>0</v>
      </c>
      <c r="AF289" s="475">
        <v>0</v>
      </c>
      <c r="AG289" s="475">
        <v>0</v>
      </c>
      <c r="AH289" s="475">
        <f t="shared" si="613"/>
        <v>0</v>
      </c>
      <c r="AI289" s="475">
        <f t="shared" si="614"/>
        <v>0</v>
      </c>
      <c r="AJ289" s="476">
        <v>0</v>
      </c>
      <c r="AK289" s="476">
        <v>0</v>
      </c>
      <c r="AL289" s="476">
        <v>0</v>
      </c>
      <c r="AM289" s="476">
        <v>0</v>
      </c>
      <c r="AN289" s="476">
        <v>0</v>
      </c>
      <c r="AO289" s="476">
        <v>0</v>
      </c>
      <c r="AP289" s="476">
        <v>0</v>
      </c>
      <c r="AQ289" s="476">
        <v>0</v>
      </c>
      <c r="AR289" s="476">
        <f t="shared" si="615"/>
        <v>0</v>
      </c>
      <c r="AS289" s="476">
        <f t="shared" si="616"/>
        <v>0</v>
      </c>
      <c r="AT289" s="478">
        <f t="shared" si="617"/>
        <v>0</v>
      </c>
      <c r="AU289" s="484">
        <f t="shared" si="618"/>
        <v>1988195</v>
      </c>
      <c r="AV289" s="475">
        <f t="shared" si="619"/>
        <v>1446228</v>
      </c>
      <c r="AW289" s="475">
        <f t="shared" si="620"/>
        <v>18100</v>
      </c>
      <c r="AX289" s="475">
        <f t="shared" si="621"/>
        <v>494942</v>
      </c>
      <c r="AY289" s="475">
        <f t="shared" si="621"/>
        <v>28925</v>
      </c>
      <c r="AZ289" s="475">
        <f t="shared" si="622"/>
        <v>0</v>
      </c>
      <c r="BA289" s="476">
        <f t="shared" si="623"/>
        <v>2.8597000000000001</v>
      </c>
      <c r="BB289" s="476">
        <f t="shared" si="624"/>
        <v>2.8597000000000001</v>
      </c>
      <c r="BC289" s="478">
        <f t="shared" si="624"/>
        <v>0</v>
      </c>
    </row>
    <row r="290" spans="1:55" s="234" customFormat="1" ht="12.75" customHeight="1" x14ac:dyDescent="0.2">
      <c r="A290" s="221">
        <v>51</v>
      </c>
      <c r="B290" s="222">
        <v>4465</v>
      </c>
      <c r="C290" s="222">
        <v>600074757</v>
      </c>
      <c r="D290" s="222">
        <v>46750428</v>
      </c>
      <c r="E290" s="220" t="s">
        <v>244</v>
      </c>
      <c r="F290" s="222">
        <v>3143</v>
      </c>
      <c r="G290" s="172" t="s">
        <v>627</v>
      </c>
      <c r="H290" s="239" t="s">
        <v>278</v>
      </c>
      <c r="I290" s="477">
        <v>68040</v>
      </c>
      <c r="J290" s="472">
        <v>48115</v>
      </c>
      <c r="K290" s="472">
        <v>0</v>
      </c>
      <c r="L290" s="472">
        <v>16263</v>
      </c>
      <c r="M290" s="472">
        <v>962</v>
      </c>
      <c r="N290" s="472">
        <v>2700</v>
      </c>
      <c r="O290" s="473">
        <v>0.19</v>
      </c>
      <c r="P290" s="474">
        <v>0</v>
      </c>
      <c r="Q290" s="483">
        <v>0.19</v>
      </c>
      <c r="R290" s="485">
        <f t="shared" si="608"/>
        <v>0</v>
      </c>
      <c r="S290" s="475">
        <v>0</v>
      </c>
      <c r="T290" s="475">
        <v>0</v>
      </c>
      <c r="U290" s="475">
        <v>0</v>
      </c>
      <c r="V290" s="475">
        <v>0</v>
      </c>
      <c r="W290" s="475">
        <v>0</v>
      </c>
      <c r="X290" s="475">
        <f t="shared" si="570"/>
        <v>0</v>
      </c>
      <c r="Y290" s="475">
        <v>0</v>
      </c>
      <c r="Z290" s="475">
        <v>0</v>
      </c>
      <c r="AA290" s="475">
        <v>0</v>
      </c>
      <c r="AB290" s="475">
        <f t="shared" si="609"/>
        <v>0</v>
      </c>
      <c r="AC290" s="475">
        <f t="shared" si="610"/>
        <v>0</v>
      </c>
      <c r="AD290" s="70">
        <f t="shared" si="611"/>
        <v>0</v>
      </c>
      <c r="AE290" s="70">
        <f t="shared" si="612"/>
        <v>0</v>
      </c>
      <c r="AF290" s="475">
        <v>0</v>
      </c>
      <c r="AG290" s="475">
        <v>0</v>
      </c>
      <c r="AH290" s="475">
        <f t="shared" si="613"/>
        <v>0</v>
      </c>
      <c r="AI290" s="475">
        <f t="shared" si="614"/>
        <v>0</v>
      </c>
      <c r="AJ290" s="476">
        <v>0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476">
        <f t="shared" si="615"/>
        <v>0</v>
      </c>
      <c r="AS290" s="476">
        <f t="shared" si="616"/>
        <v>0</v>
      </c>
      <c r="AT290" s="478">
        <f t="shared" si="617"/>
        <v>0</v>
      </c>
      <c r="AU290" s="484">
        <f t="shared" si="618"/>
        <v>68040</v>
      </c>
      <c r="AV290" s="475">
        <f t="shared" si="619"/>
        <v>48115</v>
      </c>
      <c r="AW290" s="475">
        <f t="shared" si="620"/>
        <v>0</v>
      </c>
      <c r="AX290" s="475">
        <f t="shared" si="621"/>
        <v>16263</v>
      </c>
      <c r="AY290" s="475">
        <f t="shared" si="621"/>
        <v>962</v>
      </c>
      <c r="AZ290" s="475">
        <f t="shared" si="622"/>
        <v>2700</v>
      </c>
      <c r="BA290" s="476">
        <f t="shared" si="623"/>
        <v>0.19</v>
      </c>
      <c r="BB290" s="476">
        <f t="shared" si="624"/>
        <v>0</v>
      </c>
      <c r="BC290" s="478">
        <f t="shared" si="624"/>
        <v>0.19</v>
      </c>
    </row>
    <row r="291" spans="1:55" s="234" customFormat="1" ht="12.75" customHeight="1" x14ac:dyDescent="0.2">
      <c r="A291" s="162">
        <v>51</v>
      </c>
      <c r="B291" s="18">
        <v>4465</v>
      </c>
      <c r="C291" s="18">
        <v>600074757</v>
      </c>
      <c r="D291" s="18">
        <v>46750428</v>
      </c>
      <c r="E291" s="171" t="s">
        <v>245</v>
      </c>
      <c r="F291" s="18"/>
      <c r="G291" s="161"/>
      <c r="H291" s="195"/>
      <c r="I291" s="529">
        <v>39403323</v>
      </c>
      <c r="J291" s="526">
        <v>28387809</v>
      </c>
      <c r="K291" s="526">
        <v>199787</v>
      </c>
      <c r="L291" s="526">
        <v>9655580</v>
      </c>
      <c r="M291" s="526">
        <v>567757</v>
      </c>
      <c r="N291" s="526">
        <v>592390</v>
      </c>
      <c r="O291" s="527">
        <v>59.051900000000003</v>
      </c>
      <c r="P291" s="527">
        <v>40.464500000000001</v>
      </c>
      <c r="Q291" s="531">
        <v>18.587400000000002</v>
      </c>
      <c r="R291" s="529">
        <f t="shared" ref="R291:BC291" si="625">SUM(R285:R290)</f>
        <v>0</v>
      </c>
      <c r="S291" s="526">
        <f t="shared" si="625"/>
        <v>21653</v>
      </c>
      <c r="T291" s="526">
        <f t="shared" si="625"/>
        <v>49938</v>
      </c>
      <c r="U291" s="526">
        <f t="shared" si="625"/>
        <v>0</v>
      </c>
      <c r="V291" s="526">
        <f t="shared" si="625"/>
        <v>0</v>
      </c>
      <c r="W291" s="526">
        <f t="shared" si="625"/>
        <v>0</v>
      </c>
      <c r="X291" s="526">
        <f t="shared" si="625"/>
        <v>71591</v>
      </c>
      <c r="Y291" s="526">
        <f t="shared" si="625"/>
        <v>0</v>
      </c>
      <c r="Z291" s="526">
        <f t="shared" si="625"/>
        <v>0</v>
      </c>
      <c r="AA291" s="526">
        <f t="shared" si="625"/>
        <v>0</v>
      </c>
      <c r="AB291" s="526">
        <f t="shared" si="625"/>
        <v>0</v>
      </c>
      <c r="AC291" s="526">
        <f t="shared" si="625"/>
        <v>71591</v>
      </c>
      <c r="AD291" s="526">
        <f t="shared" si="625"/>
        <v>24198</v>
      </c>
      <c r="AE291" s="526">
        <f t="shared" si="625"/>
        <v>1432</v>
      </c>
      <c r="AF291" s="526">
        <f t="shared" si="625"/>
        <v>0</v>
      </c>
      <c r="AG291" s="526">
        <f t="shared" si="625"/>
        <v>0</v>
      </c>
      <c r="AH291" s="526">
        <f t="shared" si="625"/>
        <v>0</v>
      </c>
      <c r="AI291" s="526">
        <f t="shared" si="625"/>
        <v>97221</v>
      </c>
      <c r="AJ291" s="527">
        <f t="shared" si="625"/>
        <v>0</v>
      </c>
      <c r="AK291" s="527">
        <f t="shared" si="625"/>
        <v>0</v>
      </c>
      <c r="AL291" s="527">
        <f t="shared" si="625"/>
        <v>0.06</v>
      </c>
      <c r="AM291" s="527">
        <f t="shared" si="625"/>
        <v>0.12</v>
      </c>
      <c r="AN291" s="527">
        <f t="shared" si="625"/>
        <v>-0.03</v>
      </c>
      <c r="AO291" s="527">
        <f t="shared" si="625"/>
        <v>0</v>
      </c>
      <c r="AP291" s="527">
        <f t="shared" si="625"/>
        <v>0</v>
      </c>
      <c r="AQ291" s="527">
        <f t="shared" si="625"/>
        <v>0</v>
      </c>
      <c r="AR291" s="527">
        <f t="shared" si="625"/>
        <v>0.18</v>
      </c>
      <c r="AS291" s="527">
        <f t="shared" si="625"/>
        <v>-0.03</v>
      </c>
      <c r="AT291" s="40">
        <f t="shared" si="625"/>
        <v>0.15</v>
      </c>
      <c r="AU291" s="533">
        <f t="shared" si="625"/>
        <v>39500544</v>
      </c>
      <c r="AV291" s="526">
        <f t="shared" si="625"/>
        <v>28459400</v>
      </c>
      <c r="AW291" s="526">
        <f t="shared" si="625"/>
        <v>199787</v>
      </c>
      <c r="AX291" s="526">
        <f t="shared" si="625"/>
        <v>9679778</v>
      </c>
      <c r="AY291" s="526">
        <f t="shared" si="625"/>
        <v>569189</v>
      </c>
      <c r="AZ291" s="526">
        <f t="shared" si="625"/>
        <v>592390</v>
      </c>
      <c r="BA291" s="527">
        <f t="shared" si="625"/>
        <v>59.201899999999995</v>
      </c>
      <c r="BB291" s="527">
        <f t="shared" si="625"/>
        <v>40.644499999999994</v>
      </c>
      <c r="BC291" s="40">
        <f t="shared" si="625"/>
        <v>18.557400000000001</v>
      </c>
    </row>
    <row r="292" spans="1:55" s="234" customFormat="1" ht="12.75" customHeight="1" x14ac:dyDescent="0.2">
      <c r="A292" s="221">
        <v>52</v>
      </c>
      <c r="B292" s="222">
        <v>4466</v>
      </c>
      <c r="C292" s="222">
        <v>650039017</v>
      </c>
      <c r="D292" s="222">
        <v>70982074</v>
      </c>
      <c r="E292" s="220" t="s">
        <v>246</v>
      </c>
      <c r="F292" s="222">
        <v>3111</v>
      </c>
      <c r="G292" s="172" t="s">
        <v>311</v>
      </c>
      <c r="H292" s="223" t="s">
        <v>277</v>
      </c>
      <c r="I292" s="477">
        <v>5692156</v>
      </c>
      <c r="J292" s="472">
        <v>4157844</v>
      </c>
      <c r="K292" s="472">
        <v>8000</v>
      </c>
      <c r="L292" s="472">
        <v>1408055</v>
      </c>
      <c r="M292" s="472">
        <v>83157</v>
      </c>
      <c r="N292" s="472">
        <v>35100</v>
      </c>
      <c r="O292" s="473">
        <v>9.7537000000000003</v>
      </c>
      <c r="P292" s="474">
        <v>7.91</v>
      </c>
      <c r="Q292" s="483">
        <v>1.8436999999999999</v>
      </c>
      <c r="R292" s="485">
        <f t="shared" ref="R292:R297" si="626">Y292*-1</f>
        <v>0</v>
      </c>
      <c r="S292" s="475">
        <v>0</v>
      </c>
      <c r="T292" s="475">
        <v>0</v>
      </c>
      <c r="U292" s="475">
        <v>0</v>
      </c>
      <c r="V292" s="475">
        <v>0</v>
      </c>
      <c r="W292" s="475">
        <v>0</v>
      </c>
      <c r="X292" s="475">
        <f t="shared" si="570"/>
        <v>0</v>
      </c>
      <c r="Y292" s="475">
        <v>0</v>
      </c>
      <c r="Z292" s="475">
        <v>0</v>
      </c>
      <c r="AA292" s="475">
        <v>0</v>
      </c>
      <c r="AB292" s="475">
        <f t="shared" ref="AB292:AB297" si="627">SUM(Y292:AA292)</f>
        <v>0</v>
      </c>
      <c r="AC292" s="475">
        <f t="shared" ref="AC292:AC297" si="628">X292+AB292</f>
        <v>0</v>
      </c>
      <c r="AD292" s="70">
        <f t="shared" ref="AD292:AD297" si="629">ROUND((X292+Y292+Z292)*33.8%,0)</f>
        <v>0</v>
      </c>
      <c r="AE292" s="70">
        <f t="shared" ref="AE292:AE297" si="630">ROUND(X292*2%,0)</f>
        <v>0</v>
      </c>
      <c r="AF292" s="475">
        <v>0</v>
      </c>
      <c r="AG292" s="475">
        <v>0</v>
      </c>
      <c r="AH292" s="475">
        <f t="shared" ref="AH292:AH297" si="631">SUM(AF292:AG292)</f>
        <v>0</v>
      </c>
      <c r="AI292" s="475">
        <f t="shared" ref="AI292:AI297" si="632">AC292+AD292+AE292+AH292</f>
        <v>0</v>
      </c>
      <c r="AJ292" s="476">
        <v>0</v>
      </c>
      <c r="AK292" s="476">
        <v>0</v>
      </c>
      <c r="AL292" s="476">
        <v>0</v>
      </c>
      <c r="AM292" s="476">
        <v>0</v>
      </c>
      <c r="AN292" s="476">
        <v>0</v>
      </c>
      <c r="AO292" s="476">
        <v>0</v>
      </c>
      <c r="AP292" s="476">
        <v>0</v>
      </c>
      <c r="AQ292" s="476">
        <v>0</v>
      </c>
      <c r="AR292" s="476">
        <f t="shared" ref="AR292:AR297" si="633">AJ292+AL292+AM292+AO292+AP292</f>
        <v>0</v>
      </c>
      <c r="AS292" s="476">
        <f t="shared" ref="AS292:AS297" si="634">AK292+AN292+AQ292</f>
        <v>0</v>
      </c>
      <c r="AT292" s="478">
        <f t="shared" ref="AT292:AT297" si="635">SUM(AR292:AS292)</f>
        <v>0</v>
      </c>
      <c r="AU292" s="484">
        <f t="shared" ref="AU292:AU297" si="636">I292+AI292</f>
        <v>5692156</v>
      </c>
      <c r="AV292" s="475">
        <f t="shared" ref="AV292:AV297" si="637">J292+X292</f>
        <v>4157844</v>
      </c>
      <c r="AW292" s="475">
        <f t="shared" ref="AW292:AW297" si="638">K292+AB292</f>
        <v>8000</v>
      </c>
      <c r="AX292" s="475">
        <f t="shared" ref="AX292:AY297" si="639">L292+AD292</f>
        <v>1408055</v>
      </c>
      <c r="AY292" s="475">
        <f t="shared" si="639"/>
        <v>83157</v>
      </c>
      <c r="AZ292" s="475">
        <f t="shared" ref="AZ292:AZ297" si="640">N292+AH292</f>
        <v>35100</v>
      </c>
      <c r="BA292" s="476">
        <f t="shared" ref="BA292:BA297" si="641">O292+AT292</f>
        <v>9.7537000000000003</v>
      </c>
      <c r="BB292" s="476">
        <f t="shared" ref="BB292:BC297" si="642">P292+AR292</f>
        <v>7.91</v>
      </c>
      <c r="BC292" s="478">
        <f t="shared" si="642"/>
        <v>1.8436999999999999</v>
      </c>
    </row>
    <row r="293" spans="1:55" s="234" customFormat="1" ht="12.75" customHeight="1" x14ac:dyDescent="0.2">
      <c r="A293" s="221">
        <v>52</v>
      </c>
      <c r="B293" s="222">
        <v>4466</v>
      </c>
      <c r="C293" s="222">
        <v>650039017</v>
      </c>
      <c r="D293" s="222">
        <v>70982074</v>
      </c>
      <c r="E293" s="215" t="s">
        <v>246</v>
      </c>
      <c r="F293" s="222">
        <v>3117</v>
      </c>
      <c r="G293" s="172" t="s">
        <v>314</v>
      </c>
      <c r="H293" s="223" t="s">
        <v>277</v>
      </c>
      <c r="I293" s="477">
        <v>7010080</v>
      </c>
      <c r="J293" s="472">
        <v>4984801</v>
      </c>
      <c r="K293" s="472">
        <v>70000</v>
      </c>
      <c r="L293" s="472">
        <v>1708523</v>
      </c>
      <c r="M293" s="472">
        <v>99696</v>
      </c>
      <c r="N293" s="472">
        <v>147060</v>
      </c>
      <c r="O293" s="473">
        <v>9.8889999999999993</v>
      </c>
      <c r="P293" s="474">
        <v>6.5453999999999999</v>
      </c>
      <c r="Q293" s="483">
        <v>3.3436000000000003</v>
      </c>
      <c r="R293" s="485">
        <f t="shared" si="626"/>
        <v>0</v>
      </c>
      <c r="S293" s="475">
        <v>0</v>
      </c>
      <c r="T293" s="475">
        <v>0</v>
      </c>
      <c r="U293" s="475">
        <v>0</v>
      </c>
      <c r="V293" s="475">
        <v>0</v>
      </c>
      <c r="W293" s="475">
        <v>0</v>
      </c>
      <c r="X293" s="475">
        <f t="shared" si="570"/>
        <v>0</v>
      </c>
      <c r="Y293" s="475">
        <v>0</v>
      </c>
      <c r="Z293" s="475">
        <v>0</v>
      </c>
      <c r="AA293" s="475">
        <v>0</v>
      </c>
      <c r="AB293" s="475">
        <f t="shared" si="627"/>
        <v>0</v>
      </c>
      <c r="AC293" s="475">
        <f t="shared" si="628"/>
        <v>0</v>
      </c>
      <c r="AD293" s="70">
        <f t="shared" si="629"/>
        <v>0</v>
      </c>
      <c r="AE293" s="70">
        <f t="shared" si="630"/>
        <v>0</v>
      </c>
      <c r="AF293" s="475">
        <v>0</v>
      </c>
      <c r="AG293" s="475">
        <v>0</v>
      </c>
      <c r="AH293" s="475">
        <f t="shared" si="631"/>
        <v>0</v>
      </c>
      <c r="AI293" s="475">
        <f t="shared" si="632"/>
        <v>0</v>
      </c>
      <c r="AJ293" s="476">
        <v>0</v>
      </c>
      <c r="AK293" s="476">
        <v>0</v>
      </c>
      <c r="AL293" s="476">
        <v>0</v>
      </c>
      <c r="AM293" s="476">
        <v>0</v>
      </c>
      <c r="AN293" s="476">
        <v>0</v>
      </c>
      <c r="AO293" s="476">
        <v>0</v>
      </c>
      <c r="AP293" s="476">
        <v>0</v>
      </c>
      <c r="AQ293" s="476">
        <v>0</v>
      </c>
      <c r="AR293" s="476">
        <f t="shared" si="633"/>
        <v>0</v>
      </c>
      <c r="AS293" s="476">
        <f t="shared" si="634"/>
        <v>0</v>
      </c>
      <c r="AT293" s="478">
        <f t="shared" si="635"/>
        <v>0</v>
      </c>
      <c r="AU293" s="484">
        <f t="shared" si="636"/>
        <v>7010080</v>
      </c>
      <c r="AV293" s="475">
        <f t="shared" si="637"/>
        <v>4984801</v>
      </c>
      <c r="AW293" s="475">
        <f t="shared" si="638"/>
        <v>70000</v>
      </c>
      <c r="AX293" s="475">
        <f t="shared" si="639"/>
        <v>1708523</v>
      </c>
      <c r="AY293" s="475">
        <f t="shared" si="639"/>
        <v>99696</v>
      </c>
      <c r="AZ293" s="475">
        <f t="shared" si="640"/>
        <v>147060</v>
      </c>
      <c r="BA293" s="476">
        <f t="shared" si="641"/>
        <v>9.8889999999999993</v>
      </c>
      <c r="BB293" s="476">
        <f t="shared" si="642"/>
        <v>6.5453999999999999</v>
      </c>
      <c r="BC293" s="478">
        <f t="shared" si="642"/>
        <v>3.3436000000000003</v>
      </c>
    </row>
    <row r="294" spans="1:55" s="234" customFormat="1" ht="12.75" customHeight="1" x14ac:dyDescent="0.2">
      <c r="A294" s="221">
        <v>52</v>
      </c>
      <c r="B294" s="222">
        <v>4466</v>
      </c>
      <c r="C294" s="222">
        <v>650039017</v>
      </c>
      <c r="D294" s="222">
        <v>70982074</v>
      </c>
      <c r="E294" s="215" t="s">
        <v>246</v>
      </c>
      <c r="F294" s="222">
        <v>3117</v>
      </c>
      <c r="G294" s="172" t="s">
        <v>312</v>
      </c>
      <c r="H294" s="223" t="s">
        <v>278</v>
      </c>
      <c r="I294" s="477">
        <v>1764264</v>
      </c>
      <c r="J294" s="472">
        <v>1299164</v>
      </c>
      <c r="K294" s="472">
        <v>0</v>
      </c>
      <c r="L294" s="472">
        <v>439117</v>
      </c>
      <c r="M294" s="472">
        <v>25983</v>
      </c>
      <c r="N294" s="472">
        <v>0</v>
      </c>
      <c r="O294" s="473">
        <v>3.75</v>
      </c>
      <c r="P294" s="474">
        <v>3.75</v>
      </c>
      <c r="Q294" s="483">
        <v>0</v>
      </c>
      <c r="R294" s="485">
        <f t="shared" si="626"/>
        <v>0</v>
      </c>
      <c r="S294" s="475">
        <v>0</v>
      </c>
      <c r="T294" s="475">
        <v>0</v>
      </c>
      <c r="U294" s="475">
        <v>0</v>
      </c>
      <c r="V294" s="475">
        <v>0</v>
      </c>
      <c r="W294" s="475">
        <v>0</v>
      </c>
      <c r="X294" s="475">
        <f t="shared" si="570"/>
        <v>0</v>
      </c>
      <c r="Y294" s="475">
        <v>0</v>
      </c>
      <c r="Z294" s="475">
        <v>0</v>
      </c>
      <c r="AA294" s="475">
        <v>0</v>
      </c>
      <c r="AB294" s="475">
        <f t="shared" si="627"/>
        <v>0</v>
      </c>
      <c r="AC294" s="475">
        <f t="shared" si="628"/>
        <v>0</v>
      </c>
      <c r="AD294" s="70">
        <f t="shared" si="629"/>
        <v>0</v>
      </c>
      <c r="AE294" s="70">
        <f t="shared" si="630"/>
        <v>0</v>
      </c>
      <c r="AF294" s="475">
        <v>0</v>
      </c>
      <c r="AG294" s="475">
        <v>0</v>
      </c>
      <c r="AH294" s="475">
        <f t="shared" si="631"/>
        <v>0</v>
      </c>
      <c r="AI294" s="475">
        <f t="shared" si="632"/>
        <v>0</v>
      </c>
      <c r="AJ294" s="476">
        <v>0</v>
      </c>
      <c r="AK294" s="476">
        <v>0</v>
      </c>
      <c r="AL294" s="476">
        <v>0</v>
      </c>
      <c r="AM294" s="476">
        <v>0</v>
      </c>
      <c r="AN294" s="476">
        <v>0</v>
      </c>
      <c r="AO294" s="476">
        <v>0</v>
      </c>
      <c r="AP294" s="476">
        <v>0</v>
      </c>
      <c r="AQ294" s="476">
        <v>0</v>
      </c>
      <c r="AR294" s="476">
        <f t="shared" si="633"/>
        <v>0</v>
      </c>
      <c r="AS294" s="476">
        <f t="shared" si="634"/>
        <v>0</v>
      </c>
      <c r="AT294" s="478">
        <f t="shared" si="635"/>
        <v>0</v>
      </c>
      <c r="AU294" s="484">
        <f t="shared" si="636"/>
        <v>1764264</v>
      </c>
      <c r="AV294" s="475">
        <f t="shared" si="637"/>
        <v>1299164</v>
      </c>
      <c r="AW294" s="475">
        <f t="shared" si="638"/>
        <v>0</v>
      </c>
      <c r="AX294" s="475">
        <f t="shared" si="639"/>
        <v>439117</v>
      </c>
      <c r="AY294" s="475">
        <f t="shared" si="639"/>
        <v>25983</v>
      </c>
      <c r="AZ294" s="475">
        <f t="shared" si="640"/>
        <v>0</v>
      </c>
      <c r="BA294" s="476">
        <f t="shared" si="641"/>
        <v>3.75</v>
      </c>
      <c r="BB294" s="476">
        <f t="shared" si="642"/>
        <v>3.75</v>
      </c>
      <c r="BC294" s="478">
        <f t="shared" si="642"/>
        <v>0</v>
      </c>
    </row>
    <row r="295" spans="1:55" s="234" customFormat="1" ht="12.75" customHeight="1" x14ac:dyDescent="0.2">
      <c r="A295" s="221">
        <v>52</v>
      </c>
      <c r="B295" s="222">
        <v>4466</v>
      </c>
      <c r="C295" s="222">
        <v>650039017</v>
      </c>
      <c r="D295" s="222">
        <v>70982074</v>
      </c>
      <c r="E295" s="220" t="s">
        <v>246</v>
      </c>
      <c r="F295" s="222">
        <v>3141</v>
      </c>
      <c r="G295" s="172" t="s">
        <v>315</v>
      </c>
      <c r="H295" s="223" t="s">
        <v>278</v>
      </c>
      <c r="I295" s="477">
        <v>1687792</v>
      </c>
      <c r="J295" s="472">
        <v>1194636</v>
      </c>
      <c r="K295" s="472">
        <v>42000</v>
      </c>
      <c r="L295" s="472">
        <v>417983</v>
      </c>
      <c r="M295" s="472">
        <v>23893</v>
      </c>
      <c r="N295" s="472">
        <v>9280</v>
      </c>
      <c r="O295" s="473">
        <v>3.89</v>
      </c>
      <c r="P295" s="474">
        <v>0</v>
      </c>
      <c r="Q295" s="483">
        <v>3.89</v>
      </c>
      <c r="R295" s="485">
        <f t="shared" si="626"/>
        <v>0</v>
      </c>
      <c r="S295" s="475">
        <v>0</v>
      </c>
      <c r="T295" s="475">
        <v>1701</v>
      </c>
      <c r="U295" s="475">
        <v>0</v>
      </c>
      <c r="V295" s="475">
        <v>0</v>
      </c>
      <c r="W295" s="475">
        <v>0</v>
      </c>
      <c r="X295" s="475">
        <f t="shared" si="570"/>
        <v>1701</v>
      </c>
      <c r="Y295" s="475">
        <v>0</v>
      </c>
      <c r="Z295" s="475">
        <v>0</v>
      </c>
      <c r="AA295" s="475">
        <v>0</v>
      </c>
      <c r="AB295" s="475">
        <f t="shared" si="627"/>
        <v>0</v>
      </c>
      <c r="AC295" s="475">
        <f t="shared" si="628"/>
        <v>1701</v>
      </c>
      <c r="AD295" s="70">
        <f t="shared" si="629"/>
        <v>575</v>
      </c>
      <c r="AE295" s="70">
        <f t="shared" si="630"/>
        <v>34</v>
      </c>
      <c r="AF295" s="475">
        <v>0</v>
      </c>
      <c r="AG295" s="475">
        <v>0</v>
      </c>
      <c r="AH295" s="475">
        <f t="shared" si="631"/>
        <v>0</v>
      </c>
      <c r="AI295" s="475">
        <f t="shared" si="632"/>
        <v>2310</v>
      </c>
      <c r="AJ295" s="476">
        <v>0</v>
      </c>
      <c r="AK295" s="476">
        <v>0</v>
      </c>
      <c r="AL295" s="476">
        <v>0</v>
      </c>
      <c r="AM295" s="476">
        <v>0</v>
      </c>
      <c r="AN295" s="476">
        <v>0</v>
      </c>
      <c r="AO295" s="476">
        <v>0</v>
      </c>
      <c r="AP295" s="476">
        <v>0</v>
      </c>
      <c r="AQ295" s="476">
        <v>0</v>
      </c>
      <c r="AR295" s="476">
        <f t="shared" si="633"/>
        <v>0</v>
      </c>
      <c r="AS295" s="476">
        <f t="shared" si="634"/>
        <v>0</v>
      </c>
      <c r="AT295" s="478">
        <f t="shared" si="635"/>
        <v>0</v>
      </c>
      <c r="AU295" s="484">
        <f t="shared" si="636"/>
        <v>1690102</v>
      </c>
      <c r="AV295" s="475">
        <f t="shared" si="637"/>
        <v>1196337</v>
      </c>
      <c r="AW295" s="475">
        <f t="shared" si="638"/>
        <v>42000</v>
      </c>
      <c r="AX295" s="475">
        <f t="shared" si="639"/>
        <v>418558</v>
      </c>
      <c r="AY295" s="475">
        <f t="shared" si="639"/>
        <v>23927</v>
      </c>
      <c r="AZ295" s="475">
        <f t="shared" si="640"/>
        <v>9280</v>
      </c>
      <c r="BA295" s="476">
        <f t="shared" si="641"/>
        <v>3.89</v>
      </c>
      <c r="BB295" s="476">
        <f t="shared" si="642"/>
        <v>0</v>
      </c>
      <c r="BC295" s="478">
        <f t="shared" si="642"/>
        <v>3.89</v>
      </c>
    </row>
    <row r="296" spans="1:55" s="234" customFormat="1" ht="12.75" customHeight="1" x14ac:dyDescent="0.2">
      <c r="A296" s="221">
        <v>52</v>
      </c>
      <c r="B296" s="222">
        <v>4466</v>
      </c>
      <c r="C296" s="222">
        <v>650039017</v>
      </c>
      <c r="D296" s="222">
        <v>70982074</v>
      </c>
      <c r="E296" s="220" t="s">
        <v>246</v>
      </c>
      <c r="F296" s="222">
        <v>3143</v>
      </c>
      <c r="G296" s="172" t="s">
        <v>626</v>
      </c>
      <c r="H296" s="239" t="s">
        <v>277</v>
      </c>
      <c r="I296" s="477">
        <v>900370</v>
      </c>
      <c r="J296" s="472">
        <v>653159</v>
      </c>
      <c r="K296" s="472">
        <v>10000</v>
      </c>
      <c r="L296" s="472">
        <v>224148</v>
      </c>
      <c r="M296" s="472">
        <v>13063</v>
      </c>
      <c r="N296" s="472">
        <v>0</v>
      </c>
      <c r="O296" s="473">
        <v>1.4</v>
      </c>
      <c r="P296" s="474">
        <v>1.4</v>
      </c>
      <c r="Q296" s="483">
        <v>0</v>
      </c>
      <c r="R296" s="485">
        <f t="shared" si="626"/>
        <v>0</v>
      </c>
      <c r="S296" s="475">
        <v>0</v>
      </c>
      <c r="T296" s="475">
        <v>0</v>
      </c>
      <c r="U296" s="475">
        <v>0</v>
      </c>
      <c r="V296" s="475">
        <v>0</v>
      </c>
      <c r="W296" s="475">
        <v>0</v>
      </c>
      <c r="X296" s="475">
        <f t="shared" si="570"/>
        <v>0</v>
      </c>
      <c r="Y296" s="475">
        <v>0</v>
      </c>
      <c r="Z296" s="475">
        <v>0</v>
      </c>
      <c r="AA296" s="475">
        <v>0</v>
      </c>
      <c r="AB296" s="475">
        <f t="shared" si="627"/>
        <v>0</v>
      </c>
      <c r="AC296" s="475">
        <f t="shared" si="628"/>
        <v>0</v>
      </c>
      <c r="AD296" s="70">
        <f t="shared" si="629"/>
        <v>0</v>
      </c>
      <c r="AE296" s="70">
        <f t="shared" si="630"/>
        <v>0</v>
      </c>
      <c r="AF296" s="475">
        <v>0</v>
      </c>
      <c r="AG296" s="475">
        <v>0</v>
      </c>
      <c r="AH296" s="475">
        <f t="shared" si="631"/>
        <v>0</v>
      </c>
      <c r="AI296" s="475">
        <f t="shared" si="632"/>
        <v>0</v>
      </c>
      <c r="AJ296" s="476">
        <v>0</v>
      </c>
      <c r="AK296" s="476">
        <v>0</v>
      </c>
      <c r="AL296" s="476">
        <v>0</v>
      </c>
      <c r="AM296" s="476">
        <v>0</v>
      </c>
      <c r="AN296" s="476">
        <v>0</v>
      </c>
      <c r="AO296" s="476">
        <v>0</v>
      </c>
      <c r="AP296" s="476">
        <v>0</v>
      </c>
      <c r="AQ296" s="476">
        <v>0</v>
      </c>
      <c r="AR296" s="476">
        <f t="shared" si="633"/>
        <v>0</v>
      </c>
      <c r="AS296" s="476">
        <f t="shared" si="634"/>
        <v>0</v>
      </c>
      <c r="AT296" s="478">
        <f t="shared" si="635"/>
        <v>0</v>
      </c>
      <c r="AU296" s="484">
        <f t="shared" si="636"/>
        <v>900370</v>
      </c>
      <c r="AV296" s="475">
        <f t="shared" si="637"/>
        <v>653159</v>
      </c>
      <c r="AW296" s="475">
        <f t="shared" si="638"/>
        <v>10000</v>
      </c>
      <c r="AX296" s="475">
        <f t="shared" si="639"/>
        <v>224148</v>
      </c>
      <c r="AY296" s="475">
        <f t="shared" si="639"/>
        <v>13063</v>
      </c>
      <c r="AZ296" s="475">
        <f t="shared" si="640"/>
        <v>0</v>
      </c>
      <c r="BA296" s="476">
        <f t="shared" si="641"/>
        <v>1.4</v>
      </c>
      <c r="BB296" s="476">
        <f t="shared" si="642"/>
        <v>1.4</v>
      </c>
      <c r="BC296" s="478">
        <f t="shared" si="642"/>
        <v>0</v>
      </c>
    </row>
    <row r="297" spans="1:55" s="234" customFormat="1" ht="12.75" customHeight="1" x14ac:dyDescent="0.2">
      <c r="A297" s="221">
        <v>52</v>
      </c>
      <c r="B297" s="222">
        <v>4466</v>
      </c>
      <c r="C297" s="222">
        <v>650039017</v>
      </c>
      <c r="D297" s="222">
        <v>70982074</v>
      </c>
      <c r="E297" s="220" t="s">
        <v>246</v>
      </c>
      <c r="F297" s="222">
        <v>3143</v>
      </c>
      <c r="G297" s="172" t="s">
        <v>627</v>
      </c>
      <c r="H297" s="239" t="s">
        <v>278</v>
      </c>
      <c r="I297" s="477">
        <v>37800</v>
      </c>
      <c r="J297" s="472">
        <v>26730</v>
      </c>
      <c r="K297" s="472">
        <v>0</v>
      </c>
      <c r="L297" s="472">
        <v>9035</v>
      </c>
      <c r="M297" s="472">
        <v>535</v>
      </c>
      <c r="N297" s="472">
        <v>1500</v>
      </c>
      <c r="O297" s="473">
        <v>0.1</v>
      </c>
      <c r="P297" s="474">
        <v>0</v>
      </c>
      <c r="Q297" s="483">
        <v>0.1</v>
      </c>
      <c r="R297" s="485">
        <f t="shared" si="626"/>
        <v>0</v>
      </c>
      <c r="S297" s="475">
        <v>0</v>
      </c>
      <c r="T297" s="475">
        <v>0</v>
      </c>
      <c r="U297" s="475">
        <v>0</v>
      </c>
      <c r="V297" s="475">
        <v>0</v>
      </c>
      <c r="W297" s="475">
        <v>0</v>
      </c>
      <c r="X297" s="475">
        <f t="shared" si="570"/>
        <v>0</v>
      </c>
      <c r="Y297" s="475">
        <v>0</v>
      </c>
      <c r="Z297" s="475">
        <v>0</v>
      </c>
      <c r="AA297" s="475">
        <v>0</v>
      </c>
      <c r="AB297" s="475">
        <f t="shared" si="627"/>
        <v>0</v>
      </c>
      <c r="AC297" s="475">
        <f t="shared" si="628"/>
        <v>0</v>
      </c>
      <c r="AD297" s="70">
        <f t="shared" si="629"/>
        <v>0</v>
      </c>
      <c r="AE297" s="70">
        <f t="shared" si="630"/>
        <v>0</v>
      </c>
      <c r="AF297" s="475">
        <v>0</v>
      </c>
      <c r="AG297" s="475">
        <v>0</v>
      </c>
      <c r="AH297" s="475">
        <f t="shared" si="631"/>
        <v>0</v>
      </c>
      <c r="AI297" s="475">
        <f t="shared" si="632"/>
        <v>0</v>
      </c>
      <c r="AJ297" s="476">
        <v>0</v>
      </c>
      <c r="AK297" s="476">
        <v>0</v>
      </c>
      <c r="AL297" s="476">
        <v>0</v>
      </c>
      <c r="AM297" s="476">
        <v>0</v>
      </c>
      <c r="AN297" s="476">
        <v>0</v>
      </c>
      <c r="AO297" s="476">
        <v>0</v>
      </c>
      <c r="AP297" s="476">
        <v>0</v>
      </c>
      <c r="AQ297" s="476">
        <v>0</v>
      </c>
      <c r="AR297" s="476">
        <f t="shared" si="633"/>
        <v>0</v>
      </c>
      <c r="AS297" s="476">
        <f t="shared" si="634"/>
        <v>0</v>
      </c>
      <c r="AT297" s="478">
        <f t="shared" si="635"/>
        <v>0</v>
      </c>
      <c r="AU297" s="484">
        <f t="shared" si="636"/>
        <v>37800</v>
      </c>
      <c r="AV297" s="475">
        <f t="shared" si="637"/>
        <v>26730</v>
      </c>
      <c r="AW297" s="475">
        <f t="shared" si="638"/>
        <v>0</v>
      </c>
      <c r="AX297" s="475">
        <f t="shared" si="639"/>
        <v>9035</v>
      </c>
      <c r="AY297" s="475">
        <f t="shared" si="639"/>
        <v>535</v>
      </c>
      <c r="AZ297" s="475">
        <f t="shared" si="640"/>
        <v>1500</v>
      </c>
      <c r="BA297" s="476">
        <f t="shared" si="641"/>
        <v>0.1</v>
      </c>
      <c r="BB297" s="476">
        <f t="shared" si="642"/>
        <v>0</v>
      </c>
      <c r="BC297" s="478">
        <f t="shared" si="642"/>
        <v>0.1</v>
      </c>
    </row>
    <row r="298" spans="1:55" s="234" customFormat="1" ht="12.75" customHeight="1" x14ac:dyDescent="0.2">
      <c r="A298" s="162">
        <v>52</v>
      </c>
      <c r="B298" s="18">
        <v>4466</v>
      </c>
      <c r="C298" s="18">
        <v>650039017</v>
      </c>
      <c r="D298" s="18">
        <v>70982074</v>
      </c>
      <c r="E298" s="171" t="s">
        <v>247</v>
      </c>
      <c r="F298" s="18"/>
      <c r="G298" s="161"/>
      <c r="H298" s="195"/>
      <c r="I298" s="529">
        <v>17092462</v>
      </c>
      <c r="J298" s="526">
        <v>12316334</v>
      </c>
      <c r="K298" s="526">
        <v>130000</v>
      </c>
      <c r="L298" s="526">
        <v>4206861</v>
      </c>
      <c r="M298" s="526">
        <v>246327</v>
      </c>
      <c r="N298" s="526">
        <v>192940</v>
      </c>
      <c r="O298" s="527">
        <v>28.782699999999998</v>
      </c>
      <c r="P298" s="527">
        <v>19.605399999999999</v>
      </c>
      <c r="Q298" s="531">
        <v>9.1773000000000007</v>
      </c>
      <c r="R298" s="529">
        <f t="shared" ref="R298:BC298" si="643">SUM(R292:R297)</f>
        <v>0</v>
      </c>
      <c r="S298" s="526">
        <f t="shared" si="643"/>
        <v>0</v>
      </c>
      <c r="T298" s="526">
        <f t="shared" si="643"/>
        <v>1701</v>
      </c>
      <c r="U298" s="526">
        <f t="shared" si="643"/>
        <v>0</v>
      </c>
      <c r="V298" s="526">
        <f t="shared" si="643"/>
        <v>0</v>
      </c>
      <c r="W298" s="526">
        <f t="shared" si="643"/>
        <v>0</v>
      </c>
      <c r="X298" s="526">
        <f t="shared" si="643"/>
        <v>1701</v>
      </c>
      <c r="Y298" s="526">
        <f t="shared" si="643"/>
        <v>0</v>
      </c>
      <c r="Z298" s="526">
        <f t="shared" si="643"/>
        <v>0</v>
      </c>
      <c r="AA298" s="526">
        <f t="shared" si="643"/>
        <v>0</v>
      </c>
      <c r="AB298" s="526">
        <f t="shared" si="643"/>
        <v>0</v>
      </c>
      <c r="AC298" s="526">
        <f t="shared" si="643"/>
        <v>1701</v>
      </c>
      <c r="AD298" s="526">
        <f t="shared" si="643"/>
        <v>575</v>
      </c>
      <c r="AE298" s="526">
        <f t="shared" si="643"/>
        <v>34</v>
      </c>
      <c r="AF298" s="526">
        <f t="shared" si="643"/>
        <v>0</v>
      </c>
      <c r="AG298" s="526">
        <f t="shared" si="643"/>
        <v>0</v>
      </c>
      <c r="AH298" s="526">
        <f t="shared" si="643"/>
        <v>0</v>
      </c>
      <c r="AI298" s="526">
        <f t="shared" si="643"/>
        <v>2310</v>
      </c>
      <c r="AJ298" s="527">
        <f t="shared" si="643"/>
        <v>0</v>
      </c>
      <c r="AK298" s="527">
        <f t="shared" si="643"/>
        <v>0</v>
      </c>
      <c r="AL298" s="527">
        <f t="shared" si="643"/>
        <v>0</v>
      </c>
      <c r="AM298" s="527">
        <f t="shared" si="643"/>
        <v>0</v>
      </c>
      <c r="AN298" s="527">
        <f t="shared" si="643"/>
        <v>0</v>
      </c>
      <c r="AO298" s="527">
        <f t="shared" si="643"/>
        <v>0</v>
      </c>
      <c r="AP298" s="527">
        <f t="shared" si="643"/>
        <v>0</v>
      </c>
      <c r="AQ298" s="527">
        <f t="shared" si="643"/>
        <v>0</v>
      </c>
      <c r="AR298" s="527">
        <f t="shared" si="643"/>
        <v>0</v>
      </c>
      <c r="AS298" s="527">
        <f t="shared" si="643"/>
        <v>0</v>
      </c>
      <c r="AT298" s="40">
        <f t="shared" si="643"/>
        <v>0</v>
      </c>
      <c r="AU298" s="533">
        <f t="shared" si="643"/>
        <v>17094772</v>
      </c>
      <c r="AV298" s="526">
        <f t="shared" si="643"/>
        <v>12318035</v>
      </c>
      <c r="AW298" s="526">
        <f t="shared" si="643"/>
        <v>130000</v>
      </c>
      <c r="AX298" s="526">
        <f t="shared" si="643"/>
        <v>4207436</v>
      </c>
      <c r="AY298" s="526">
        <f t="shared" si="643"/>
        <v>246361</v>
      </c>
      <c r="AZ298" s="526">
        <f t="shared" si="643"/>
        <v>192940</v>
      </c>
      <c r="BA298" s="527">
        <f t="shared" si="643"/>
        <v>28.782699999999998</v>
      </c>
      <c r="BB298" s="527">
        <f t="shared" si="643"/>
        <v>19.605399999999999</v>
      </c>
      <c r="BC298" s="40">
        <f t="shared" si="643"/>
        <v>9.1773000000000007</v>
      </c>
    </row>
    <row r="299" spans="1:55" s="234" customFormat="1" x14ac:dyDescent="0.2">
      <c r="A299" s="221">
        <v>53</v>
      </c>
      <c r="B299" s="222">
        <v>4470</v>
      </c>
      <c r="C299" s="222">
        <v>600075109</v>
      </c>
      <c r="D299" s="222">
        <v>70982112</v>
      </c>
      <c r="E299" s="220" t="s">
        <v>248</v>
      </c>
      <c r="F299" s="222">
        <v>3231</v>
      </c>
      <c r="G299" s="172" t="s">
        <v>316</v>
      </c>
      <c r="H299" s="223" t="s">
        <v>277</v>
      </c>
      <c r="I299" s="477">
        <v>8931952</v>
      </c>
      <c r="J299" s="472">
        <v>6513028</v>
      </c>
      <c r="K299" s="472">
        <v>43800</v>
      </c>
      <c r="L299" s="472">
        <v>2216208</v>
      </c>
      <c r="M299" s="472">
        <v>130261</v>
      </c>
      <c r="N299" s="472">
        <v>28655</v>
      </c>
      <c r="O299" s="473">
        <v>12.0984</v>
      </c>
      <c r="P299" s="474">
        <v>10.738799999999999</v>
      </c>
      <c r="Q299" s="483">
        <v>1.3595999999999999</v>
      </c>
      <c r="R299" s="485">
        <f t="shared" ref="R299" si="644">Y299*-1</f>
        <v>0</v>
      </c>
      <c r="S299" s="475">
        <v>0</v>
      </c>
      <c r="T299" s="475">
        <v>0</v>
      </c>
      <c r="U299" s="475">
        <v>0</v>
      </c>
      <c r="V299" s="475">
        <v>0</v>
      </c>
      <c r="W299" s="475">
        <v>0</v>
      </c>
      <c r="X299" s="475">
        <f t="shared" si="570"/>
        <v>0</v>
      </c>
      <c r="Y299" s="475">
        <v>0</v>
      </c>
      <c r="Z299" s="475">
        <v>0</v>
      </c>
      <c r="AA299" s="475">
        <v>0</v>
      </c>
      <c r="AB299" s="475">
        <f t="shared" ref="AB299" si="645">SUM(Y299:AA299)</f>
        <v>0</v>
      </c>
      <c r="AC299" s="475">
        <f>X299+AB299</f>
        <v>0</v>
      </c>
      <c r="AD299" s="70">
        <f>ROUND((X299+Y299+Z299)*33.8%,0)</f>
        <v>0</v>
      </c>
      <c r="AE299" s="70">
        <f>ROUND(X299*2%,0)</f>
        <v>0</v>
      </c>
      <c r="AF299" s="475">
        <v>0</v>
      </c>
      <c r="AG299" s="475">
        <v>0</v>
      </c>
      <c r="AH299" s="475">
        <f t="shared" ref="AH299" si="646">SUM(AF299:AG299)</f>
        <v>0</v>
      </c>
      <c r="AI299" s="475">
        <f t="shared" ref="AI299" si="647">AC299+AD299+AE299+AH299</f>
        <v>0</v>
      </c>
      <c r="AJ299" s="476">
        <v>0</v>
      </c>
      <c r="AK299" s="476">
        <v>0</v>
      </c>
      <c r="AL299" s="476">
        <v>0</v>
      </c>
      <c r="AM299" s="476">
        <v>0</v>
      </c>
      <c r="AN299" s="476">
        <v>0</v>
      </c>
      <c r="AO299" s="476">
        <v>0</v>
      </c>
      <c r="AP299" s="476">
        <v>0</v>
      </c>
      <c r="AQ299" s="476">
        <v>0</v>
      </c>
      <c r="AR299" s="476">
        <f>AJ299+AL299+AM299+AO299+AP299</f>
        <v>0</v>
      </c>
      <c r="AS299" s="476">
        <f>AK299+AN299+AQ299</f>
        <v>0</v>
      </c>
      <c r="AT299" s="478">
        <f t="shared" ref="AT299" si="648">SUM(AR299:AS299)</f>
        <v>0</v>
      </c>
      <c r="AU299" s="484">
        <f>I299+AI299</f>
        <v>8931952</v>
      </c>
      <c r="AV299" s="475">
        <f>J299+X299</f>
        <v>6513028</v>
      </c>
      <c r="AW299" s="475">
        <f>K299+AB299</f>
        <v>43800</v>
      </c>
      <c r="AX299" s="475">
        <f>L299+AD299</f>
        <v>2216208</v>
      </c>
      <c r="AY299" s="475">
        <f>M299+AE299</f>
        <v>130261</v>
      </c>
      <c r="AZ299" s="475">
        <f>N299+AH299</f>
        <v>28655</v>
      </c>
      <c r="BA299" s="476">
        <f>O299+AT299</f>
        <v>12.0984</v>
      </c>
      <c r="BB299" s="476">
        <f>P299+AR299</f>
        <v>10.738799999999999</v>
      </c>
      <c r="BC299" s="478">
        <f>Q299+AS299</f>
        <v>1.3595999999999999</v>
      </c>
    </row>
    <row r="300" spans="1:55" s="234" customFormat="1" ht="13.5" thickBot="1" x14ac:dyDescent="0.25">
      <c r="A300" s="166">
        <v>53</v>
      </c>
      <c r="B300" s="33">
        <v>4470</v>
      </c>
      <c r="C300" s="33">
        <v>600075109</v>
      </c>
      <c r="D300" s="33">
        <v>70982112</v>
      </c>
      <c r="E300" s="248" t="s">
        <v>249</v>
      </c>
      <c r="F300" s="33"/>
      <c r="G300" s="167"/>
      <c r="H300" s="249"/>
      <c r="I300" s="546">
        <v>8931952</v>
      </c>
      <c r="J300" s="547">
        <v>6513028</v>
      </c>
      <c r="K300" s="547">
        <v>43800</v>
      </c>
      <c r="L300" s="547">
        <v>2216208</v>
      </c>
      <c r="M300" s="547">
        <v>130261</v>
      </c>
      <c r="N300" s="547">
        <v>28655</v>
      </c>
      <c r="O300" s="548">
        <v>12.0984</v>
      </c>
      <c r="P300" s="548">
        <v>10.738799999999999</v>
      </c>
      <c r="Q300" s="549">
        <v>1.3595999999999999</v>
      </c>
      <c r="R300" s="737">
        <f t="shared" ref="R300:BC300" si="649">SUM(R299)</f>
        <v>0</v>
      </c>
      <c r="S300" s="738">
        <f t="shared" si="649"/>
        <v>0</v>
      </c>
      <c r="T300" s="738">
        <f t="shared" si="649"/>
        <v>0</v>
      </c>
      <c r="U300" s="738">
        <f t="shared" si="649"/>
        <v>0</v>
      </c>
      <c r="V300" s="738">
        <f t="shared" si="649"/>
        <v>0</v>
      </c>
      <c r="W300" s="738">
        <f t="shared" si="649"/>
        <v>0</v>
      </c>
      <c r="X300" s="738">
        <f t="shared" si="649"/>
        <v>0</v>
      </c>
      <c r="Y300" s="738">
        <f t="shared" si="649"/>
        <v>0</v>
      </c>
      <c r="Z300" s="738">
        <f t="shared" si="649"/>
        <v>0</v>
      </c>
      <c r="AA300" s="738">
        <f t="shared" si="649"/>
        <v>0</v>
      </c>
      <c r="AB300" s="738">
        <f t="shared" si="649"/>
        <v>0</v>
      </c>
      <c r="AC300" s="738">
        <f t="shared" si="649"/>
        <v>0</v>
      </c>
      <c r="AD300" s="738">
        <f t="shared" si="649"/>
        <v>0</v>
      </c>
      <c r="AE300" s="738">
        <f t="shared" si="649"/>
        <v>0</v>
      </c>
      <c r="AF300" s="738">
        <f t="shared" si="649"/>
        <v>0</v>
      </c>
      <c r="AG300" s="738">
        <f t="shared" si="649"/>
        <v>0</v>
      </c>
      <c r="AH300" s="738">
        <f t="shared" si="649"/>
        <v>0</v>
      </c>
      <c r="AI300" s="738">
        <f t="shared" si="649"/>
        <v>0</v>
      </c>
      <c r="AJ300" s="739">
        <f t="shared" si="649"/>
        <v>0</v>
      </c>
      <c r="AK300" s="739">
        <f t="shared" si="649"/>
        <v>0</v>
      </c>
      <c r="AL300" s="739">
        <f t="shared" si="649"/>
        <v>0</v>
      </c>
      <c r="AM300" s="739">
        <f t="shared" si="649"/>
        <v>0</v>
      </c>
      <c r="AN300" s="739">
        <f t="shared" si="649"/>
        <v>0</v>
      </c>
      <c r="AO300" s="739">
        <f t="shared" si="649"/>
        <v>0</v>
      </c>
      <c r="AP300" s="739">
        <f t="shared" si="649"/>
        <v>0</v>
      </c>
      <c r="AQ300" s="739">
        <f t="shared" si="649"/>
        <v>0</v>
      </c>
      <c r="AR300" s="739">
        <f t="shared" si="649"/>
        <v>0</v>
      </c>
      <c r="AS300" s="739">
        <f t="shared" si="649"/>
        <v>0</v>
      </c>
      <c r="AT300" s="740">
        <f t="shared" si="649"/>
        <v>0</v>
      </c>
      <c r="AU300" s="551">
        <f t="shared" si="649"/>
        <v>8931952</v>
      </c>
      <c r="AV300" s="547">
        <f t="shared" si="649"/>
        <v>6513028</v>
      </c>
      <c r="AW300" s="547">
        <f t="shared" si="649"/>
        <v>43800</v>
      </c>
      <c r="AX300" s="547">
        <f t="shared" si="649"/>
        <v>2216208</v>
      </c>
      <c r="AY300" s="547">
        <f t="shared" si="649"/>
        <v>130261</v>
      </c>
      <c r="AZ300" s="547">
        <f t="shared" si="649"/>
        <v>28655</v>
      </c>
      <c r="BA300" s="548">
        <f t="shared" si="649"/>
        <v>12.0984</v>
      </c>
      <c r="BB300" s="548">
        <f t="shared" si="649"/>
        <v>10.738799999999999</v>
      </c>
      <c r="BC300" s="550">
        <f t="shared" si="649"/>
        <v>1.3595999999999999</v>
      </c>
    </row>
    <row r="301" spans="1:55" s="234" customFormat="1" ht="13.5" thickBot="1" x14ac:dyDescent="0.25">
      <c r="A301" s="168"/>
      <c r="B301" s="30"/>
      <c r="C301" s="30"/>
      <c r="D301" s="30"/>
      <c r="E301" s="90" t="s">
        <v>791</v>
      </c>
      <c r="F301" s="30"/>
      <c r="G301" s="169"/>
      <c r="H301" s="196"/>
      <c r="I301" s="552">
        <f>I13+I17+I22+I27+I31+I35+I39+I43+I45+I52+I58+I65+I72+I78+I85+I91+I97+I108+I110+I114+I121+I125+I131+I138+I145+I147+I151+I158+I165+I172+I179+I185+I189+I196+I200+I206+I215+I222+I224+I228+I235+I242+I246+I253+I256+I263+I270+I277+I284+I291+I298+I300</f>
        <v>1026807362</v>
      </c>
      <c r="J301" s="553">
        <f>J13+J17+J22+J27+J31+J35+J39+J43+J45+J52+J58+J65+J72+J78+J85+J91+J97+J108+J110+J114+J121+J125+J131+J138+J145+J147+J151+J158+J165+J172+J179+J185+J189+J196+J200+J206+J215+J222+J224+J228+J235+J242+J246+J253+J256+J263+J270+J277+J284+J291+J298+J300</f>
        <v>741166239</v>
      </c>
      <c r="K301" s="553">
        <f>K13+K17+K22+K27+K31+K35+K39+K43+K45+K52+K58+K65+K72+K78+K85+K91+K97+K108+K110+K114+K121+K125+K131+K138+K145+K147+K151+K158+K165+K172+K179+K185+K189+K196+K200+K206+K215+K222+K224+K228+K235+K242+K246+K253+K256+K263+K270+K277+K284+K291+K298+K300</f>
        <v>4163229</v>
      </c>
      <c r="L301" s="553">
        <f t="shared" ref="L301:N301" si="650">L13+L17+L22+L27+L31+L35+L39+L43+L45+L52+L58+L65+L72+L78+L85+L91+L97+L108+L110+L114+L121+L125+L131+L138+L145+L147+L151+L158+L165+L172+L179+L185+L189+L196+L200+L206+L215+L222+L224+L228+L235+L242+L246+L253+L256+L263+L270+L277+L284+L291+L298+L300</f>
        <v>251914337</v>
      </c>
      <c r="M301" s="553">
        <f t="shared" si="650"/>
        <v>14823317</v>
      </c>
      <c r="N301" s="553">
        <f t="shared" si="650"/>
        <v>14740240</v>
      </c>
      <c r="O301" s="554">
        <f>O13+O17+O22+O27+O31+O35+O39+O43+O45+O52+O58+O65+O72+O78+O85+O91+O97+O108+O110+O114+O121+O125+O131+O138+O145+O147+O151+O158+O165+O172+O179+O185+O189+O196+O200+O206+O215+O222+O224+O228+O235+O242+O246+O253+O256+O263+O270+O277+O284+O291+O298+O300</f>
        <v>1554.1068</v>
      </c>
      <c r="P301" s="554">
        <f t="shared" ref="P301:Q301" si="651">P13+P17+P22+P27+P31+P35+P39+P43+P45+P52+P58+P65+P72+P78+P85+P91+P97+P108+P110+P114+P121+P125+P131+P138+P145+P147+P151+P158+P165+P172+P179+P185+P189+P196+P200+P206+P215+P222+P224+P228+P235+P242+P246+P253+P256+P263+P270+P277+P284+P291+P298+P300</f>
        <v>1111.3028000000002</v>
      </c>
      <c r="Q301" s="672">
        <f t="shared" si="651"/>
        <v>442.80399999999992</v>
      </c>
      <c r="R301" s="741">
        <f>R13+R17+R22+R27+R31+R35+R39+R43+R45+R52+R58+R65+R72+R78+R85+R91+R97+R108+R110+R114+R121+R125+R131+R138+R145+R147+R151+R158+R165+R172+R179+R185+R189+R196+R200+R206+R215+R222+R224+R228+R235+R242+R246+R253+R256+R263+R270+R277+R284+R291+R298+R300</f>
        <v>-10000</v>
      </c>
      <c r="S301" s="742">
        <f>S13+S17+S22+S27+S31+S35+S39+S43+S45+S52+S58+S65+S72+S78+S85+S91+S97+S108+S110+S114+S121+S125+S131+S138+S145+S147+S151+S158+S165+S172+S179+S185+S189+S196+S200+S206+S215+S222+S224+S228+S235+S242+S246+S253+S256+S263+S270+S277+S284+S291+S298+S300</f>
        <v>-240065</v>
      </c>
      <c r="T301" s="742">
        <f t="shared" ref="T301:X301" si="652">T13+T17+T22+T27+T31+T35+T39+T43+T45+T52+T58+T65+T72+T78+T85+T91+T97+T108+T110+T114+T121+T125+T131+T138+T145+T147+T151+T158+T165+T172+T179+T185+T189+T196+T200+T206+T215+T222+T224+T228+T235+T242+T246+T253+T256+T263+T270+T277+T284+T291+T298+T300</f>
        <v>1632852</v>
      </c>
      <c r="U301" s="742">
        <f t="shared" si="652"/>
        <v>-12412</v>
      </c>
      <c r="V301" s="742">
        <f t="shared" si="652"/>
        <v>-51546</v>
      </c>
      <c r="W301" s="742">
        <f t="shared" si="652"/>
        <v>0</v>
      </c>
      <c r="X301" s="742">
        <f t="shared" si="652"/>
        <v>1318829</v>
      </c>
      <c r="Y301" s="742">
        <f>Y13+Y17+Y22+Y27+Y31+Y35+Y39+Y43+Y45+Y52+Y58+Y65+Y72+Y78+Y85+Y91+Y97+Y108+Y110+Y114+Y121+Y125+Y131+Y138+Y145+Y147+Y151+Y158+Y165+Y172+Y179+Y185+Y189+Y196+Y200+Y206+Y215+Y222+Y224+Y228+Y235+Y242+Y246+Y253+Y256+Y263+Y270++Y277+Y284+Y291+Y298+Y300</f>
        <v>10000</v>
      </c>
      <c r="Z301" s="742">
        <f>Z13+Z17+Z22+Z27+Z31+Z35+Z39+Z43+Z45+Z52+Z58+Z65+Z72+Z78+Z85+Z91+Z97+Z108+Z110+Z114+Z121+Z125+Z131+Z138+Z145+Z147+Z151+Z158+Z165+Z172+Z179+Z185+Z189+Z196+Z200+Z206+Z215+Z222+Z224+Z228+Z235+Z242+Z246+Z253+Z256+Z263+Z270+Z277+Z284+Z291+Z298+Z300</f>
        <v>0</v>
      </c>
      <c r="AA301" s="742">
        <f t="shared" ref="AA301:AI301" si="653">AA13+AA17+AA22+AA27+AA31+AA35+AA39+AA43+AA45+AA52+AA58+AA65+AA72+AA78+AA85+AA91+AA97+AA108+AA110+AA114+AA121+AA125+AA131+AA138+AA145+AA147+AA151+AA158+AA165+AA172+AA179+AA185+AA189+AA196+AA200+AA206+AA215+AA222+AA224+AA228+AA235+AA242+AA246+AA253+AA256+AA263+AA270+AA277+AA284+AA291+AA298+AA300</f>
        <v>0</v>
      </c>
      <c r="AB301" s="742">
        <f t="shared" si="653"/>
        <v>10000</v>
      </c>
      <c r="AC301" s="742">
        <f t="shared" si="653"/>
        <v>1328829</v>
      </c>
      <c r="AD301" s="742">
        <f t="shared" si="653"/>
        <v>449144</v>
      </c>
      <c r="AE301" s="742">
        <f t="shared" si="653"/>
        <v>26378</v>
      </c>
      <c r="AF301" s="742">
        <f t="shared" si="653"/>
        <v>51250</v>
      </c>
      <c r="AG301" s="742">
        <f t="shared" si="653"/>
        <v>70000</v>
      </c>
      <c r="AH301" s="742">
        <f t="shared" si="653"/>
        <v>121250</v>
      </c>
      <c r="AI301" s="742">
        <f t="shared" si="653"/>
        <v>1925601</v>
      </c>
      <c r="AJ301" s="743">
        <f>AJ13+AJ17+AJ22+AJ27+AJ31+AJ35+AJ39+AJ43+AJ45+AJ52+AJ58+AJ65+AJ72+AJ78+AJ85+AJ91+AJ97+AJ108+AJ110+AJ114+AJ121+AJ125+AJ131+AJ138+AJ145+AJ147+AJ151+AJ158+AJ165+AJ172+AJ179+AJ185+AJ189+AJ196+AJ200+AJ206+AJ215+AJ222+AJ224+AJ228+AJ235+AJ242+AJ246+AJ253+AJ256+AJ263+AJ270+AJ277+AJ284+AJ291+AJ298+AJ300</f>
        <v>-0.02</v>
      </c>
      <c r="AK301" s="743">
        <f t="shared" ref="AK301:AT301" si="654">AK13+AK17+AK22+AK27+AK31+AK35+AK39+AK43+AK45+AK52+AK58+AK65+AK72+AK78+AK85+AK91+AK97+AK108+AK110+AK114+AK121+AK125+AK131+AK138+AK145+AK147+AK151+AK158+AK165+AK172+AK179+AK185+AK189+AK196+AK200+AK206+AK215+AK222+AK224+AK228+AK235+AK242+AK246+AK253+AK256+AK263+AK270+AK277+AK284+AK291+AK298+AK300</f>
        <v>0</v>
      </c>
      <c r="AL301" s="743">
        <f t="shared" si="654"/>
        <v>-0.64000000000000012</v>
      </c>
      <c r="AM301" s="743">
        <f t="shared" si="654"/>
        <v>3.7099999999999995</v>
      </c>
      <c r="AN301" s="743">
        <f t="shared" si="654"/>
        <v>-0.72</v>
      </c>
      <c r="AO301" s="743">
        <f t="shared" si="654"/>
        <v>1.0000000000000002E-2</v>
      </c>
      <c r="AP301" s="743">
        <f t="shared" si="654"/>
        <v>0</v>
      </c>
      <c r="AQ301" s="743">
        <f t="shared" si="654"/>
        <v>0</v>
      </c>
      <c r="AR301" s="743">
        <f t="shared" si="654"/>
        <v>3.0600000000000014</v>
      </c>
      <c r="AS301" s="743">
        <f t="shared" si="654"/>
        <v>-0.72</v>
      </c>
      <c r="AT301" s="744">
        <f t="shared" si="654"/>
        <v>2.3400000000000003</v>
      </c>
      <c r="AU301" s="555">
        <f>AU13+AU17+AU22+AU27+AU31+AU35+AU39+AU43+AU45+AU52+AU58+AU65+AU72+AU78+AU85+AU91+AU97+AU108+AU110+AU114+AU121+AU125+AU131+AU138+AU145+AU147+AU151+AU158+AU165+AU172+AU179+AU185+AU189+AU196+AU200+AU206+AU215+AU222+AU224+AU228+AU235+AU242+AU246+AU253+AU256+AU263+AU270+AU277+AU284+AU291+AU298+AU300</f>
        <v>1028732963</v>
      </c>
      <c r="AV301" s="555">
        <f t="shared" ref="AV301:AZ301" si="655">AV13+AV17+AV22+AV27+AV31+AV35+AV39+AV43+AV45+AV52+AV58+AV65+AV72+AV78+AV85+AV91+AV97+AV108+AV110+AV114+AV121+AV125+AV131+AV138+AV145+AV147+AV151+AV158+AV165+AV172+AV179+AV185+AV189+AV196+AV200+AV206+AV215+AV222+AV224+AV228+AV235+AV242+AV246+AV253+AV256+AV263+AV270+AV277+AV284+AV291+AV298+AV300</f>
        <v>742485068</v>
      </c>
      <c r="AW301" s="555">
        <f t="shared" si="655"/>
        <v>4173229</v>
      </c>
      <c r="AX301" s="555">
        <f t="shared" si="655"/>
        <v>252363481</v>
      </c>
      <c r="AY301" s="555">
        <f t="shared" si="655"/>
        <v>14849695</v>
      </c>
      <c r="AZ301" s="555">
        <f t="shared" si="655"/>
        <v>14861490</v>
      </c>
      <c r="BA301" s="554">
        <f>BA13+BA17+BA22+BA27+BA31+BA35+BA39+BA43+BA45+BA52+BA58+BA65+BA72+BA78+BA85+BA91+BA97+BA108+BA110+BA114+BA121+BA125+BA131+BA138+BA145+BA147+BA151+BA158+BA165+BA172+BA179+BA185+BA189+BA196+BA200+BA206+BA215+BA222+BA224+BA228+BA235+BA242+BA246+BA253+BA256+BA263+BA270+BA277+BA284+BA291+BA298+BA300</f>
        <v>1556.4467999999999</v>
      </c>
      <c r="BB301" s="554">
        <f t="shared" ref="BB301:BC301" si="656">BB13+BB17+BB22+BB27+BB31+BB35+BB39+BB43+BB45+BB52+BB58+BB65+BB72+BB78+BB85+BB91+BB97+BB108+BB110+BB114+BB121+BB125+BB131+BB138+BB145+BB147+BB151+BB158+BB165+BB172+BB179+BB185+BB189+BB196+BB200+BB206+BB215+BB222+BB224+BB228+BB235+BB242+BB246+BB253+BB256+BB263+BB270+BB277+BB284+BB291+BB298+BB300</f>
        <v>1114.3627999999999</v>
      </c>
      <c r="BC301" s="554">
        <f t="shared" si="656"/>
        <v>442.08399999999989</v>
      </c>
    </row>
    <row r="302" spans="1:55" s="234" customFormat="1" x14ac:dyDescent="0.2">
      <c r="D302" s="9"/>
      <c r="E302" s="5"/>
      <c r="F302" s="9"/>
      <c r="G302" s="20"/>
      <c r="H302" s="5"/>
      <c r="I302" s="490">
        <f>SUM(J301:N301)</f>
        <v>1026807362</v>
      </c>
      <c r="J302" s="490"/>
      <c r="K302" s="490"/>
      <c r="L302" s="490"/>
      <c r="M302" s="490"/>
      <c r="N302" s="490"/>
      <c r="O302" s="491">
        <f>SUM(P301:Q301)</f>
        <v>1554.1068</v>
      </c>
      <c r="P302" s="491"/>
      <c r="Q302" s="491"/>
      <c r="R302" s="490">
        <f>Y301</f>
        <v>10000</v>
      </c>
      <c r="S302" s="491"/>
      <c r="T302" s="491"/>
      <c r="U302" s="491"/>
      <c r="V302" s="491"/>
      <c r="W302" s="491"/>
      <c r="X302" s="497">
        <f>SUM(R301:W301)</f>
        <v>1318829</v>
      </c>
      <c r="Y302" s="497">
        <f>R301</f>
        <v>-10000</v>
      </c>
      <c r="Z302" s="498"/>
      <c r="AA302" s="498"/>
      <c r="AB302" s="497">
        <f>SUM(Y301:AA301)</f>
        <v>10000</v>
      </c>
      <c r="AC302" s="497">
        <f>X301+AB301</f>
        <v>1328829</v>
      </c>
      <c r="AD302" s="499"/>
      <c r="AE302" s="499"/>
      <c r="AF302" s="498"/>
      <c r="AG302" s="498"/>
      <c r="AH302" s="497">
        <f>SUM(AF301:AG301)</f>
        <v>121250</v>
      </c>
      <c r="AI302" s="497">
        <f>AC301+AD301+AE301+AH301</f>
        <v>1925601</v>
      </c>
      <c r="AJ302" s="500"/>
      <c r="AK302" s="500"/>
      <c r="AL302" s="500"/>
      <c r="AM302" s="500"/>
      <c r="AN302" s="500"/>
      <c r="AO302" s="500"/>
      <c r="AP302" s="500"/>
      <c r="AQ302" s="500"/>
      <c r="AR302" s="706">
        <f>AJ301+AL301+AM301+AO301+AP301</f>
        <v>3.0599999999999992</v>
      </c>
      <c r="AS302" s="706">
        <f>AK301+AN301+AQ301</f>
        <v>-0.72</v>
      </c>
      <c r="AT302" s="706">
        <f>SUM(AR301:AS301)</f>
        <v>2.3400000000000016</v>
      </c>
      <c r="AU302" s="490">
        <f>SUM(AV301:AZ301)</f>
        <v>1028732963</v>
      </c>
      <c r="AV302" s="55"/>
      <c r="AW302" s="55"/>
      <c r="AX302" s="55"/>
      <c r="AY302" s="55"/>
      <c r="AZ302" s="55"/>
      <c r="BA302" s="491">
        <f>SUM(BB301:BC301)</f>
        <v>1556.4467999999997</v>
      </c>
      <c r="BB302" s="93"/>
      <c r="BC302" s="93"/>
    </row>
    <row r="303" spans="1:55" ht="13.5" thickBot="1" x14ac:dyDescent="0.25">
      <c r="D303" s="9"/>
      <c r="E303" s="5"/>
      <c r="F303" s="254"/>
      <c r="G303" s="20"/>
      <c r="H303" s="5"/>
      <c r="I303" s="91">
        <f>SUM(J304:N304)</f>
        <v>1026807362</v>
      </c>
      <c r="J303" s="53"/>
      <c r="K303" s="53"/>
      <c r="L303" s="496"/>
      <c r="M303" s="496"/>
      <c r="N303" s="53"/>
      <c r="O303" s="92">
        <f>SUM(P304:Q304)</f>
        <v>1554.1068</v>
      </c>
      <c r="P303" s="183"/>
      <c r="Q303" s="183"/>
      <c r="R303" s="491"/>
      <c r="S303" s="491"/>
      <c r="T303" s="491"/>
      <c r="U303" s="491"/>
      <c r="V303" s="491"/>
      <c r="W303" s="491"/>
      <c r="X303" s="497">
        <f>SUM(R304:W304)</f>
        <v>1318829</v>
      </c>
      <c r="Y303" s="498"/>
      <c r="Z303" s="498"/>
      <c r="AA303" s="498"/>
      <c r="AB303" s="497">
        <f>SUM(Y304:AA304)</f>
        <v>10000</v>
      </c>
      <c r="AC303" s="497">
        <f>X304+AB304</f>
        <v>1328829</v>
      </c>
      <c r="AD303" s="499"/>
      <c r="AE303" s="499"/>
      <c r="AF303" s="498"/>
      <c r="AG303" s="498"/>
      <c r="AH303" s="497">
        <f>SUM(AF304:AG304)</f>
        <v>121250</v>
      </c>
      <c r="AI303" s="497">
        <f>AC304+AD304+AE304+AH304</f>
        <v>1925601</v>
      </c>
      <c r="AJ303" s="500"/>
      <c r="AK303" s="500"/>
      <c r="AL303" s="500"/>
      <c r="AM303" s="500"/>
      <c r="AN303" s="500"/>
      <c r="AO303" s="500"/>
      <c r="AP303" s="500"/>
      <c r="AQ303" s="500"/>
      <c r="AR303" s="663">
        <f>AJ304+AL304+AM304+AO304+AP304</f>
        <v>3.0600000000000005</v>
      </c>
      <c r="AS303" s="663">
        <f>AK304+AN304+AQ304</f>
        <v>-0.72</v>
      </c>
      <c r="AT303" s="663">
        <f>SUM(AR304:AS304)</f>
        <v>2.3400000000000007</v>
      </c>
      <c r="AU303" s="490">
        <f>SUM(AV304:AZ304)</f>
        <v>1028732963</v>
      </c>
      <c r="AV303" s="55"/>
      <c r="AW303" s="55"/>
      <c r="AX303" s="55"/>
      <c r="AY303" s="55"/>
      <c r="AZ303" s="55"/>
      <c r="BA303" s="491">
        <f>SUM(BB304:BC304)</f>
        <v>1556.4468000000002</v>
      </c>
      <c r="BB303" s="93"/>
      <c r="BC303" s="93"/>
    </row>
    <row r="304" spans="1:55" ht="13.5" thickBot="1" x14ac:dyDescent="0.25">
      <c r="D304" s="9"/>
      <c r="E304" s="5"/>
      <c r="F304" s="9"/>
      <c r="G304" s="20"/>
      <c r="H304" s="517" t="s">
        <v>0</v>
      </c>
      <c r="I304" s="146">
        <f t="shared" ref="I304:BC304" si="657">SUM(I305:I314)</f>
        <v>1026807362</v>
      </c>
      <c r="J304" s="34">
        <f t="shared" si="657"/>
        <v>741166239</v>
      </c>
      <c r="K304" s="34">
        <f t="shared" si="657"/>
        <v>4163229</v>
      </c>
      <c r="L304" s="34">
        <f t="shared" si="657"/>
        <v>251914337</v>
      </c>
      <c r="M304" s="34">
        <f t="shared" si="657"/>
        <v>14823317</v>
      </c>
      <c r="N304" s="34">
        <f t="shared" si="657"/>
        <v>14740240</v>
      </c>
      <c r="O304" s="35">
        <f t="shared" si="657"/>
        <v>1554.1067999999998</v>
      </c>
      <c r="P304" s="35">
        <f t="shared" si="657"/>
        <v>1111.3027999999999</v>
      </c>
      <c r="Q304" s="155">
        <f t="shared" si="657"/>
        <v>442.80400000000003</v>
      </c>
      <c r="R304" s="146">
        <f t="shared" si="657"/>
        <v>-10000</v>
      </c>
      <c r="S304" s="34">
        <f t="shared" si="657"/>
        <v>-240065</v>
      </c>
      <c r="T304" s="34">
        <f t="shared" si="657"/>
        <v>1632852</v>
      </c>
      <c r="U304" s="34">
        <f t="shared" si="657"/>
        <v>-12412</v>
      </c>
      <c r="V304" s="34">
        <f t="shared" si="657"/>
        <v>-51546</v>
      </c>
      <c r="W304" s="34">
        <f t="shared" si="657"/>
        <v>0</v>
      </c>
      <c r="X304" s="34">
        <f t="shared" si="657"/>
        <v>1318829</v>
      </c>
      <c r="Y304" s="34">
        <f t="shared" si="657"/>
        <v>10000</v>
      </c>
      <c r="Z304" s="34">
        <f t="shared" si="657"/>
        <v>0</v>
      </c>
      <c r="AA304" s="34">
        <f t="shared" si="657"/>
        <v>0</v>
      </c>
      <c r="AB304" s="34">
        <f t="shared" si="657"/>
        <v>10000</v>
      </c>
      <c r="AC304" s="34">
        <f t="shared" si="657"/>
        <v>1328829</v>
      </c>
      <c r="AD304" s="34">
        <f t="shared" si="657"/>
        <v>449144</v>
      </c>
      <c r="AE304" s="34">
        <f t="shared" si="657"/>
        <v>26378</v>
      </c>
      <c r="AF304" s="34">
        <f t="shared" si="657"/>
        <v>51250</v>
      </c>
      <c r="AG304" s="34">
        <f t="shared" si="657"/>
        <v>70000</v>
      </c>
      <c r="AH304" s="34">
        <f t="shared" si="657"/>
        <v>121250</v>
      </c>
      <c r="AI304" s="34">
        <f t="shared" si="657"/>
        <v>1925601</v>
      </c>
      <c r="AJ304" s="35">
        <f t="shared" si="657"/>
        <v>-0.02</v>
      </c>
      <c r="AK304" s="35">
        <f t="shared" si="657"/>
        <v>0</v>
      </c>
      <c r="AL304" s="35">
        <f t="shared" si="657"/>
        <v>-0.6399999999999999</v>
      </c>
      <c r="AM304" s="35">
        <f t="shared" si="657"/>
        <v>3.7100000000000004</v>
      </c>
      <c r="AN304" s="35">
        <f t="shared" si="657"/>
        <v>-0.72</v>
      </c>
      <c r="AO304" s="35">
        <f t="shared" si="657"/>
        <v>1.0000000000000002E-2</v>
      </c>
      <c r="AP304" s="35">
        <f t="shared" si="657"/>
        <v>0</v>
      </c>
      <c r="AQ304" s="35">
        <f t="shared" si="657"/>
        <v>0</v>
      </c>
      <c r="AR304" s="35">
        <f t="shared" si="657"/>
        <v>3.0600000000000005</v>
      </c>
      <c r="AS304" s="35">
        <f t="shared" si="657"/>
        <v>-0.72</v>
      </c>
      <c r="AT304" s="36">
        <f t="shared" si="657"/>
        <v>2.3400000000000003</v>
      </c>
      <c r="AU304" s="156">
        <f t="shared" si="657"/>
        <v>1028732963</v>
      </c>
      <c r="AV304" s="34">
        <f t="shared" si="657"/>
        <v>742485068</v>
      </c>
      <c r="AW304" s="34">
        <f t="shared" si="657"/>
        <v>4173229</v>
      </c>
      <c r="AX304" s="34">
        <f t="shared" si="657"/>
        <v>252363481</v>
      </c>
      <c r="AY304" s="34">
        <f t="shared" si="657"/>
        <v>14849695</v>
      </c>
      <c r="AZ304" s="34">
        <f t="shared" si="657"/>
        <v>14861490</v>
      </c>
      <c r="BA304" s="35">
        <f t="shared" si="657"/>
        <v>1556.4468000000002</v>
      </c>
      <c r="BB304" s="35">
        <f t="shared" si="657"/>
        <v>1114.3628000000001</v>
      </c>
      <c r="BC304" s="36">
        <f t="shared" si="657"/>
        <v>442.08400000000006</v>
      </c>
    </row>
    <row r="305" spans="4:55" x14ac:dyDescent="0.2">
      <c r="D305" s="9"/>
      <c r="E305" s="5"/>
      <c r="F305" s="9"/>
      <c r="G305" s="20"/>
      <c r="H305" s="518">
        <v>3111</v>
      </c>
      <c r="I305" s="618">
        <f t="shared" ref="I305:BC305" si="658">SUMIF($F$12:$F$459,"=3111",I$12:I$459)</f>
        <v>202444515</v>
      </c>
      <c r="J305" s="619">
        <f t="shared" si="658"/>
        <v>147419237</v>
      </c>
      <c r="K305" s="619">
        <f t="shared" si="658"/>
        <v>608768</v>
      </c>
      <c r="L305" s="619">
        <f t="shared" si="658"/>
        <v>50033465</v>
      </c>
      <c r="M305" s="619">
        <f t="shared" si="658"/>
        <v>2948384</v>
      </c>
      <c r="N305" s="619">
        <f t="shared" si="658"/>
        <v>1434661</v>
      </c>
      <c r="O305" s="624">
        <f t="shared" si="658"/>
        <v>334.6536999999999</v>
      </c>
      <c r="P305" s="624">
        <f t="shared" si="658"/>
        <v>259.50020000000001</v>
      </c>
      <c r="Q305" s="625">
        <f t="shared" si="658"/>
        <v>75.153499999999994</v>
      </c>
      <c r="R305" s="618">
        <f t="shared" si="658"/>
        <v>0</v>
      </c>
      <c r="S305" s="619">
        <f t="shared" si="658"/>
        <v>43305</v>
      </c>
      <c r="T305" s="619">
        <f t="shared" si="658"/>
        <v>557900</v>
      </c>
      <c r="U305" s="619">
        <f t="shared" si="658"/>
        <v>0</v>
      </c>
      <c r="V305" s="619">
        <f t="shared" si="658"/>
        <v>-51546</v>
      </c>
      <c r="W305" s="619">
        <f t="shared" si="658"/>
        <v>0</v>
      </c>
      <c r="X305" s="619">
        <f t="shared" si="658"/>
        <v>549659</v>
      </c>
      <c r="Y305" s="619">
        <f t="shared" si="658"/>
        <v>0</v>
      </c>
      <c r="Z305" s="619">
        <f t="shared" si="658"/>
        <v>0</v>
      </c>
      <c r="AA305" s="619">
        <f t="shared" si="658"/>
        <v>0</v>
      </c>
      <c r="AB305" s="619">
        <f t="shared" si="658"/>
        <v>0</v>
      </c>
      <c r="AC305" s="619">
        <f t="shared" si="658"/>
        <v>549659</v>
      </c>
      <c r="AD305" s="619">
        <f t="shared" si="658"/>
        <v>185784</v>
      </c>
      <c r="AE305" s="619">
        <f t="shared" si="658"/>
        <v>10993</v>
      </c>
      <c r="AF305" s="619">
        <f t="shared" si="658"/>
        <v>3000</v>
      </c>
      <c r="AG305" s="619">
        <f t="shared" si="658"/>
        <v>70000</v>
      </c>
      <c r="AH305" s="619">
        <f t="shared" si="658"/>
        <v>73000</v>
      </c>
      <c r="AI305" s="619">
        <f t="shared" si="658"/>
        <v>819436</v>
      </c>
      <c r="AJ305" s="624">
        <f t="shared" si="658"/>
        <v>0</v>
      </c>
      <c r="AK305" s="624">
        <f t="shared" si="658"/>
        <v>0</v>
      </c>
      <c r="AL305" s="624">
        <f t="shared" si="658"/>
        <v>0.12000000000000002</v>
      </c>
      <c r="AM305" s="624">
        <f t="shared" si="658"/>
        <v>1.1600000000000001</v>
      </c>
      <c r="AN305" s="624">
        <f t="shared" si="658"/>
        <v>0</v>
      </c>
      <c r="AO305" s="624">
        <f t="shared" si="658"/>
        <v>0</v>
      </c>
      <c r="AP305" s="624">
        <f t="shared" si="658"/>
        <v>0</v>
      </c>
      <c r="AQ305" s="624">
        <f t="shared" si="658"/>
        <v>0</v>
      </c>
      <c r="AR305" s="624">
        <f t="shared" si="658"/>
        <v>1.2800000000000002</v>
      </c>
      <c r="AS305" s="624">
        <f t="shared" si="658"/>
        <v>0</v>
      </c>
      <c r="AT305" s="627">
        <f t="shared" si="658"/>
        <v>1.2800000000000002</v>
      </c>
      <c r="AU305" s="620">
        <f t="shared" si="658"/>
        <v>203263951</v>
      </c>
      <c r="AV305" s="619">
        <f t="shared" si="658"/>
        <v>147968896</v>
      </c>
      <c r="AW305" s="619">
        <f t="shared" si="658"/>
        <v>608768</v>
      </c>
      <c r="AX305" s="619">
        <f t="shared" si="658"/>
        <v>50219249</v>
      </c>
      <c r="AY305" s="619">
        <f t="shared" si="658"/>
        <v>2959377</v>
      </c>
      <c r="AZ305" s="619">
        <f t="shared" si="658"/>
        <v>1507661</v>
      </c>
      <c r="BA305" s="624">
        <f t="shared" si="658"/>
        <v>335.93369999999993</v>
      </c>
      <c r="BB305" s="624">
        <f t="shared" si="658"/>
        <v>260.78020000000004</v>
      </c>
      <c r="BC305" s="627">
        <f t="shared" si="658"/>
        <v>75.153499999999994</v>
      </c>
    </row>
    <row r="306" spans="4:55" x14ac:dyDescent="0.2">
      <c r="D306" s="9"/>
      <c r="E306" s="5"/>
      <c r="F306" s="9"/>
      <c r="G306" s="20"/>
      <c r="H306" s="2">
        <v>3113</v>
      </c>
      <c r="I306" s="174">
        <f t="shared" ref="I306:BC306" si="659">SUMIF($F$12:$F$459,"=3113",I$12:I$459)</f>
        <v>527818337</v>
      </c>
      <c r="J306" s="16">
        <f t="shared" si="659"/>
        <v>378947369</v>
      </c>
      <c r="K306" s="16">
        <f t="shared" si="659"/>
        <v>1800871</v>
      </c>
      <c r="L306" s="16">
        <f t="shared" si="659"/>
        <v>128685883</v>
      </c>
      <c r="M306" s="16">
        <f t="shared" si="659"/>
        <v>7578944</v>
      </c>
      <c r="N306" s="16">
        <f t="shared" si="659"/>
        <v>10805270</v>
      </c>
      <c r="O306" s="13">
        <f t="shared" si="659"/>
        <v>719.28779999999995</v>
      </c>
      <c r="P306" s="13">
        <f t="shared" si="659"/>
        <v>575.65829999999994</v>
      </c>
      <c r="Q306" s="176">
        <f t="shared" si="659"/>
        <v>143.62950000000001</v>
      </c>
      <c r="R306" s="174">
        <f t="shared" si="659"/>
        <v>0</v>
      </c>
      <c r="S306" s="16">
        <f t="shared" si="659"/>
        <v>375528</v>
      </c>
      <c r="T306" s="16">
        <f t="shared" si="659"/>
        <v>85243</v>
      </c>
      <c r="U306" s="16">
        <f t="shared" si="659"/>
        <v>-12412</v>
      </c>
      <c r="V306" s="16">
        <f t="shared" si="659"/>
        <v>0</v>
      </c>
      <c r="W306" s="16">
        <f t="shared" si="659"/>
        <v>0</v>
      </c>
      <c r="X306" s="16">
        <f t="shared" si="659"/>
        <v>448359</v>
      </c>
      <c r="Y306" s="16">
        <f t="shared" si="659"/>
        <v>0</v>
      </c>
      <c r="Z306" s="16">
        <f t="shared" si="659"/>
        <v>0</v>
      </c>
      <c r="AA306" s="16">
        <f t="shared" si="659"/>
        <v>0</v>
      </c>
      <c r="AB306" s="16">
        <f t="shared" si="659"/>
        <v>0</v>
      </c>
      <c r="AC306" s="16">
        <f t="shared" si="659"/>
        <v>448359</v>
      </c>
      <c r="AD306" s="16">
        <f t="shared" si="659"/>
        <v>151544</v>
      </c>
      <c r="AE306" s="16">
        <f t="shared" si="659"/>
        <v>8967</v>
      </c>
      <c r="AF306" s="16">
        <f t="shared" si="659"/>
        <v>45750</v>
      </c>
      <c r="AG306" s="16">
        <f t="shared" si="659"/>
        <v>0</v>
      </c>
      <c r="AH306" s="16">
        <f t="shared" si="659"/>
        <v>45750</v>
      </c>
      <c r="AI306" s="16">
        <f t="shared" si="659"/>
        <v>654620</v>
      </c>
      <c r="AJ306" s="13">
        <f t="shared" si="659"/>
        <v>0</v>
      </c>
      <c r="AK306" s="13">
        <f t="shared" si="659"/>
        <v>0</v>
      </c>
      <c r="AL306" s="13">
        <f t="shared" si="659"/>
        <v>1.1400000000000001</v>
      </c>
      <c r="AM306" s="13">
        <f t="shared" si="659"/>
        <v>0.19000000000000011</v>
      </c>
      <c r="AN306" s="13">
        <f t="shared" si="659"/>
        <v>0</v>
      </c>
      <c r="AO306" s="13">
        <f t="shared" si="659"/>
        <v>1.0000000000000002E-2</v>
      </c>
      <c r="AP306" s="13">
        <f t="shared" si="659"/>
        <v>0</v>
      </c>
      <c r="AQ306" s="13">
        <f t="shared" si="659"/>
        <v>0</v>
      </c>
      <c r="AR306" s="13">
        <f t="shared" si="659"/>
        <v>1.3400000000000003</v>
      </c>
      <c r="AS306" s="13">
        <f t="shared" si="659"/>
        <v>0</v>
      </c>
      <c r="AT306" s="17">
        <f t="shared" si="659"/>
        <v>1.3400000000000003</v>
      </c>
      <c r="AU306" s="175">
        <f t="shared" si="659"/>
        <v>528472957</v>
      </c>
      <c r="AV306" s="16">
        <f t="shared" si="659"/>
        <v>379395728</v>
      </c>
      <c r="AW306" s="16">
        <f t="shared" si="659"/>
        <v>1800871</v>
      </c>
      <c r="AX306" s="16">
        <f t="shared" si="659"/>
        <v>128837427</v>
      </c>
      <c r="AY306" s="16">
        <f t="shared" si="659"/>
        <v>7587911</v>
      </c>
      <c r="AZ306" s="16">
        <f t="shared" si="659"/>
        <v>10851020</v>
      </c>
      <c r="BA306" s="13">
        <f t="shared" si="659"/>
        <v>720.62780000000009</v>
      </c>
      <c r="BB306" s="13">
        <f t="shared" si="659"/>
        <v>576.99830000000009</v>
      </c>
      <c r="BC306" s="17">
        <f t="shared" si="659"/>
        <v>143.62950000000001</v>
      </c>
    </row>
    <row r="307" spans="4:55" x14ac:dyDescent="0.2">
      <c r="D307" s="9"/>
      <c r="E307" s="5"/>
      <c r="F307" s="9"/>
      <c r="G307" s="20"/>
      <c r="H307" s="2">
        <v>3114</v>
      </c>
      <c r="I307" s="174">
        <f t="shared" ref="I307:BC307" si="660">SUMIF($F$12:$F$459,"=3114",I$12:I$459)</f>
        <v>47394400</v>
      </c>
      <c r="J307" s="16">
        <f t="shared" si="660"/>
        <v>34297959</v>
      </c>
      <c r="K307" s="16">
        <f t="shared" si="660"/>
        <v>0</v>
      </c>
      <c r="L307" s="16">
        <f t="shared" si="660"/>
        <v>11592711</v>
      </c>
      <c r="M307" s="16">
        <f t="shared" si="660"/>
        <v>685960</v>
      </c>
      <c r="N307" s="16">
        <f t="shared" si="660"/>
        <v>817770</v>
      </c>
      <c r="O307" s="13">
        <f t="shared" si="660"/>
        <v>67.729500000000002</v>
      </c>
      <c r="P307" s="13">
        <f t="shared" si="660"/>
        <v>56.091000000000001</v>
      </c>
      <c r="Q307" s="176">
        <f t="shared" si="660"/>
        <v>11.638500000000001</v>
      </c>
      <c r="R307" s="174">
        <f t="shared" si="660"/>
        <v>0</v>
      </c>
      <c r="S307" s="16">
        <f t="shared" si="660"/>
        <v>0</v>
      </c>
      <c r="T307" s="16">
        <f t="shared" si="660"/>
        <v>293304</v>
      </c>
      <c r="U307" s="16">
        <f t="shared" si="660"/>
        <v>0</v>
      </c>
      <c r="V307" s="16">
        <f t="shared" si="660"/>
        <v>0</v>
      </c>
      <c r="W307" s="16">
        <f t="shared" si="660"/>
        <v>0</v>
      </c>
      <c r="X307" s="16">
        <f t="shared" si="660"/>
        <v>293304</v>
      </c>
      <c r="Y307" s="16">
        <f t="shared" si="660"/>
        <v>0</v>
      </c>
      <c r="Z307" s="16">
        <f t="shared" si="660"/>
        <v>0</v>
      </c>
      <c r="AA307" s="16">
        <f t="shared" si="660"/>
        <v>0</v>
      </c>
      <c r="AB307" s="16">
        <f t="shared" si="660"/>
        <v>0</v>
      </c>
      <c r="AC307" s="16">
        <f t="shared" si="660"/>
        <v>293304</v>
      </c>
      <c r="AD307" s="16">
        <f t="shared" si="660"/>
        <v>99137</v>
      </c>
      <c r="AE307" s="16">
        <f t="shared" si="660"/>
        <v>5866</v>
      </c>
      <c r="AF307" s="16">
        <f t="shared" si="660"/>
        <v>0</v>
      </c>
      <c r="AG307" s="16">
        <f t="shared" si="660"/>
        <v>0</v>
      </c>
      <c r="AH307" s="16">
        <f t="shared" si="660"/>
        <v>0</v>
      </c>
      <c r="AI307" s="16">
        <f t="shared" si="660"/>
        <v>398307</v>
      </c>
      <c r="AJ307" s="13">
        <f t="shared" si="660"/>
        <v>0</v>
      </c>
      <c r="AK307" s="13">
        <f t="shared" si="660"/>
        <v>0</v>
      </c>
      <c r="AL307" s="13">
        <f t="shared" si="660"/>
        <v>0</v>
      </c>
      <c r="AM307" s="13">
        <f t="shared" si="660"/>
        <v>0.53</v>
      </c>
      <c r="AN307" s="13">
        <f t="shared" si="660"/>
        <v>0</v>
      </c>
      <c r="AO307" s="13">
        <f t="shared" si="660"/>
        <v>0</v>
      </c>
      <c r="AP307" s="13">
        <f t="shared" si="660"/>
        <v>0</v>
      </c>
      <c r="AQ307" s="13">
        <f t="shared" si="660"/>
        <v>0</v>
      </c>
      <c r="AR307" s="13">
        <f t="shared" si="660"/>
        <v>0.53</v>
      </c>
      <c r="AS307" s="13">
        <f t="shared" si="660"/>
        <v>0</v>
      </c>
      <c r="AT307" s="17">
        <f t="shared" si="660"/>
        <v>0.53</v>
      </c>
      <c r="AU307" s="175">
        <f t="shared" si="660"/>
        <v>47792707</v>
      </c>
      <c r="AV307" s="16">
        <f t="shared" si="660"/>
        <v>34591263</v>
      </c>
      <c r="AW307" s="16">
        <f t="shared" si="660"/>
        <v>0</v>
      </c>
      <c r="AX307" s="16">
        <f t="shared" si="660"/>
        <v>11691848</v>
      </c>
      <c r="AY307" s="16">
        <f t="shared" si="660"/>
        <v>691826</v>
      </c>
      <c r="AZ307" s="16">
        <f t="shared" si="660"/>
        <v>817770</v>
      </c>
      <c r="BA307" s="13">
        <f t="shared" si="660"/>
        <v>68.259500000000003</v>
      </c>
      <c r="BB307" s="13">
        <f t="shared" si="660"/>
        <v>56.620999999999995</v>
      </c>
      <c r="BC307" s="17">
        <f t="shared" si="660"/>
        <v>11.638500000000001</v>
      </c>
    </row>
    <row r="308" spans="4:55" x14ac:dyDescent="0.2">
      <c r="D308" s="9"/>
      <c r="E308" s="5"/>
      <c r="F308" s="9"/>
      <c r="G308" s="20"/>
      <c r="H308" s="2">
        <v>3117</v>
      </c>
      <c r="I308" s="174">
        <f t="shared" ref="I308:BC308" si="661">SUMIF($F$12:$F$459,"=3117",I$12:I$459)</f>
        <v>50964996</v>
      </c>
      <c r="J308" s="16">
        <f t="shared" si="661"/>
        <v>36699015</v>
      </c>
      <c r="K308" s="16">
        <f t="shared" si="661"/>
        <v>223260</v>
      </c>
      <c r="L308" s="16">
        <f t="shared" si="661"/>
        <v>12479729</v>
      </c>
      <c r="M308" s="16">
        <f t="shared" si="661"/>
        <v>733981</v>
      </c>
      <c r="N308" s="16">
        <f t="shared" si="661"/>
        <v>829011</v>
      </c>
      <c r="O308" s="13">
        <f t="shared" si="661"/>
        <v>80.606499999999997</v>
      </c>
      <c r="P308" s="13">
        <f t="shared" si="661"/>
        <v>60.425600000000003</v>
      </c>
      <c r="Q308" s="176">
        <f t="shared" si="661"/>
        <v>20.180900000000001</v>
      </c>
      <c r="R308" s="174">
        <f t="shared" si="661"/>
        <v>0</v>
      </c>
      <c r="S308" s="16">
        <f t="shared" si="661"/>
        <v>-658898</v>
      </c>
      <c r="T308" s="16">
        <f t="shared" si="661"/>
        <v>247968</v>
      </c>
      <c r="U308" s="16">
        <f t="shared" si="661"/>
        <v>0</v>
      </c>
      <c r="V308" s="16">
        <f t="shared" si="661"/>
        <v>0</v>
      </c>
      <c r="W308" s="16">
        <f t="shared" si="661"/>
        <v>0</v>
      </c>
      <c r="X308" s="16">
        <f t="shared" si="661"/>
        <v>-410930</v>
      </c>
      <c r="Y308" s="16">
        <f t="shared" si="661"/>
        <v>0</v>
      </c>
      <c r="Z308" s="16">
        <f t="shared" si="661"/>
        <v>0</v>
      </c>
      <c r="AA308" s="16">
        <f t="shared" si="661"/>
        <v>0</v>
      </c>
      <c r="AB308" s="16">
        <f t="shared" si="661"/>
        <v>0</v>
      </c>
      <c r="AC308" s="16">
        <f t="shared" si="661"/>
        <v>-410930</v>
      </c>
      <c r="AD308" s="16">
        <f t="shared" si="661"/>
        <v>-138894</v>
      </c>
      <c r="AE308" s="16">
        <f t="shared" si="661"/>
        <v>-8218</v>
      </c>
      <c r="AF308" s="16">
        <f t="shared" si="661"/>
        <v>2500</v>
      </c>
      <c r="AG308" s="16">
        <f t="shared" si="661"/>
        <v>0</v>
      </c>
      <c r="AH308" s="16">
        <f t="shared" si="661"/>
        <v>2500</v>
      </c>
      <c r="AI308" s="16">
        <f t="shared" si="661"/>
        <v>-555542</v>
      </c>
      <c r="AJ308" s="13">
        <f t="shared" si="661"/>
        <v>0</v>
      </c>
      <c r="AK308" s="13">
        <f t="shared" si="661"/>
        <v>0</v>
      </c>
      <c r="AL308" s="13">
        <f t="shared" si="661"/>
        <v>-1.9000000000000001</v>
      </c>
      <c r="AM308" s="13">
        <f t="shared" si="661"/>
        <v>0.52</v>
      </c>
      <c r="AN308" s="13">
        <f t="shared" si="661"/>
        <v>0</v>
      </c>
      <c r="AO308" s="13">
        <f t="shared" si="661"/>
        <v>0</v>
      </c>
      <c r="AP308" s="13">
        <f t="shared" si="661"/>
        <v>0</v>
      </c>
      <c r="AQ308" s="13">
        <f t="shared" si="661"/>
        <v>0</v>
      </c>
      <c r="AR308" s="13">
        <f t="shared" si="661"/>
        <v>-1.3800000000000001</v>
      </c>
      <c r="AS308" s="13">
        <f t="shared" si="661"/>
        <v>0</v>
      </c>
      <c r="AT308" s="17">
        <f t="shared" si="661"/>
        <v>-1.3800000000000001</v>
      </c>
      <c r="AU308" s="175">
        <f t="shared" si="661"/>
        <v>50409454</v>
      </c>
      <c r="AV308" s="16">
        <f t="shared" si="661"/>
        <v>36288085</v>
      </c>
      <c r="AW308" s="16">
        <f t="shared" si="661"/>
        <v>223260</v>
      </c>
      <c r="AX308" s="16">
        <f t="shared" si="661"/>
        <v>12340835</v>
      </c>
      <c r="AY308" s="16">
        <f t="shared" si="661"/>
        <v>725763</v>
      </c>
      <c r="AZ308" s="16">
        <f t="shared" si="661"/>
        <v>831511</v>
      </c>
      <c r="BA308" s="13">
        <f t="shared" si="661"/>
        <v>79.226499999999987</v>
      </c>
      <c r="BB308" s="13">
        <f t="shared" si="661"/>
        <v>59.045600000000007</v>
      </c>
      <c r="BC308" s="17">
        <f t="shared" si="661"/>
        <v>20.180900000000001</v>
      </c>
    </row>
    <row r="309" spans="4:55" x14ac:dyDescent="0.2">
      <c r="D309" s="9"/>
      <c r="E309" s="5"/>
      <c r="F309" s="9"/>
      <c r="G309" s="20"/>
      <c r="H309" s="2">
        <v>3122</v>
      </c>
      <c r="I309" s="174">
        <f t="shared" ref="I309:BC309" si="662">SUMIF($F$12:$F$459,"=3122",I$12:I$459)</f>
        <v>0</v>
      </c>
      <c r="J309" s="16">
        <f t="shared" si="662"/>
        <v>0</v>
      </c>
      <c r="K309" s="16">
        <f t="shared" si="662"/>
        <v>0</v>
      </c>
      <c r="L309" s="16">
        <f t="shared" si="662"/>
        <v>0</v>
      </c>
      <c r="M309" s="16">
        <f t="shared" si="662"/>
        <v>0</v>
      </c>
      <c r="N309" s="16">
        <f t="shared" si="662"/>
        <v>0</v>
      </c>
      <c r="O309" s="13">
        <f t="shared" si="662"/>
        <v>0</v>
      </c>
      <c r="P309" s="13">
        <f t="shared" si="662"/>
        <v>0</v>
      </c>
      <c r="Q309" s="176">
        <f t="shared" si="662"/>
        <v>0</v>
      </c>
      <c r="R309" s="174">
        <f t="shared" si="662"/>
        <v>0</v>
      </c>
      <c r="S309" s="16">
        <f t="shared" si="662"/>
        <v>0</v>
      </c>
      <c r="T309" s="16">
        <f t="shared" si="662"/>
        <v>0</v>
      </c>
      <c r="U309" s="16">
        <f t="shared" si="662"/>
        <v>0</v>
      </c>
      <c r="V309" s="16">
        <f t="shared" si="662"/>
        <v>0</v>
      </c>
      <c r="W309" s="16">
        <f t="shared" si="662"/>
        <v>0</v>
      </c>
      <c r="X309" s="16">
        <f t="shared" si="662"/>
        <v>0</v>
      </c>
      <c r="Y309" s="16">
        <f t="shared" si="662"/>
        <v>0</v>
      </c>
      <c r="Z309" s="16">
        <f t="shared" si="662"/>
        <v>0</v>
      </c>
      <c r="AA309" s="16">
        <f t="shared" si="662"/>
        <v>0</v>
      </c>
      <c r="AB309" s="16">
        <f t="shared" si="662"/>
        <v>0</v>
      </c>
      <c r="AC309" s="16">
        <f t="shared" si="662"/>
        <v>0</v>
      </c>
      <c r="AD309" s="16">
        <f t="shared" si="662"/>
        <v>0</v>
      </c>
      <c r="AE309" s="16">
        <f t="shared" si="662"/>
        <v>0</v>
      </c>
      <c r="AF309" s="16">
        <f t="shared" si="662"/>
        <v>0</v>
      </c>
      <c r="AG309" s="16">
        <f t="shared" si="662"/>
        <v>0</v>
      </c>
      <c r="AH309" s="16">
        <f t="shared" si="662"/>
        <v>0</v>
      </c>
      <c r="AI309" s="16">
        <f t="shared" si="662"/>
        <v>0</v>
      </c>
      <c r="AJ309" s="13">
        <f t="shared" si="662"/>
        <v>0</v>
      </c>
      <c r="AK309" s="13">
        <f t="shared" si="662"/>
        <v>0</v>
      </c>
      <c r="AL309" s="13">
        <f t="shared" si="662"/>
        <v>0</v>
      </c>
      <c r="AM309" s="13">
        <f t="shared" si="662"/>
        <v>0</v>
      </c>
      <c r="AN309" s="13">
        <f t="shared" si="662"/>
        <v>0</v>
      </c>
      <c r="AO309" s="13">
        <f t="shared" si="662"/>
        <v>0</v>
      </c>
      <c r="AP309" s="13">
        <f t="shared" si="662"/>
        <v>0</v>
      </c>
      <c r="AQ309" s="13">
        <f t="shared" si="662"/>
        <v>0</v>
      </c>
      <c r="AR309" s="13">
        <f t="shared" si="662"/>
        <v>0</v>
      </c>
      <c r="AS309" s="13">
        <f t="shared" si="662"/>
        <v>0</v>
      </c>
      <c r="AT309" s="17">
        <f t="shared" si="662"/>
        <v>0</v>
      </c>
      <c r="AU309" s="175">
        <f t="shared" si="662"/>
        <v>0</v>
      </c>
      <c r="AV309" s="16">
        <f t="shared" si="662"/>
        <v>0</v>
      </c>
      <c r="AW309" s="16">
        <f t="shared" si="662"/>
        <v>0</v>
      </c>
      <c r="AX309" s="16">
        <f t="shared" si="662"/>
        <v>0</v>
      </c>
      <c r="AY309" s="16">
        <f t="shared" si="662"/>
        <v>0</v>
      </c>
      <c r="AZ309" s="16">
        <f t="shared" si="662"/>
        <v>0</v>
      </c>
      <c r="BA309" s="13">
        <f t="shared" si="662"/>
        <v>0</v>
      </c>
      <c r="BB309" s="13">
        <f t="shared" si="662"/>
        <v>0</v>
      </c>
      <c r="BC309" s="17">
        <f t="shared" si="662"/>
        <v>0</v>
      </c>
    </row>
    <row r="310" spans="4:55" x14ac:dyDescent="0.2">
      <c r="D310" s="9"/>
      <c r="E310" s="5"/>
      <c r="F310" s="9"/>
      <c r="G310" s="20"/>
      <c r="H310" s="2">
        <v>3124</v>
      </c>
      <c r="I310" s="174">
        <f t="shared" ref="I310:BC310" si="663">SUMIF($F$12:$F$459,"=3124",I$12:I$459)</f>
        <v>4251963</v>
      </c>
      <c r="J310" s="16">
        <f t="shared" si="663"/>
        <v>3114553</v>
      </c>
      <c r="K310" s="16">
        <f t="shared" si="663"/>
        <v>0</v>
      </c>
      <c r="L310" s="16">
        <f t="shared" si="663"/>
        <v>1052719</v>
      </c>
      <c r="M310" s="16">
        <f t="shared" si="663"/>
        <v>62291</v>
      </c>
      <c r="N310" s="16">
        <f t="shared" si="663"/>
        <v>22400</v>
      </c>
      <c r="O310" s="13">
        <f t="shared" si="663"/>
        <v>5.7788000000000004</v>
      </c>
      <c r="P310" s="13">
        <f t="shared" si="663"/>
        <v>5.0158000000000005</v>
      </c>
      <c r="Q310" s="176">
        <f t="shared" si="663"/>
        <v>0.76300000000000001</v>
      </c>
      <c r="R310" s="174">
        <f t="shared" si="663"/>
        <v>0</v>
      </c>
      <c r="S310" s="16">
        <f t="shared" si="663"/>
        <v>0</v>
      </c>
      <c r="T310" s="16">
        <f t="shared" si="663"/>
        <v>0</v>
      </c>
      <c r="U310" s="16">
        <f t="shared" si="663"/>
        <v>0</v>
      </c>
      <c r="V310" s="16">
        <f t="shared" si="663"/>
        <v>0</v>
      </c>
      <c r="W310" s="16">
        <f t="shared" si="663"/>
        <v>0</v>
      </c>
      <c r="X310" s="16">
        <f t="shared" si="663"/>
        <v>0</v>
      </c>
      <c r="Y310" s="16">
        <f t="shared" si="663"/>
        <v>0</v>
      </c>
      <c r="Z310" s="16">
        <f t="shared" si="663"/>
        <v>0</v>
      </c>
      <c r="AA310" s="16">
        <f t="shared" si="663"/>
        <v>0</v>
      </c>
      <c r="AB310" s="16">
        <f t="shared" si="663"/>
        <v>0</v>
      </c>
      <c r="AC310" s="16">
        <f t="shared" si="663"/>
        <v>0</v>
      </c>
      <c r="AD310" s="16">
        <f t="shared" si="663"/>
        <v>0</v>
      </c>
      <c r="AE310" s="16">
        <f t="shared" si="663"/>
        <v>0</v>
      </c>
      <c r="AF310" s="16">
        <f t="shared" si="663"/>
        <v>0</v>
      </c>
      <c r="AG310" s="16">
        <f t="shared" si="663"/>
        <v>0</v>
      </c>
      <c r="AH310" s="16">
        <f t="shared" si="663"/>
        <v>0</v>
      </c>
      <c r="AI310" s="16">
        <f t="shared" si="663"/>
        <v>0</v>
      </c>
      <c r="AJ310" s="13">
        <f t="shared" si="663"/>
        <v>0</v>
      </c>
      <c r="AK310" s="13">
        <f t="shared" si="663"/>
        <v>0</v>
      </c>
      <c r="AL310" s="13">
        <f t="shared" si="663"/>
        <v>0</v>
      </c>
      <c r="AM310" s="13">
        <f t="shared" si="663"/>
        <v>0</v>
      </c>
      <c r="AN310" s="13">
        <f t="shared" si="663"/>
        <v>0</v>
      </c>
      <c r="AO310" s="13">
        <f t="shared" si="663"/>
        <v>0</v>
      </c>
      <c r="AP310" s="13">
        <f t="shared" si="663"/>
        <v>0</v>
      </c>
      <c r="AQ310" s="13">
        <f t="shared" si="663"/>
        <v>0</v>
      </c>
      <c r="AR310" s="13">
        <f t="shared" si="663"/>
        <v>0</v>
      </c>
      <c r="AS310" s="13">
        <f t="shared" si="663"/>
        <v>0</v>
      </c>
      <c r="AT310" s="17">
        <f t="shared" si="663"/>
        <v>0</v>
      </c>
      <c r="AU310" s="175">
        <f t="shared" si="663"/>
        <v>4251963</v>
      </c>
      <c r="AV310" s="16">
        <f t="shared" si="663"/>
        <v>3114553</v>
      </c>
      <c r="AW310" s="16">
        <f t="shared" si="663"/>
        <v>0</v>
      </c>
      <c r="AX310" s="16">
        <f t="shared" si="663"/>
        <v>1052719</v>
      </c>
      <c r="AY310" s="16">
        <f t="shared" si="663"/>
        <v>62291</v>
      </c>
      <c r="AZ310" s="16">
        <f t="shared" si="663"/>
        <v>22400</v>
      </c>
      <c r="BA310" s="13">
        <f t="shared" si="663"/>
        <v>5.7788000000000004</v>
      </c>
      <c r="BB310" s="13">
        <f t="shared" si="663"/>
        <v>5.0158000000000005</v>
      </c>
      <c r="BC310" s="17">
        <f t="shared" si="663"/>
        <v>0.76300000000000001</v>
      </c>
    </row>
    <row r="311" spans="4:55" x14ac:dyDescent="0.2">
      <c r="D311" s="9"/>
      <c r="E311" s="5"/>
      <c r="F311" s="9"/>
      <c r="G311" s="20"/>
      <c r="H311" s="2">
        <v>3141</v>
      </c>
      <c r="I311" s="174">
        <f t="shared" ref="I311:BC311" si="664">SUMIF($F$12:$F$459,"=3141",I$12:I$459)</f>
        <v>75394211</v>
      </c>
      <c r="J311" s="16">
        <f t="shared" si="664"/>
        <v>54905911</v>
      </c>
      <c r="K311" s="16">
        <f t="shared" si="664"/>
        <v>249230</v>
      </c>
      <c r="L311" s="16">
        <f t="shared" si="664"/>
        <v>18642436</v>
      </c>
      <c r="M311" s="16">
        <f t="shared" si="664"/>
        <v>1098116</v>
      </c>
      <c r="N311" s="16">
        <f t="shared" si="664"/>
        <v>498518</v>
      </c>
      <c r="O311" s="13">
        <f t="shared" si="664"/>
        <v>173.35999999999999</v>
      </c>
      <c r="P311" s="13">
        <f t="shared" si="664"/>
        <v>0</v>
      </c>
      <c r="Q311" s="176">
        <f t="shared" si="664"/>
        <v>173.35999999999999</v>
      </c>
      <c r="R311" s="174">
        <f t="shared" si="664"/>
        <v>0</v>
      </c>
      <c r="S311" s="16">
        <f t="shared" si="664"/>
        <v>0</v>
      </c>
      <c r="T311" s="16">
        <f t="shared" si="664"/>
        <v>-232253</v>
      </c>
      <c r="U311" s="16">
        <f t="shared" si="664"/>
        <v>0</v>
      </c>
      <c r="V311" s="16">
        <f t="shared" si="664"/>
        <v>0</v>
      </c>
      <c r="W311" s="16">
        <f t="shared" si="664"/>
        <v>0</v>
      </c>
      <c r="X311" s="16">
        <f t="shared" si="664"/>
        <v>-232253</v>
      </c>
      <c r="Y311" s="16">
        <f t="shared" si="664"/>
        <v>0</v>
      </c>
      <c r="Z311" s="16">
        <f t="shared" si="664"/>
        <v>0</v>
      </c>
      <c r="AA311" s="16">
        <f t="shared" si="664"/>
        <v>0</v>
      </c>
      <c r="AB311" s="16">
        <f t="shared" si="664"/>
        <v>0</v>
      </c>
      <c r="AC311" s="16">
        <f t="shared" si="664"/>
        <v>-232253</v>
      </c>
      <c r="AD311" s="16">
        <f t="shared" si="664"/>
        <v>-78500</v>
      </c>
      <c r="AE311" s="16">
        <f t="shared" si="664"/>
        <v>-4644</v>
      </c>
      <c r="AF311" s="16">
        <f t="shared" si="664"/>
        <v>0</v>
      </c>
      <c r="AG311" s="16">
        <f t="shared" si="664"/>
        <v>0</v>
      </c>
      <c r="AH311" s="16">
        <f t="shared" si="664"/>
        <v>0</v>
      </c>
      <c r="AI311" s="16">
        <f t="shared" si="664"/>
        <v>-315397</v>
      </c>
      <c r="AJ311" s="13">
        <f t="shared" si="664"/>
        <v>0</v>
      </c>
      <c r="AK311" s="13">
        <f t="shared" si="664"/>
        <v>0</v>
      </c>
      <c r="AL311" s="13">
        <f t="shared" si="664"/>
        <v>0</v>
      </c>
      <c r="AM311" s="13">
        <f t="shared" si="664"/>
        <v>0</v>
      </c>
      <c r="AN311" s="13">
        <f t="shared" si="664"/>
        <v>-0.72</v>
      </c>
      <c r="AO311" s="13">
        <f t="shared" si="664"/>
        <v>0</v>
      </c>
      <c r="AP311" s="13">
        <f t="shared" si="664"/>
        <v>0</v>
      </c>
      <c r="AQ311" s="13">
        <f t="shared" si="664"/>
        <v>0</v>
      </c>
      <c r="AR311" s="13">
        <f t="shared" si="664"/>
        <v>0</v>
      </c>
      <c r="AS311" s="13">
        <f t="shared" si="664"/>
        <v>-0.72</v>
      </c>
      <c r="AT311" s="17">
        <f t="shared" si="664"/>
        <v>-0.72</v>
      </c>
      <c r="AU311" s="175">
        <f t="shared" si="664"/>
        <v>75078814</v>
      </c>
      <c r="AV311" s="16">
        <f t="shared" si="664"/>
        <v>54673658</v>
      </c>
      <c r="AW311" s="16">
        <f t="shared" si="664"/>
        <v>249230</v>
      </c>
      <c r="AX311" s="16">
        <f t="shared" si="664"/>
        <v>18563936</v>
      </c>
      <c r="AY311" s="16">
        <f t="shared" si="664"/>
        <v>1093472</v>
      </c>
      <c r="AZ311" s="16">
        <f t="shared" si="664"/>
        <v>498518</v>
      </c>
      <c r="BA311" s="13">
        <f t="shared" si="664"/>
        <v>172.64000000000004</v>
      </c>
      <c r="BB311" s="13">
        <f t="shared" si="664"/>
        <v>0</v>
      </c>
      <c r="BC311" s="17">
        <f t="shared" si="664"/>
        <v>172.64000000000004</v>
      </c>
    </row>
    <row r="312" spans="4:55" x14ac:dyDescent="0.2">
      <c r="D312" s="9"/>
      <c r="E312" s="5"/>
      <c r="F312" s="9"/>
      <c r="G312" s="20"/>
      <c r="H312" s="2">
        <v>3143</v>
      </c>
      <c r="I312" s="174">
        <f t="shared" ref="I312:BC312" si="665">SUMIF($F$12:$F$459,"=3143",I$12:I$459)</f>
        <v>53453997</v>
      </c>
      <c r="J312" s="16">
        <f t="shared" si="665"/>
        <v>39026340</v>
      </c>
      <c r="K312" s="16">
        <f t="shared" si="665"/>
        <v>291300</v>
      </c>
      <c r="L312" s="16">
        <f t="shared" si="665"/>
        <v>13289362</v>
      </c>
      <c r="M312" s="16">
        <f t="shared" si="665"/>
        <v>780525</v>
      </c>
      <c r="N312" s="16">
        <f t="shared" si="665"/>
        <v>66470</v>
      </c>
      <c r="O312" s="13">
        <f t="shared" si="665"/>
        <v>83.782999999999973</v>
      </c>
      <c r="P312" s="13">
        <f t="shared" si="665"/>
        <v>79.022999999999982</v>
      </c>
      <c r="Q312" s="176">
        <f t="shared" si="665"/>
        <v>4.7599999999999989</v>
      </c>
      <c r="R312" s="174">
        <f t="shared" si="665"/>
        <v>0</v>
      </c>
      <c r="S312" s="16">
        <f t="shared" si="665"/>
        <v>0</v>
      </c>
      <c r="T312" s="16">
        <f t="shared" si="665"/>
        <v>447686</v>
      </c>
      <c r="U312" s="16">
        <f t="shared" si="665"/>
        <v>0</v>
      </c>
      <c r="V312" s="16">
        <f t="shared" si="665"/>
        <v>0</v>
      </c>
      <c r="W312" s="16">
        <f t="shared" si="665"/>
        <v>0</v>
      </c>
      <c r="X312" s="16">
        <f t="shared" si="665"/>
        <v>447686</v>
      </c>
      <c r="Y312" s="16">
        <f t="shared" si="665"/>
        <v>0</v>
      </c>
      <c r="Z312" s="16">
        <f t="shared" si="665"/>
        <v>0</v>
      </c>
      <c r="AA312" s="16">
        <f t="shared" si="665"/>
        <v>0</v>
      </c>
      <c r="AB312" s="16">
        <f t="shared" si="665"/>
        <v>0</v>
      </c>
      <c r="AC312" s="16">
        <f t="shared" si="665"/>
        <v>447686</v>
      </c>
      <c r="AD312" s="16">
        <f t="shared" si="665"/>
        <v>151318</v>
      </c>
      <c r="AE312" s="16">
        <f t="shared" si="665"/>
        <v>8954</v>
      </c>
      <c r="AF312" s="16">
        <f t="shared" si="665"/>
        <v>0</v>
      </c>
      <c r="AG312" s="16">
        <f t="shared" si="665"/>
        <v>0</v>
      </c>
      <c r="AH312" s="16">
        <f t="shared" si="665"/>
        <v>0</v>
      </c>
      <c r="AI312" s="16">
        <f t="shared" si="665"/>
        <v>607958</v>
      </c>
      <c r="AJ312" s="13">
        <f t="shared" si="665"/>
        <v>0</v>
      </c>
      <c r="AK312" s="13">
        <f t="shared" si="665"/>
        <v>0</v>
      </c>
      <c r="AL312" s="13">
        <f t="shared" si="665"/>
        <v>0</v>
      </c>
      <c r="AM312" s="13">
        <f t="shared" si="665"/>
        <v>0.9</v>
      </c>
      <c r="AN312" s="13">
        <f t="shared" si="665"/>
        <v>0</v>
      </c>
      <c r="AO312" s="13">
        <f t="shared" si="665"/>
        <v>0</v>
      </c>
      <c r="AP312" s="13">
        <f t="shared" si="665"/>
        <v>0</v>
      </c>
      <c r="AQ312" s="13">
        <f t="shared" si="665"/>
        <v>0</v>
      </c>
      <c r="AR312" s="13">
        <f t="shared" si="665"/>
        <v>0.9</v>
      </c>
      <c r="AS312" s="13">
        <f t="shared" si="665"/>
        <v>0</v>
      </c>
      <c r="AT312" s="17">
        <f t="shared" si="665"/>
        <v>0.9</v>
      </c>
      <c r="AU312" s="175">
        <f t="shared" si="665"/>
        <v>54061955</v>
      </c>
      <c r="AV312" s="16">
        <f t="shared" si="665"/>
        <v>39474026</v>
      </c>
      <c r="AW312" s="16">
        <f t="shared" si="665"/>
        <v>291300</v>
      </c>
      <c r="AX312" s="16">
        <f t="shared" si="665"/>
        <v>13440680</v>
      </c>
      <c r="AY312" s="16">
        <f t="shared" si="665"/>
        <v>789479</v>
      </c>
      <c r="AZ312" s="16">
        <f t="shared" si="665"/>
        <v>66470</v>
      </c>
      <c r="BA312" s="13">
        <f t="shared" si="665"/>
        <v>84.682999999999979</v>
      </c>
      <c r="BB312" s="13">
        <f t="shared" si="665"/>
        <v>79.922999999999973</v>
      </c>
      <c r="BC312" s="17">
        <f t="shared" si="665"/>
        <v>4.7599999999999989</v>
      </c>
    </row>
    <row r="313" spans="4:55" x14ac:dyDescent="0.2">
      <c r="D313" s="9"/>
      <c r="E313" s="5"/>
      <c r="F313" s="9"/>
      <c r="G313" s="20"/>
      <c r="H313" s="2">
        <v>3231</v>
      </c>
      <c r="I313" s="174">
        <f t="shared" ref="I313:BC313" si="666">SUMIF($F$12:$F$459,"=3231",I$12:I$459)</f>
        <v>55539642</v>
      </c>
      <c r="J313" s="16">
        <f t="shared" si="666"/>
        <v>40577747</v>
      </c>
      <c r="K313" s="16">
        <f t="shared" si="666"/>
        <v>189800</v>
      </c>
      <c r="L313" s="16">
        <f t="shared" si="666"/>
        <v>13779431</v>
      </c>
      <c r="M313" s="16">
        <f t="shared" si="666"/>
        <v>811554</v>
      </c>
      <c r="N313" s="16">
        <f t="shared" si="666"/>
        <v>181110</v>
      </c>
      <c r="O313" s="13">
        <f t="shared" si="666"/>
        <v>75.277500000000003</v>
      </c>
      <c r="P313" s="13">
        <f t="shared" si="666"/>
        <v>66.93889999999999</v>
      </c>
      <c r="Q313" s="176">
        <f t="shared" si="666"/>
        <v>8.3386000000000013</v>
      </c>
      <c r="R313" s="174">
        <f t="shared" si="666"/>
        <v>-10000</v>
      </c>
      <c r="S313" s="16">
        <f t="shared" si="666"/>
        <v>0</v>
      </c>
      <c r="T313" s="16">
        <f t="shared" si="666"/>
        <v>233004</v>
      </c>
      <c r="U313" s="16">
        <f t="shared" si="666"/>
        <v>0</v>
      </c>
      <c r="V313" s="16">
        <f t="shared" si="666"/>
        <v>0</v>
      </c>
      <c r="W313" s="16">
        <f t="shared" si="666"/>
        <v>0</v>
      </c>
      <c r="X313" s="16">
        <f t="shared" si="666"/>
        <v>223004</v>
      </c>
      <c r="Y313" s="16">
        <f t="shared" si="666"/>
        <v>10000</v>
      </c>
      <c r="Z313" s="16">
        <f t="shared" si="666"/>
        <v>0</v>
      </c>
      <c r="AA313" s="16">
        <f t="shared" si="666"/>
        <v>0</v>
      </c>
      <c r="AB313" s="16">
        <f t="shared" si="666"/>
        <v>10000</v>
      </c>
      <c r="AC313" s="16">
        <f t="shared" si="666"/>
        <v>233004</v>
      </c>
      <c r="AD313" s="16">
        <f t="shared" si="666"/>
        <v>78755</v>
      </c>
      <c r="AE313" s="16">
        <f t="shared" si="666"/>
        <v>4460</v>
      </c>
      <c r="AF313" s="16">
        <f t="shared" si="666"/>
        <v>0</v>
      </c>
      <c r="AG313" s="16">
        <f t="shared" si="666"/>
        <v>0</v>
      </c>
      <c r="AH313" s="16">
        <f t="shared" si="666"/>
        <v>0</v>
      </c>
      <c r="AI313" s="16">
        <f t="shared" si="666"/>
        <v>316219</v>
      </c>
      <c r="AJ313" s="13">
        <f t="shared" si="666"/>
        <v>-0.02</v>
      </c>
      <c r="AK313" s="13">
        <f t="shared" si="666"/>
        <v>0</v>
      </c>
      <c r="AL313" s="13">
        <f t="shared" si="666"/>
        <v>0</v>
      </c>
      <c r="AM313" s="13">
        <f t="shared" si="666"/>
        <v>0.41</v>
      </c>
      <c r="AN313" s="13">
        <f t="shared" si="666"/>
        <v>0</v>
      </c>
      <c r="AO313" s="13">
        <f t="shared" si="666"/>
        <v>0</v>
      </c>
      <c r="AP313" s="13">
        <f t="shared" si="666"/>
        <v>0</v>
      </c>
      <c r="AQ313" s="13">
        <f t="shared" si="666"/>
        <v>0</v>
      </c>
      <c r="AR313" s="13">
        <f t="shared" si="666"/>
        <v>0.38999999999999996</v>
      </c>
      <c r="AS313" s="13">
        <f t="shared" si="666"/>
        <v>0</v>
      </c>
      <c r="AT313" s="17">
        <f t="shared" si="666"/>
        <v>0.38999999999999996</v>
      </c>
      <c r="AU313" s="175">
        <f t="shared" si="666"/>
        <v>55855861</v>
      </c>
      <c r="AV313" s="16">
        <f t="shared" si="666"/>
        <v>40800751</v>
      </c>
      <c r="AW313" s="16">
        <f t="shared" si="666"/>
        <v>199800</v>
      </c>
      <c r="AX313" s="16">
        <f t="shared" si="666"/>
        <v>13858186</v>
      </c>
      <c r="AY313" s="16">
        <f t="shared" si="666"/>
        <v>816014</v>
      </c>
      <c r="AZ313" s="16">
        <f t="shared" si="666"/>
        <v>181110</v>
      </c>
      <c r="BA313" s="13">
        <f t="shared" si="666"/>
        <v>75.667500000000004</v>
      </c>
      <c r="BB313" s="13">
        <f t="shared" si="666"/>
        <v>67.32889999999999</v>
      </c>
      <c r="BC313" s="17">
        <f t="shared" si="666"/>
        <v>8.3386000000000013</v>
      </c>
    </row>
    <row r="314" spans="4:55" ht="13.5" thickBot="1" x14ac:dyDescent="0.25">
      <c r="D314" s="9"/>
      <c r="E314" s="5"/>
      <c r="F314" s="9"/>
      <c r="G314" s="20"/>
      <c r="H314" s="158">
        <v>3233</v>
      </c>
      <c r="I314" s="177">
        <f t="shared" ref="I314:BC314" si="667">SUMIF($F$12:$F$459,"=3233",I$12:I$459)</f>
        <v>9545301</v>
      </c>
      <c r="J314" s="178">
        <f t="shared" si="667"/>
        <v>6178108</v>
      </c>
      <c r="K314" s="178">
        <f t="shared" si="667"/>
        <v>800000</v>
      </c>
      <c r="L314" s="178">
        <f t="shared" si="667"/>
        <v>2358601</v>
      </c>
      <c r="M314" s="178">
        <f t="shared" si="667"/>
        <v>123562</v>
      </c>
      <c r="N314" s="178">
        <f t="shared" si="667"/>
        <v>85030</v>
      </c>
      <c r="O314" s="179">
        <f t="shared" si="667"/>
        <v>13.63</v>
      </c>
      <c r="P314" s="179">
        <f t="shared" si="667"/>
        <v>8.65</v>
      </c>
      <c r="Q314" s="182">
        <f t="shared" si="667"/>
        <v>4.9799999999999995</v>
      </c>
      <c r="R314" s="177">
        <f t="shared" si="667"/>
        <v>0</v>
      </c>
      <c r="S314" s="178">
        <f t="shared" si="667"/>
        <v>0</v>
      </c>
      <c r="T314" s="178">
        <f t="shared" si="667"/>
        <v>0</v>
      </c>
      <c r="U314" s="178">
        <f t="shared" si="667"/>
        <v>0</v>
      </c>
      <c r="V314" s="178">
        <f t="shared" si="667"/>
        <v>0</v>
      </c>
      <c r="W314" s="178">
        <f t="shared" si="667"/>
        <v>0</v>
      </c>
      <c r="X314" s="178">
        <f t="shared" si="667"/>
        <v>0</v>
      </c>
      <c r="Y314" s="178">
        <f t="shared" si="667"/>
        <v>0</v>
      </c>
      <c r="Z314" s="178">
        <f t="shared" si="667"/>
        <v>0</v>
      </c>
      <c r="AA314" s="178">
        <f t="shared" si="667"/>
        <v>0</v>
      </c>
      <c r="AB314" s="178">
        <f t="shared" si="667"/>
        <v>0</v>
      </c>
      <c r="AC314" s="178">
        <f t="shared" si="667"/>
        <v>0</v>
      </c>
      <c r="AD314" s="178">
        <f t="shared" si="667"/>
        <v>0</v>
      </c>
      <c r="AE314" s="178">
        <f t="shared" si="667"/>
        <v>0</v>
      </c>
      <c r="AF314" s="178">
        <f t="shared" si="667"/>
        <v>0</v>
      </c>
      <c r="AG314" s="178">
        <f t="shared" si="667"/>
        <v>0</v>
      </c>
      <c r="AH314" s="178">
        <f t="shared" si="667"/>
        <v>0</v>
      </c>
      <c r="AI314" s="178">
        <f t="shared" si="667"/>
        <v>0</v>
      </c>
      <c r="AJ314" s="179">
        <f t="shared" si="667"/>
        <v>0</v>
      </c>
      <c r="AK314" s="179">
        <f t="shared" si="667"/>
        <v>0</v>
      </c>
      <c r="AL314" s="179">
        <f t="shared" si="667"/>
        <v>0</v>
      </c>
      <c r="AM314" s="179">
        <f t="shared" si="667"/>
        <v>0</v>
      </c>
      <c r="AN314" s="179">
        <f t="shared" si="667"/>
        <v>0</v>
      </c>
      <c r="AO314" s="179">
        <f t="shared" si="667"/>
        <v>0</v>
      </c>
      <c r="AP314" s="179">
        <f t="shared" si="667"/>
        <v>0</v>
      </c>
      <c r="AQ314" s="179">
        <f t="shared" si="667"/>
        <v>0</v>
      </c>
      <c r="AR314" s="179">
        <f t="shared" si="667"/>
        <v>0</v>
      </c>
      <c r="AS314" s="179">
        <f t="shared" si="667"/>
        <v>0</v>
      </c>
      <c r="AT314" s="180">
        <f t="shared" si="667"/>
        <v>0</v>
      </c>
      <c r="AU314" s="181">
        <f t="shared" si="667"/>
        <v>9545301</v>
      </c>
      <c r="AV314" s="178">
        <f t="shared" si="667"/>
        <v>6178108</v>
      </c>
      <c r="AW314" s="178">
        <f t="shared" si="667"/>
        <v>800000</v>
      </c>
      <c r="AX314" s="178">
        <f t="shared" si="667"/>
        <v>2358601</v>
      </c>
      <c r="AY314" s="178">
        <f t="shared" si="667"/>
        <v>123562</v>
      </c>
      <c r="AZ314" s="178">
        <f t="shared" si="667"/>
        <v>85030</v>
      </c>
      <c r="BA314" s="179">
        <f t="shared" si="667"/>
        <v>13.63</v>
      </c>
      <c r="BB314" s="179">
        <f t="shared" si="667"/>
        <v>8.65</v>
      </c>
      <c r="BC314" s="180">
        <f t="shared" si="667"/>
        <v>4.9799999999999995</v>
      </c>
    </row>
    <row r="315" spans="4:55" x14ac:dyDescent="0.2">
      <c r="D315" s="5"/>
      <c r="E315" s="5"/>
      <c r="F315" s="5"/>
      <c r="G315" s="20"/>
      <c r="H315" s="5"/>
    </row>
  </sheetData>
  <mergeCells count="26"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  <mergeCell ref="A3:E3"/>
    <mergeCell ref="AD7:AD10"/>
    <mergeCell ref="AF7:AH9"/>
    <mergeCell ref="AI7:AI10"/>
    <mergeCell ref="AL8:AL9"/>
    <mergeCell ref="I6:Q7"/>
    <mergeCell ref="R7:X9"/>
    <mergeCell ref="Y7:AB9"/>
    <mergeCell ref="AC7:AC10"/>
    <mergeCell ref="AE7:AE10"/>
    <mergeCell ref="I8:I10"/>
    <mergeCell ref="J8:N9"/>
    <mergeCell ref="O8:O10"/>
    <mergeCell ref="P8:Q9"/>
    <mergeCell ref="AJ8:AK9"/>
    <mergeCell ref="R6:AT6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39"/>
  <sheetViews>
    <sheetView workbookViewId="0">
      <pane xSplit="8" ySplit="11" topLeftCell="I121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N144" sqref="N144"/>
    </sheetView>
  </sheetViews>
  <sheetFormatPr defaultColWidth="9.140625" defaultRowHeight="15" x14ac:dyDescent="0.25"/>
  <cols>
    <col min="1" max="1" width="5.28515625" style="336" customWidth="1"/>
    <col min="2" max="2" width="7.140625" style="278" bestFit="1" customWidth="1"/>
    <col min="3" max="3" width="8.7109375" style="337" bestFit="1" customWidth="1"/>
    <col min="4" max="4" width="7.85546875" style="278" bestFit="1" customWidth="1"/>
    <col min="5" max="5" width="31.42578125" style="344" customWidth="1"/>
    <col min="6" max="6" width="5.42578125" style="337" customWidth="1"/>
    <col min="7" max="7" width="9.7109375" style="278" customWidth="1"/>
    <col min="8" max="8" width="8.5703125" style="278" customWidth="1"/>
    <col min="9" max="14" width="10.42578125" style="342" customWidth="1"/>
    <col min="15" max="15" width="11.7109375" style="343" customWidth="1"/>
    <col min="16" max="16" width="10" style="343" customWidth="1"/>
    <col min="17" max="17" width="9.28515625" style="343" customWidth="1"/>
    <col min="18" max="18" width="9.140625" style="342"/>
    <col min="19" max="19" width="9.140625" style="342" customWidth="1"/>
    <col min="20" max="21" width="10" style="342" customWidth="1"/>
    <col min="22" max="22" width="10.28515625" style="342" customWidth="1"/>
    <col min="23" max="23" width="9.7109375" style="342" customWidth="1"/>
    <col min="24" max="25" width="9.140625" style="342"/>
    <col min="26" max="27" width="9.140625" style="342" customWidth="1"/>
    <col min="28" max="28" width="9.140625" style="342"/>
    <col min="29" max="29" width="10.140625" style="342" customWidth="1"/>
    <col min="30" max="31" width="9.28515625" style="342" customWidth="1"/>
    <col min="32" max="32" width="9" style="342" customWidth="1"/>
    <col min="33" max="35" width="9.28515625" style="342" customWidth="1"/>
    <col min="36" max="36" width="9.28515625" style="343" customWidth="1"/>
    <col min="37" max="37" width="10.28515625" style="343" customWidth="1"/>
    <col min="38" max="41" width="9.7109375" style="343" customWidth="1"/>
    <col min="42" max="46" width="9.28515625" style="343" customWidth="1"/>
    <col min="47" max="47" width="12.7109375" style="342" customWidth="1"/>
    <col min="48" max="48" width="12.42578125" style="342" customWidth="1"/>
    <col min="49" max="49" width="9.42578125" style="342" customWidth="1"/>
    <col min="50" max="52" width="9.140625" style="342" customWidth="1"/>
    <col min="53" max="53" width="11.42578125" style="343" customWidth="1"/>
    <col min="54" max="55" width="9.28515625" style="343" customWidth="1"/>
    <col min="56" max="56" width="9.140625" style="278"/>
    <col min="57" max="57" width="3.140625" style="278" customWidth="1"/>
    <col min="58" max="16384" width="9.140625" style="278"/>
  </cols>
  <sheetData>
    <row r="1" spans="1:55" ht="15.75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.75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63" t="s">
        <v>4</v>
      </c>
      <c r="B3" s="863"/>
      <c r="C3" s="863"/>
      <c r="D3" s="863"/>
      <c r="E3" s="863"/>
      <c r="F3" s="277"/>
      <c r="G3" s="277"/>
      <c r="H3" s="277"/>
      <c r="S3" s="699"/>
      <c r="T3" s="699"/>
      <c r="U3" s="699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5.75" customHeight="1" thickBot="1" x14ac:dyDescent="0.3">
      <c r="A9" s="285" t="s">
        <v>811</v>
      </c>
      <c r="B9" s="95"/>
      <c r="C9" s="95"/>
      <c r="D9" s="286"/>
      <c r="E9" s="95"/>
      <c r="F9" s="287"/>
      <c r="G9" s="288"/>
      <c r="H9" s="288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7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697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2.95" customHeight="1" x14ac:dyDescent="0.25">
      <c r="A12" s="296">
        <v>1</v>
      </c>
      <c r="B12" s="297">
        <v>4486</v>
      </c>
      <c r="C12" s="298">
        <v>600075176</v>
      </c>
      <c r="D12" s="298">
        <v>46750401</v>
      </c>
      <c r="E12" s="299" t="s">
        <v>322</v>
      </c>
      <c r="F12" s="297">
        <v>3233</v>
      </c>
      <c r="G12" s="300" t="s">
        <v>318</v>
      </c>
      <c r="H12" s="300" t="s">
        <v>278</v>
      </c>
      <c r="I12" s="455">
        <v>6622955</v>
      </c>
      <c r="J12" s="456">
        <v>4389635</v>
      </c>
      <c r="K12" s="456">
        <v>450000</v>
      </c>
      <c r="L12" s="456">
        <v>1635797</v>
      </c>
      <c r="M12" s="456">
        <v>87793</v>
      </c>
      <c r="N12" s="456">
        <v>59730</v>
      </c>
      <c r="O12" s="457">
        <v>9.99</v>
      </c>
      <c r="P12" s="458">
        <v>5.84</v>
      </c>
      <c r="Q12" s="482">
        <v>4.1500000000000004</v>
      </c>
      <c r="R12" s="462">
        <f t="shared" ref="R12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" si="1">SUM(Y12:AA12)</f>
        <v>0</v>
      </c>
      <c r="AC12" s="460">
        <f t="shared" ref="AC12" si="2">X12+AB12</f>
        <v>0</v>
      </c>
      <c r="AD12" s="151">
        <f t="shared" ref="AD12" si="3">ROUND((X12+Y12+Z12)*33.8%,0)</f>
        <v>0</v>
      </c>
      <c r="AE12" s="151">
        <f t="shared" ref="AE12" si="4">ROUND(X12*2%,0)</f>
        <v>0</v>
      </c>
      <c r="AF12" s="460">
        <v>0</v>
      </c>
      <c r="AG12" s="460">
        <v>0</v>
      </c>
      <c r="AH12" s="460">
        <f t="shared" ref="AH12" si="5">SUM(AF12:AG12)</f>
        <v>0</v>
      </c>
      <c r="AI12" s="460">
        <f t="shared" ref="AI12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6622955</v>
      </c>
      <c r="AV12" s="460">
        <f>J12+X12</f>
        <v>4389635</v>
      </c>
      <c r="AW12" s="460">
        <f>K12+AB12</f>
        <v>450000</v>
      </c>
      <c r="AX12" s="460">
        <f>L12+AD12</f>
        <v>1635797</v>
      </c>
      <c r="AY12" s="460">
        <f>M12+AE12</f>
        <v>87793</v>
      </c>
      <c r="AZ12" s="460">
        <f>N12+AH12</f>
        <v>59730</v>
      </c>
      <c r="BA12" s="461">
        <f>O12+AT12</f>
        <v>9.99</v>
      </c>
      <c r="BB12" s="461">
        <f>P12+AR12</f>
        <v>5.84</v>
      </c>
      <c r="BC12" s="463">
        <f>Q12+AS12</f>
        <v>4.1500000000000004</v>
      </c>
    </row>
    <row r="13" spans="1:55" ht="12.95" customHeight="1" x14ac:dyDescent="0.25">
      <c r="A13" s="301">
        <v>1</v>
      </c>
      <c r="B13" s="302">
        <v>4486</v>
      </c>
      <c r="C13" s="303">
        <v>600075176</v>
      </c>
      <c r="D13" s="303">
        <v>46750401</v>
      </c>
      <c r="E13" s="304" t="s">
        <v>323</v>
      </c>
      <c r="F13" s="305"/>
      <c r="G13" s="306"/>
      <c r="H13" s="306"/>
      <c r="I13" s="560">
        <v>6622955</v>
      </c>
      <c r="J13" s="556">
        <v>4389635</v>
      </c>
      <c r="K13" s="556">
        <v>450000</v>
      </c>
      <c r="L13" s="556">
        <v>1635797</v>
      </c>
      <c r="M13" s="556">
        <v>87793</v>
      </c>
      <c r="N13" s="556">
        <v>59730</v>
      </c>
      <c r="O13" s="557">
        <v>9.99</v>
      </c>
      <c r="P13" s="557">
        <v>5.84</v>
      </c>
      <c r="Q13" s="562">
        <v>4.1500000000000004</v>
      </c>
      <c r="R13" s="560">
        <f t="shared" ref="R13:BC13" si="8">SUM(R12)</f>
        <v>0</v>
      </c>
      <c r="S13" s="556">
        <f t="shared" si="8"/>
        <v>0</v>
      </c>
      <c r="T13" s="556">
        <f t="shared" si="8"/>
        <v>0</v>
      </c>
      <c r="U13" s="556">
        <f t="shared" si="8"/>
        <v>0</v>
      </c>
      <c r="V13" s="556">
        <f t="shared" si="8"/>
        <v>0</v>
      </c>
      <c r="W13" s="556">
        <f t="shared" si="8"/>
        <v>0</v>
      </c>
      <c r="X13" s="556">
        <f t="shared" si="8"/>
        <v>0</v>
      </c>
      <c r="Y13" s="556">
        <f t="shared" si="8"/>
        <v>0</v>
      </c>
      <c r="Z13" s="556">
        <f t="shared" si="8"/>
        <v>0</v>
      </c>
      <c r="AA13" s="556">
        <f t="shared" si="8"/>
        <v>0</v>
      </c>
      <c r="AB13" s="556">
        <f t="shared" si="8"/>
        <v>0</v>
      </c>
      <c r="AC13" s="556">
        <f t="shared" si="8"/>
        <v>0</v>
      </c>
      <c r="AD13" s="556">
        <f t="shared" si="8"/>
        <v>0</v>
      </c>
      <c r="AE13" s="556">
        <f t="shared" si="8"/>
        <v>0</v>
      </c>
      <c r="AF13" s="556">
        <f t="shared" si="8"/>
        <v>0</v>
      </c>
      <c r="AG13" s="556">
        <f t="shared" si="8"/>
        <v>0</v>
      </c>
      <c r="AH13" s="556">
        <f t="shared" si="8"/>
        <v>0</v>
      </c>
      <c r="AI13" s="556">
        <f t="shared" si="8"/>
        <v>0</v>
      </c>
      <c r="AJ13" s="557">
        <f t="shared" si="8"/>
        <v>0</v>
      </c>
      <c r="AK13" s="557">
        <f t="shared" si="8"/>
        <v>0</v>
      </c>
      <c r="AL13" s="557">
        <f t="shared" si="8"/>
        <v>0</v>
      </c>
      <c r="AM13" s="557">
        <f t="shared" si="8"/>
        <v>0</v>
      </c>
      <c r="AN13" s="557">
        <f t="shared" si="8"/>
        <v>0</v>
      </c>
      <c r="AO13" s="557">
        <f t="shared" si="8"/>
        <v>0</v>
      </c>
      <c r="AP13" s="557">
        <f t="shared" si="8"/>
        <v>0</v>
      </c>
      <c r="AQ13" s="557">
        <f t="shared" si="8"/>
        <v>0</v>
      </c>
      <c r="AR13" s="557">
        <f t="shared" si="8"/>
        <v>0</v>
      </c>
      <c r="AS13" s="557">
        <f t="shared" si="8"/>
        <v>0</v>
      </c>
      <c r="AT13" s="307">
        <f t="shared" si="8"/>
        <v>0</v>
      </c>
      <c r="AU13" s="564">
        <f t="shared" si="8"/>
        <v>6622955</v>
      </c>
      <c r="AV13" s="556">
        <f t="shared" si="8"/>
        <v>4389635</v>
      </c>
      <c r="AW13" s="556">
        <f t="shared" si="8"/>
        <v>450000</v>
      </c>
      <c r="AX13" s="556">
        <f t="shared" si="8"/>
        <v>1635797</v>
      </c>
      <c r="AY13" s="556">
        <f t="shared" si="8"/>
        <v>87793</v>
      </c>
      <c r="AZ13" s="556">
        <f t="shared" si="8"/>
        <v>59730</v>
      </c>
      <c r="BA13" s="557">
        <f t="shared" si="8"/>
        <v>9.99</v>
      </c>
      <c r="BB13" s="557">
        <f t="shared" si="8"/>
        <v>5.84</v>
      </c>
      <c r="BC13" s="307">
        <f t="shared" si="8"/>
        <v>4.1500000000000004</v>
      </c>
    </row>
    <row r="14" spans="1:55" ht="12.95" customHeight="1" x14ac:dyDescent="0.25">
      <c r="A14" s="308">
        <v>2</v>
      </c>
      <c r="B14" s="309">
        <v>4419</v>
      </c>
      <c r="C14" s="310">
        <v>600074056</v>
      </c>
      <c r="D14" s="309">
        <v>72744049</v>
      </c>
      <c r="E14" s="311" t="s">
        <v>324</v>
      </c>
      <c r="F14" s="309">
        <v>3111</v>
      </c>
      <c r="G14" s="312" t="s">
        <v>325</v>
      </c>
      <c r="H14" s="313" t="s">
        <v>277</v>
      </c>
      <c r="I14" s="477">
        <v>25289500</v>
      </c>
      <c r="J14" s="472">
        <v>18326962</v>
      </c>
      <c r="K14" s="472">
        <v>197000</v>
      </c>
      <c r="L14" s="472">
        <v>6261099</v>
      </c>
      <c r="M14" s="472">
        <v>366539</v>
      </c>
      <c r="N14" s="472">
        <v>137900</v>
      </c>
      <c r="O14" s="473">
        <v>42.04</v>
      </c>
      <c r="P14" s="474">
        <v>31.2</v>
      </c>
      <c r="Q14" s="483">
        <v>10.84</v>
      </c>
      <c r="R14" s="485">
        <f t="shared" ref="R14:R17" si="9">Y14*-1</f>
        <v>0</v>
      </c>
      <c r="S14" s="475">
        <v>0</v>
      </c>
      <c r="T14" s="475">
        <v>-293774</v>
      </c>
      <c r="U14" s="475">
        <v>0</v>
      </c>
      <c r="V14" s="475">
        <v>0</v>
      </c>
      <c r="W14" s="475">
        <v>0</v>
      </c>
      <c r="X14" s="475">
        <f>SUM(R14:W14)</f>
        <v>-293774</v>
      </c>
      <c r="Y14" s="475">
        <v>0</v>
      </c>
      <c r="Z14" s="475">
        <v>0</v>
      </c>
      <c r="AA14" s="475">
        <v>0</v>
      </c>
      <c r="AB14" s="475">
        <f t="shared" ref="AB14:AB17" si="10">SUM(Y14:AA14)</f>
        <v>0</v>
      </c>
      <c r="AC14" s="475">
        <f t="shared" ref="AC14:AC17" si="11">X14+AB14</f>
        <v>-293774</v>
      </c>
      <c r="AD14" s="70">
        <f t="shared" ref="AD14:AD17" si="12">ROUND((X14+Y14+Z14)*33.8%,0)</f>
        <v>-99296</v>
      </c>
      <c r="AE14" s="70">
        <f t="shared" ref="AE14:AE17" si="13">ROUND(X14*2%,0)</f>
        <v>-5875</v>
      </c>
      <c r="AF14" s="475">
        <v>0</v>
      </c>
      <c r="AG14" s="475">
        <v>0</v>
      </c>
      <c r="AH14" s="475">
        <f t="shared" ref="AH14:AH17" si="14">SUM(AF14:AG14)</f>
        <v>0</v>
      </c>
      <c r="AI14" s="475">
        <f t="shared" ref="AI14:AI17" si="15">AC14+AD14+AE14+AH14</f>
        <v>-398945</v>
      </c>
      <c r="AJ14" s="476">
        <v>0</v>
      </c>
      <c r="AK14" s="476">
        <v>0</v>
      </c>
      <c r="AL14" s="476">
        <v>0</v>
      </c>
      <c r="AM14" s="476">
        <v>-0.59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-0.59</v>
      </c>
      <c r="AS14" s="476">
        <f>AK14+AN14+AQ14</f>
        <v>0</v>
      </c>
      <c r="AT14" s="478">
        <f t="shared" ref="AT14:AT17" si="16">SUM(AR14:AS14)</f>
        <v>-0.59</v>
      </c>
      <c r="AU14" s="484">
        <f>I14+AI14</f>
        <v>24890555</v>
      </c>
      <c r="AV14" s="475">
        <f>J14+X14</f>
        <v>18033188</v>
      </c>
      <c r="AW14" s="475">
        <f>K14+AB14</f>
        <v>197000</v>
      </c>
      <c r="AX14" s="475">
        <f t="shared" ref="AX14:AY17" si="17">L14+AD14</f>
        <v>6161803</v>
      </c>
      <c r="AY14" s="475">
        <f t="shared" si="17"/>
        <v>360664</v>
      </c>
      <c r="AZ14" s="475">
        <f>N14+AH14</f>
        <v>137900</v>
      </c>
      <c r="BA14" s="476">
        <f>O14+AT14</f>
        <v>41.449999999999996</v>
      </c>
      <c r="BB14" s="476">
        <f t="shared" ref="BB14:BC17" si="18">P14+AR14</f>
        <v>30.61</v>
      </c>
      <c r="BC14" s="478">
        <f t="shared" si="18"/>
        <v>10.84</v>
      </c>
    </row>
    <row r="15" spans="1:55" ht="12.95" customHeight="1" x14ac:dyDescent="0.25">
      <c r="A15" s="308">
        <v>2</v>
      </c>
      <c r="B15" s="309">
        <v>4419</v>
      </c>
      <c r="C15" s="310">
        <v>600074056</v>
      </c>
      <c r="D15" s="309">
        <v>72744049</v>
      </c>
      <c r="E15" s="311" t="s">
        <v>324</v>
      </c>
      <c r="F15" s="309">
        <v>3111</v>
      </c>
      <c r="G15" s="314" t="s">
        <v>313</v>
      </c>
      <c r="H15" s="313" t="s">
        <v>277</v>
      </c>
      <c r="I15" s="477">
        <v>533129</v>
      </c>
      <c r="J15" s="472">
        <v>392584</v>
      </c>
      <c r="K15" s="472">
        <v>0</v>
      </c>
      <c r="L15" s="472">
        <v>132693</v>
      </c>
      <c r="M15" s="472">
        <v>7852</v>
      </c>
      <c r="N15" s="472">
        <v>0</v>
      </c>
      <c r="O15" s="473">
        <v>1.0004999999999999</v>
      </c>
      <c r="P15" s="474">
        <v>1.0004999999999999</v>
      </c>
      <c r="Q15" s="483">
        <v>0</v>
      </c>
      <c r="R15" s="485">
        <f t="shared" si="9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si="10"/>
        <v>0</v>
      </c>
      <c r="AC15" s="475">
        <f t="shared" si="11"/>
        <v>0</v>
      </c>
      <c r="AD15" s="70">
        <f t="shared" si="12"/>
        <v>0</v>
      </c>
      <c r="AE15" s="70">
        <f t="shared" si="13"/>
        <v>0</v>
      </c>
      <c r="AF15" s="475">
        <v>0</v>
      </c>
      <c r="AG15" s="475">
        <v>0</v>
      </c>
      <c r="AH15" s="475">
        <f t="shared" si="14"/>
        <v>0</v>
      </c>
      <c r="AI15" s="475">
        <f t="shared" si="15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16"/>
        <v>0</v>
      </c>
      <c r="AU15" s="484">
        <f>I15+AI15</f>
        <v>533129</v>
      </c>
      <c r="AV15" s="475">
        <f>J15+X15</f>
        <v>392584</v>
      </c>
      <c r="AW15" s="475">
        <f t="shared" ref="AW15:AW17" si="19">K15+AB15</f>
        <v>0</v>
      </c>
      <c r="AX15" s="475">
        <f t="shared" si="17"/>
        <v>132693</v>
      </c>
      <c r="AY15" s="475">
        <f t="shared" si="17"/>
        <v>7852</v>
      </c>
      <c r="AZ15" s="475">
        <f>N15+AH15</f>
        <v>0</v>
      </c>
      <c r="BA15" s="476">
        <f>O15+AT15</f>
        <v>1.0004999999999999</v>
      </c>
      <c r="BB15" s="476">
        <f t="shared" si="18"/>
        <v>1.0004999999999999</v>
      </c>
      <c r="BC15" s="478">
        <f t="shared" si="18"/>
        <v>0</v>
      </c>
    </row>
    <row r="16" spans="1:55" ht="12.95" customHeight="1" x14ac:dyDescent="0.25">
      <c r="A16" s="308">
        <v>2</v>
      </c>
      <c r="B16" s="309">
        <v>4419</v>
      </c>
      <c r="C16" s="310">
        <v>600074056</v>
      </c>
      <c r="D16" s="309">
        <v>72744049</v>
      </c>
      <c r="E16" s="311" t="s">
        <v>324</v>
      </c>
      <c r="F16" s="309">
        <v>3111</v>
      </c>
      <c r="G16" s="312" t="s">
        <v>319</v>
      </c>
      <c r="H16" s="313" t="s">
        <v>278</v>
      </c>
      <c r="I16" s="477">
        <v>862529</v>
      </c>
      <c r="J16" s="472">
        <v>635146</v>
      </c>
      <c r="K16" s="472">
        <v>0</v>
      </c>
      <c r="L16" s="472">
        <v>214680</v>
      </c>
      <c r="M16" s="472">
        <v>12703</v>
      </c>
      <c r="N16" s="472">
        <v>0</v>
      </c>
      <c r="O16" s="473">
        <v>1.83</v>
      </c>
      <c r="P16" s="474">
        <v>1.83</v>
      </c>
      <c r="Q16" s="483">
        <v>0</v>
      </c>
      <c r="R16" s="485">
        <f t="shared" si="9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si="10"/>
        <v>0</v>
      </c>
      <c r="AC16" s="475">
        <f t="shared" si="11"/>
        <v>0</v>
      </c>
      <c r="AD16" s="70">
        <f t="shared" si="12"/>
        <v>0</v>
      </c>
      <c r="AE16" s="70">
        <f t="shared" si="13"/>
        <v>0</v>
      </c>
      <c r="AF16" s="475">
        <v>0</v>
      </c>
      <c r="AG16" s="475">
        <v>0</v>
      </c>
      <c r="AH16" s="475">
        <f t="shared" si="14"/>
        <v>0</v>
      </c>
      <c r="AI16" s="475">
        <f t="shared" si="15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si="16"/>
        <v>0</v>
      </c>
      <c r="AU16" s="484">
        <f>I16+AI16</f>
        <v>862529</v>
      </c>
      <c r="AV16" s="475">
        <f>J16+X16</f>
        <v>635146</v>
      </c>
      <c r="AW16" s="475">
        <f t="shared" si="19"/>
        <v>0</v>
      </c>
      <c r="AX16" s="475">
        <f t="shared" si="17"/>
        <v>214680</v>
      </c>
      <c r="AY16" s="475">
        <f t="shared" si="17"/>
        <v>12703</v>
      </c>
      <c r="AZ16" s="475">
        <f>N16+AH16</f>
        <v>0</v>
      </c>
      <c r="BA16" s="476">
        <f>O16+AT16</f>
        <v>1.83</v>
      </c>
      <c r="BB16" s="476">
        <f t="shared" si="18"/>
        <v>1.83</v>
      </c>
      <c r="BC16" s="478">
        <f t="shared" si="18"/>
        <v>0</v>
      </c>
    </row>
    <row r="17" spans="1:55" ht="12.95" customHeight="1" x14ac:dyDescent="0.25">
      <c r="A17" s="308">
        <v>2</v>
      </c>
      <c r="B17" s="309">
        <v>4419</v>
      </c>
      <c r="C17" s="310">
        <v>600074056</v>
      </c>
      <c r="D17" s="309">
        <v>72744049</v>
      </c>
      <c r="E17" s="311" t="s">
        <v>324</v>
      </c>
      <c r="F17" s="309">
        <v>3141</v>
      </c>
      <c r="G17" s="312" t="s">
        <v>315</v>
      </c>
      <c r="H17" s="312" t="s">
        <v>278</v>
      </c>
      <c r="I17" s="477">
        <v>3824790</v>
      </c>
      <c r="J17" s="472">
        <v>2803457</v>
      </c>
      <c r="K17" s="472">
        <v>0</v>
      </c>
      <c r="L17" s="472">
        <v>947568</v>
      </c>
      <c r="M17" s="472">
        <v>56069</v>
      </c>
      <c r="N17" s="472">
        <v>17696</v>
      </c>
      <c r="O17" s="473">
        <v>8.83</v>
      </c>
      <c r="P17" s="474">
        <v>0</v>
      </c>
      <c r="Q17" s="483">
        <v>8.83</v>
      </c>
      <c r="R17" s="485">
        <f t="shared" si="9"/>
        <v>0</v>
      </c>
      <c r="S17" s="475">
        <v>0</v>
      </c>
      <c r="T17" s="475">
        <v>-42335</v>
      </c>
      <c r="U17" s="475">
        <v>0</v>
      </c>
      <c r="V17" s="475">
        <v>0</v>
      </c>
      <c r="W17" s="475">
        <v>0</v>
      </c>
      <c r="X17" s="475">
        <f>SUM(R17:W17)</f>
        <v>-42335</v>
      </c>
      <c r="Y17" s="475">
        <v>0</v>
      </c>
      <c r="Z17" s="475">
        <v>0</v>
      </c>
      <c r="AA17" s="475">
        <v>0</v>
      </c>
      <c r="AB17" s="475">
        <f t="shared" si="10"/>
        <v>0</v>
      </c>
      <c r="AC17" s="475">
        <f t="shared" si="11"/>
        <v>-42335</v>
      </c>
      <c r="AD17" s="70">
        <f t="shared" si="12"/>
        <v>-14309</v>
      </c>
      <c r="AE17" s="70">
        <f t="shared" si="13"/>
        <v>-847</v>
      </c>
      <c r="AF17" s="475">
        <v>0</v>
      </c>
      <c r="AG17" s="475">
        <v>0</v>
      </c>
      <c r="AH17" s="475">
        <f t="shared" si="14"/>
        <v>0</v>
      </c>
      <c r="AI17" s="475">
        <f t="shared" si="15"/>
        <v>-57491</v>
      </c>
      <c r="AJ17" s="476">
        <v>0</v>
      </c>
      <c r="AK17" s="476">
        <v>0</v>
      </c>
      <c r="AL17" s="476">
        <v>0</v>
      </c>
      <c r="AM17" s="476">
        <v>0</v>
      </c>
      <c r="AN17" s="476">
        <v>-0.13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-0.13</v>
      </c>
      <c r="AT17" s="478">
        <f t="shared" si="16"/>
        <v>-0.13</v>
      </c>
      <c r="AU17" s="484">
        <f>I17+AI17</f>
        <v>3767299</v>
      </c>
      <c r="AV17" s="475">
        <f>J17+X17</f>
        <v>2761122</v>
      </c>
      <c r="AW17" s="475">
        <f t="shared" si="19"/>
        <v>0</v>
      </c>
      <c r="AX17" s="475">
        <f t="shared" si="17"/>
        <v>933259</v>
      </c>
      <c r="AY17" s="475">
        <f t="shared" si="17"/>
        <v>55222</v>
      </c>
      <c r="AZ17" s="475">
        <f>N17+AH17</f>
        <v>17696</v>
      </c>
      <c r="BA17" s="476">
        <f>O17+AT17</f>
        <v>8.6999999999999993</v>
      </c>
      <c r="BB17" s="476">
        <f t="shared" si="18"/>
        <v>0</v>
      </c>
      <c r="BC17" s="478">
        <f t="shared" si="18"/>
        <v>8.6999999999999993</v>
      </c>
    </row>
    <row r="18" spans="1:55" ht="12.95" customHeight="1" x14ac:dyDescent="0.25">
      <c r="A18" s="301">
        <v>2</v>
      </c>
      <c r="B18" s="303">
        <v>4419</v>
      </c>
      <c r="C18" s="315">
        <v>600074056</v>
      </c>
      <c r="D18" s="303">
        <v>72744049</v>
      </c>
      <c r="E18" s="316" t="s">
        <v>326</v>
      </c>
      <c r="F18" s="303"/>
      <c r="G18" s="317"/>
      <c r="H18" s="317"/>
      <c r="I18" s="561">
        <v>30509948</v>
      </c>
      <c r="J18" s="558">
        <v>22158149</v>
      </c>
      <c r="K18" s="558">
        <v>197000</v>
      </c>
      <c r="L18" s="558">
        <v>7556040</v>
      </c>
      <c r="M18" s="558">
        <v>443163</v>
      </c>
      <c r="N18" s="558">
        <v>155596</v>
      </c>
      <c r="O18" s="559">
        <v>53.700499999999998</v>
      </c>
      <c r="P18" s="559">
        <v>34.030499999999996</v>
      </c>
      <c r="Q18" s="563">
        <v>19.670000000000002</v>
      </c>
      <c r="R18" s="561">
        <f t="shared" ref="R18:BC18" si="20">SUM(R14:R17)</f>
        <v>0</v>
      </c>
      <c r="S18" s="558">
        <f t="shared" si="20"/>
        <v>0</v>
      </c>
      <c r="T18" s="558">
        <f t="shared" si="20"/>
        <v>-336109</v>
      </c>
      <c r="U18" s="558">
        <f t="shared" si="20"/>
        <v>0</v>
      </c>
      <c r="V18" s="558">
        <f t="shared" si="20"/>
        <v>0</v>
      </c>
      <c r="W18" s="558">
        <f t="shared" si="20"/>
        <v>0</v>
      </c>
      <c r="X18" s="558">
        <f t="shared" si="20"/>
        <v>-336109</v>
      </c>
      <c r="Y18" s="558">
        <f t="shared" si="20"/>
        <v>0</v>
      </c>
      <c r="Z18" s="558">
        <f t="shared" si="20"/>
        <v>0</v>
      </c>
      <c r="AA18" s="558">
        <f t="shared" si="20"/>
        <v>0</v>
      </c>
      <c r="AB18" s="558">
        <f t="shared" si="20"/>
        <v>0</v>
      </c>
      <c r="AC18" s="558">
        <f t="shared" si="20"/>
        <v>-336109</v>
      </c>
      <c r="AD18" s="558">
        <f t="shared" si="20"/>
        <v>-113605</v>
      </c>
      <c r="AE18" s="558">
        <f t="shared" si="20"/>
        <v>-6722</v>
      </c>
      <c r="AF18" s="558">
        <f t="shared" si="20"/>
        <v>0</v>
      </c>
      <c r="AG18" s="558">
        <f t="shared" si="20"/>
        <v>0</v>
      </c>
      <c r="AH18" s="558">
        <f t="shared" si="20"/>
        <v>0</v>
      </c>
      <c r="AI18" s="558">
        <f t="shared" si="20"/>
        <v>-456436</v>
      </c>
      <c r="AJ18" s="559">
        <f t="shared" si="20"/>
        <v>0</v>
      </c>
      <c r="AK18" s="559">
        <f t="shared" si="20"/>
        <v>0</v>
      </c>
      <c r="AL18" s="559">
        <f t="shared" si="20"/>
        <v>0</v>
      </c>
      <c r="AM18" s="559">
        <f t="shared" si="20"/>
        <v>-0.59</v>
      </c>
      <c r="AN18" s="559">
        <f t="shared" si="20"/>
        <v>-0.13</v>
      </c>
      <c r="AO18" s="559">
        <f t="shared" si="20"/>
        <v>0</v>
      </c>
      <c r="AP18" s="559">
        <f t="shared" si="20"/>
        <v>0</v>
      </c>
      <c r="AQ18" s="559">
        <f t="shared" si="20"/>
        <v>0</v>
      </c>
      <c r="AR18" s="559">
        <f t="shared" si="20"/>
        <v>-0.59</v>
      </c>
      <c r="AS18" s="559">
        <f t="shared" si="20"/>
        <v>-0.13</v>
      </c>
      <c r="AT18" s="318">
        <f t="shared" si="20"/>
        <v>-0.72</v>
      </c>
      <c r="AU18" s="565">
        <f t="shared" si="20"/>
        <v>30053512</v>
      </c>
      <c r="AV18" s="558">
        <f t="shared" si="20"/>
        <v>21822040</v>
      </c>
      <c r="AW18" s="558">
        <f t="shared" si="20"/>
        <v>197000</v>
      </c>
      <c r="AX18" s="558">
        <f t="shared" si="20"/>
        <v>7442435</v>
      </c>
      <c r="AY18" s="558">
        <f t="shared" si="20"/>
        <v>436441</v>
      </c>
      <c r="AZ18" s="558">
        <f t="shared" si="20"/>
        <v>155596</v>
      </c>
      <c r="BA18" s="559">
        <f t="shared" si="20"/>
        <v>52.980499999999992</v>
      </c>
      <c r="BB18" s="559">
        <f t="shared" si="20"/>
        <v>33.4405</v>
      </c>
      <c r="BC18" s="318">
        <f t="shared" si="20"/>
        <v>19.54</v>
      </c>
    </row>
    <row r="19" spans="1:55" ht="12.95" customHeight="1" x14ac:dyDescent="0.25">
      <c r="A19" s="308">
        <v>3</v>
      </c>
      <c r="B19" s="309">
        <v>4464</v>
      </c>
      <c r="C19" s="309" t="s">
        <v>327</v>
      </c>
      <c r="D19" s="309">
        <v>46750461</v>
      </c>
      <c r="E19" s="311" t="s">
        <v>328</v>
      </c>
      <c r="F19" s="309">
        <v>3113</v>
      </c>
      <c r="G19" s="312" t="s">
        <v>329</v>
      </c>
      <c r="H19" s="312" t="s">
        <v>277</v>
      </c>
      <c r="I19" s="477">
        <v>40155231</v>
      </c>
      <c r="J19" s="472">
        <v>28895499</v>
      </c>
      <c r="K19" s="472">
        <v>66400</v>
      </c>
      <c r="L19" s="472">
        <v>9789122</v>
      </c>
      <c r="M19" s="472">
        <v>577910</v>
      </c>
      <c r="N19" s="472">
        <v>826300</v>
      </c>
      <c r="O19" s="473">
        <v>51.006499999999996</v>
      </c>
      <c r="P19" s="474">
        <v>40.766500000000001</v>
      </c>
      <c r="Q19" s="483">
        <v>10.24</v>
      </c>
      <c r="R19" s="485">
        <f t="shared" ref="R19:R23" si="21">Y19*-1</f>
        <v>0</v>
      </c>
      <c r="S19" s="475">
        <v>0</v>
      </c>
      <c r="T19" s="475">
        <v>-706247</v>
      </c>
      <c r="U19" s="475">
        <v>0</v>
      </c>
      <c r="V19" s="475">
        <v>0</v>
      </c>
      <c r="W19" s="475">
        <v>0</v>
      </c>
      <c r="X19" s="475">
        <f>SUM(R19:W19)</f>
        <v>-706247</v>
      </c>
      <c r="Y19" s="475">
        <v>0</v>
      </c>
      <c r="Z19" s="475">
        <v>0</v>
      </c>
      <c r="AA19" s="475">
        <v>0</v>
      </c>
      <c r="AB19" s="475">
        <f t="shared" ref="AB19:AB23" si="22">SUM(Y19:AA19)</f>
        <v>0</v>
      </c>
      <c r="AC19" s="475">
        <f t="shared" ref="AC19:AC23" si="23">X19+AB19</f>
        <v>-706247</v>
      </c>
      <c r="AD19" s="70">
        <f t="shared" ref="AD19:AD23" si="24">ROUND((X19+Y19+Z19)*33.8%,0)</f>
        <v>-238711</v>
      </c>
      <c r="AE19" s="70">
        <f t="shared" ref="AE19:AE23" si="25">ROUND(X19*2%,0)</f>
        <v>-14125</v>
      </c>
      <c r="AF19" s="475">
        <v>0</v>
      </c>
      <c r="AG19" s="475">
        <v>0</v>
      </c>
      <c r="AH19" s="475">
        <f t="shared" ref="AH19:AH23" si="26">SUM(AF19:AG19)</f>
        <v>0</v>
      </c>
      <c r="AI19" s="475">
        <f t="shared" ref="AI19:AI23" si="27">AC19+AD19+AE19+AH19</f>
        <v>-959083</v>
      </c>
      <c r="AJ19" s="476">
        <v>0</v>
      </c>
      <c r="AK19" s="476">
        <v>0</v>
      </c>
      <c r="AL19" s="476">
        <v>0</v>
      </c>
      <c r="AM19" s="476">
        <v>-1.1200000000000001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-1.1200000000000001</v>
      </c>
      <c r="AS19" s="476">
        <f>AK19+AN19+AQ19</f>
        <v>0</v>
      </c>
      <c r="AT19" s="478">
        <f t="shared" ref="AT19:AT23" si="28">SUM(AR19:AS19)</f>
        <v>-1.1200000000000001</v>
      </c>
      <c r="AU19" s="484">
        <f>I19+AI19</f>
        <v>39196148</v>
      </c>
      <c r="AV19" s="475">
        <f>J19+X19</f>
        <v>28189252</v>
      </c>
      <c r="AW19" s="475">
        <f t="shared" ref="AW19:AW23" si="29">K19+AB19</f>
        <v>66400</v>
      </c>
      <c r="AX19" s="475">
        <f t="shared" ref="AX19:AY23" si="30">L19+AD19</f>
        <v>9550411</v>
      </c>
      <c r="AY19" s="475">
        <f t="shared" si="30"/>
        <v>563785</v>
      </c>
      <c r="AZ19" s="475">
        <f>N19+AH19</f>
        <v>826300</v>
      </c>
      <c r="BA19" s="476">
        <f>O19+AT19</f>
        <v>49.886499999999998</v>
      </c>
      <c r="BB19" s="476">
        <f t="shared" ref="BB19:BC23" si="31">P19+AR19</f>
        <v>39.646500000000003</v>
      </c>
      <c r="BC19" s="478">
        <f t="shared" si="31"/>
        <v>10.24</v>
      </c>
    </row>
    <row r="20" spans="1:55" ht="12.95" customHeight="1" x14ac:dyDescent="0.25">
      <c r="A20" s="308">
        <v>3</v>
      </c>
      <c r="B20" s="309">
        <v>4464</v>
      </c>
      <c r="C20" s="309" t="s">
        <v>327</v>
      </c>
      <c r="D20" s="309">
        <v>46750461</v>
      </c>
      <c r="E20" s="311" t="s">
        <v>330</v>
      </c>
      <c r="F20" s="309">
        <v>3113</v>
      </c>
      <c r="G20" s="312" t="s">
        <v>319</v>
      </c>
      <c r="H20" s="312" t="s">
        <v>278</v>
      </c>
      <c r="I20" s="477">
        <v>1170782</v>
      </c>
      <c r="J20" s="472">
        <v>862137</v>
      </c>
      <c r="K20" s="472">
        <v>0</v>
      </c>
      <c r="L20" s="472">
        <v>291402</v>
      </c>
      <c r="M20" s="472">
        <v>17243</v>
      </c>
      <c r="N20" s="472">
        <v>0</v>
      </c>
      <c r="O20" s="473">
        <v>2.63</v>
      </c>
      <c r="P20" s="474">
        <v>2.63</v>
      </c>
      <c r="Q20" s="483">
        <v>0</v>
      </c>
      <c r="R20" s="485">
        <f t="shared" si="21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0</v>
      </c>
      <c r="Y20" s="475">
        <v>0</v>
      </c>
      <c r="Z20" s="475">
        <v>0</v>
      </c>
      <c r="AA20" s="475">
        <v>0</v>
      </c>
      <c r="AB20" s="475">
        <f t="shared" si="22"/>
        <v>0</v>
      </c>
      <c r="AC20" s="475">
        <f t="shared" si="23"/>
        <v>0</v>
      </c>
      <c r="AD20" s="70">
        <f t="shared" si="24"/>
        <v>0</v>
      </c>
      <c r="AE20" s="70">
        <f t="shared" si="25"/>
        <v>0</v>
      </c>
      <c r="AF20" s="475">
        <v>0</v>
      </c>
      <c r="AG20" s="475">
        <v>0</v>
      </c>
      <c r="AH20" s="475">
        <f t="shared" si="26"/>
        <v>0</v>
      </c>
      <c r="AI20" s="475">
        <f t="shared" si="27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28"/>
        <v>0</v>
      </c>
      <c r="AU20" s="484">
        <f>I20+AI20</f>
        <v>1170782</v>
      </c>
      <c r="AV20" s="475">
        <f>J20+X20</f>
        <v>862137</v>
      </c>
      <c r="AW20" s="475">
        <f t="shared" si="29"/>
        <v>0</v>
      </c>
      <c r="AX20" s="475">
        <f t="shared" si="30"/>
        <v>291402</v>
      </c>
      <c r="AY20" s="475">
        <f t="shared" si="30"/>
        <v>17243</v>
      </c>
      <c r="AZ20" s="475">
        <f>N20+AH20</f>
        <v>0</v>
      </c>
      <c r="BA20" s="476">
        <f>O20+AT20</f>
        <v>2.63</v>
      </c>
      <c r="BB20" s="476">
        <f t="shared" si="31"/>
        <v>2.63</v>
      </c>
      <c r="BC20" s="478">
        <f t="shared" si="31"/>
        <v>0</v>
      </c>
    </row>
    <row r="21" spans="1:55" ht="12.95" customHeight="1" x14ac:dyDescent="0.25">
      <c r="A21" s="308">
        <v>3</v>
      </c>
      <c r="B21" s="309">
        <v>4464</v>
      </c>
      <c r="C21" s="309" t="s">
        <v>327</v>
      </c>
      <c r="D21" s="309">
        <v>46750461</v>
      </c>
      <c r="E21" s="311" t="s">
        <v>328</v>
      </c>
      <c r="F21" s="309">
        <v>3141</v>
      </c>
      <c r="G21" s="312" t="s">
        <v>315</v>
      </c>
      <c r="H21" s="312" t="s">
        <v>278</v>
      </c>
      <c r="I21" s="477">
        <v>3475914</v>
      </c>
      <c r="J21" s="472">
        <v>2531962</v>
      </c>
      <c r="K21" s="472">
        <v>5000</v>
      </c>
      <c r="L21" s="472">
        <v>857493</v>
      </c>
      <c r="M21" s="472">
        <v>50639</v>
      </c>
      <c r="N21" s="472">
        <v>30820</v>
      </c>
      <c r="O21" s="473">
        <v>7.99</v>
      </c>
      <c r="P21" s="474">
        <v>0</v>
      </c>
      <c r="Q21" s="483">
        <v>7.99</v>
      </c>
      <c r="R21" s="485">
        <f t="shared" si="21"/>
        <v>0</v>
      </c>
      <c r="S21" s="475">
        <v>0</v>
      </c>
      <c r="T21" s="475">
        <v>-89239</v>
      </c>
      <c r="U21" s="475">
        <v>0</v>
      </c>
      <c r="V21" s="475">
        <v>0</v>
      </c>
      <c r="W21" s="475">
        <v>0</v>
      </c>
      <c r="X21" s="475">
        <f>SUM(R21:W21)</f>
        <v>-89239</v>
      </c>
      <c r="Y21" s="475">
        <v>0</v>
      </c>
      <c r="Z21" s="475">
        <v>0</v>
      </c>
      <c r="AA21" s="475">
        <v>0</v>
      </c>
      <c r="AB21" s="475">
        <f t="shared" si="22"/>
        <v>0</v>
      </c>
      <c r="AC21" s="475">
        <f t="shared" si="23"/>
        <v>-89239</v>
      </c>
      <c r="AD21" s="70">
        <f t="shared" si="24"/>
        <v>-30163</v>
      </c>
      <c r="AE21" s="70">
        <f t="shared" si="25"/>
        <v>-1785</v>
      </c>
      <c r="AF21" s="475">
        <v>0</v>
      </c>
      <c r="AG21" s="475">
        <v>0</v>
      </c>
      <c r="AH21" s="475">
        <f t="shared" si="26"/>
        <v>0</v>
      </c>
      <c r="AI21" s="475">
        <f t="shared" si="27"/>
        <v>-121187</v>
      </c>
      <c r="AJ21" s="476">
        <v>0</v>
      </c>
      <c r="AK21" s="476">
        <v>0</v>
      </c>
      <c r="AL21" s="476">
        <v>0</v>
      </c>
      <c r="AM21" s="476">
        <v>0</v>
      </c>
      <c r="AN21" s="476">
        <v>-0.28000000000000003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-0.28000000000000003</v>
      </c>
      <c r="AT21" s="478">
        <f t="shared" si="28"/>
        <v>-0.28000000000000003</v>
      </c>
      <c r="AU21" s="484">
        <f>I21+AI21</f>
        <v>3354727</v>
      </c>
      <c r="AV21" s="475">
        <f>J21+X21</f>
        <v>2442723</v>
      </c>
      <c r="AW21" s="475">
        <f t="shared" si="29"/>
        <v>5000</v>
      </c>
      <c r="AX21" s="475">
        <f t="shared" si="30"/>
        <v>827330</v>
      </c>
      <c r="AY21" s="475">
        <f t="shared" si="30"/>
        <v>48854</v>
      </c>
      <c r="AZ21" s="475">
        <f>N21+AH21</f>
        <v>30820</v>
      </c>
      <c r="BA21" s="476">
        <f>O21+AT21</f>
        <v>7.71</v>
      </c>
      <c r="BB21" s="476">
        <f t="shared" si="31"/>
        <v>0</v>
      </c>
      <c r="BC21" s="478">
        <f t="shared" si="31"/>
        <v>7.71</v>
      </c>
    </row>
    <row r="22" spans="1:55" ht="12.95" customHeight="1" x14ac:dyDescent="0.25">
      <c r="A22" s="308">
        <v>3</v>
      </c>
      <c r="B22" s="309">
        <v>4464</v>
      </c>
      <c r="C22" s="309" t="s">
        <v>327</v>
      </c>
      <c r="D22" s="309">
        <v>46750461</v>
      </c>
      <c r="E22" s="311" t="s">
        <v>330</v>
      </c>
      <c r="F22" s="309">
        <v>3143</v>
      </c>
      <c r="G22" s="312" t="s">
        <v>626</v>
      </c>
      <c r="H22" s="312" t="s">
        <v>277</v>
      </c>
      <c r="I22" s="477">
        <v>3502834</v>
      </c>
      <c r="J22" s="472">
        <v>2532803</v>
      </c>
      <c r="K22" s="472">
        <v>47300</v>
      </c>
      <c r="L22" s="472">
        <v>872075</v>
      </c>
      <c r="M22" s="472">
        <v>50656</v>
      </c>
      <c r="N22" s="472">
        <v>0</v>
      </c>
      <c r="O22" s="473">
        <v>5.0354000000000001</v>
      </c>
      <c r="P22" s="474">
        <v>5.0354000000000001</v>
      </c>
      <c r="Q22" s="483">
        <v>0</v>
      </c>
      <c r="R22" s="485">
        <f t="shared" si="21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>SUM(R22:W22)</f>
        <v>0</v>
      </c>
      <c r="Y22" s="475">
        <v>0</v>
      </c>
      <c r="Z22" s="475">
        <v>0</v>
      </c>
      <c r="AA22" s="475">
        <v>0</v>
      </c>
      <c r="AB22" s="475">
        <f t="shared" si="22"/>
        <v>0</v>
      </c>
      <c r="AC22" s="475">
        <f t="shared" si="23"/>
        <v>0</v>
      </c>
      <c r="AD22" s="70">
        <f t="shared" si="24"/>
        <v>0</v>
      </c>
      <c r="AE22" s="70">
        <f t="shared" si="25"/>
        <v>0</v>
      </c>
      <c r="AF22" s="475">
        <v>0</v>
      </c>
      <c r="AG22" s="475">
        <v>0</v>
      </c>
      <c r="AH22" s="475">
        <f t="shared" si="26"/>
        <v>0</v>
      </c>
      <c r="AI22" s="475">
        <f t="shared" si="27"/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0</v>
      </c>
      <c r="AT22" s="478">
        <f t="shared" si="28"/>
        <v>0</v>
      </c>
      <c r="AU22" s="484">
        <f>I22+AI22</f>
        <v>3502834</v>
      </c>
      <c r="AV22" s="475">
        <f>J22+X22</f>
        <v>2532803</v>
      </c>
      <c r="AW22" s="475">
        <f t="shared" si="29"/>
        <v>47300</v>
      </c>
      <c r="AX22" s="475">
        <f t="shared" si="30"/>
        <v>872075</v>
      </c>
      <c r="AY22" s="475">
        <f t="shared" si="30"/>
        <v>50656</v>
      </c>
      <c r="AZ22" s="475">
        <f>N22+AH22</f>
        <v>0</v>
      </c>
      <c r="BA22" s="476">
        <f>O22+AT22</f>
        <v>5.0354000000000001</v>
      </c>
      <c r="BB22" s="476">
        <f t="shared" si="31"/>
        <v>5.0354000000000001</v>
      </c>
      <c r="BC22" s="478">
        <f t="shared" si="31"/>
        <v>0</v>
      </c>
    </row>
    <row r="23" spans="1:55" ht="12.95" customHeight="1" x14ac:dyDescent="0.25">
      <c r="A23" s="308">
        <v>3</v>
      </c>
      <c r="B23" s="309">
        <v>4464</v>
      </c>
      <c r="C23" s="309" t="s">
        <v>327</v>
      </c>
      <c r="D23" s="309">
        <v>46750461</v>
      </c>
      <c r="E23" s="311" t="s">
        <v>330</v>
      </c>
      <c r="F23" s="309">
        <v>3143</v>
      </c>
      <c r="G23" s="312" t="s">
        <v>627</v>
      </c>
      <c r="H23" s="312" t="s">
        <v>278</v>
      </c>
      <c r="I23" s="477">
        <v>134568</v>
      </c>
      <c r="J23" s="472">
        <v>95161</v>
      </c>
      <c r="K23" s="472">
        <v>0</v>
      </c>
      <c r="L23" s="472">
        <v>32164</v>
      </c>
      <c r="M23" s="472">
        <v>1903</v>
      </c>
      <c r="N23" s="472">
        <v>5340</v>
      </c>
      <c r="O23" s="473">
        <v>0.37</v>
      </c>
      <c r="P23" s="474">
        <v>0</v>
      </c>
      <c r="Q23" s="483">
        <v>0.37</v>
      </c>
      <c r="R23" s="485">
        <f t="shared" si="21"/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>SUM(R23:W23)</f>
        <v>0</v>
      </c>
      <c r="Y23" s="475">
        <v>0</v>
      </c>
      <c r="Z23" s="475">
        <v>0</v>
      </c>
      <c r="AA23" s="475">
        <v>0</v>
      </c>
      <c r="AB23" s="475">
        <f t="shared" si="22"/>
        <v>0</v>
      </c>
      <c r="AC23" s="475">
        <f t="shared" si="23"/>
        <v>0</v>
      </c>
      <c r="AD23" s="70">
        <f t="shared" si="24"/>
        <v>0</v>
      </c>
      <c r="AE23" s="70">
        <f t="shared" si="25"/>
        <v>0</v>
      </c>
      <c r="AF23" s="475">
        <v>0</v>
      </c>
      <c r="AG23" s="475">
        <v>0</v>
      </c>
      <c r="AH23" s="475">
        <f t="shared" si="26"/>
        <v>0</v>
      </c>
      <c r="AI23" s="475">
        <f t="shared" si="27"/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si="28"/>
        <v>0</v>
      </c>
      <c r="AU23" s="484">
        <f>I23+AI23</f>
        <v>134568</v>
      </c>
      <c r="AV23" s="475">
        <f>J23+X23</f>
        <v>95161</v>
      </c>
      <c r="AW23" s="475">
        <f t="shared" si="29"/>
        <v>0</v>
      </c>
      <c r="AX23" s="475">
        <f t="shared" si="30"/>
        <v>32164</v>
      </c>
      <c r="AY23" s="475">
        <f t="shared" si="30"/>
        <v>1903</v>
      </c>
      <c r="AZ23" s="475">
        <f>N23+AH23</f>
        <v>5340</v>
      </c>
      <c r="BA23" s="476">
        <f>O23+AT23</f>
        <v>0.37</v>
      </c>
      <c r="BB23" s="476">
        <f t="shared" si="31"/>
        <v>0</v>
      </c>
      <c r="BC23" s="478">
        <f t="shared" si="31"/>
        <v>0.37</v>
      </c>
    </row>
    <row r="24" spans="1:55" ht="12.95" customHeight="1" x14ac:dyDescent="0.25">
      <c r="A24" s="301">
        <v>3</v>
      </c>
      <c r="B24" s="303">
        <v>4464</v>
      </c>
      <c r="C24" s="303" t="s">
        <v>327</v>
      </c>
      <c r="D24" s="303">
        <v>46750461</v>
      </c>
      <c r="E24" s="316" t="s">
        <v>331</v>
      </c>
      <c r="F24" s="303"/>
      <c r="G24" s="317"/>
      <c r="H24" s="317"/>
      <c r="I24" s="561">
        <v>48439329</v>
      </c>
      <c r="J24" s="558">
        <v>34917562</v>
      </c>
      <c r="K24" s="558">
        <v>118700</v>
      </c>
      <c r="L24" s="558">
        <v>11842256</v>
      </c>
      <c r="M24" s="558">
        <v>698351</v>
      </c>
      <c r="N24" s="558">
        <v>862460</v>
      </c>
      <c r="O24" s="559">
        <v>67.031900000000007</v>
      </c>
      <c r="P24" s="559">
        <v>48.431900000000006</v>
      </c>
      <c r="Q24" s="563">
        <v>18.600000000000001</v>
      </c>
      <c r="R24" s="561">
        <f t="shared" ref="R24:BC24" si="32">SUM(R19:R23)</f>
        <v>0</v>
      </c>
      <c r="S24" s="558">
        <f t="shared" si="32"/>
        <v>0</v>
      </c>
      <c r="T24" s="558">
        <f t="shared" si="32"/>
        <v>-795486</v>
      </c>
      <c r="U24" s="558">
        <f t="shared" si="32"/>
        <v>0</v>
      </c>
      <c r="V24" s="558">
        <f t="shared" si="32"/>
        <v>0</v>
      </c>
      <c r="W24" s="558">
        <f t="shared" si="32"/>
        <v>0</v>
      </c>
      <c r="X24" s="558">
        <f t="shared" si="32"/>
        <v>-795486</v>
      </c>
      <c r="Y24" s="558">
        <f t="shared" si="32"/>
        <v>0</v>
      </c>
      <c r="Z24" s="558">
        <f t="shared" si="32"/>
        <v>0</v>
      </c>
      <c r="AA24" s="558">
        <f t="shared" si="32"/>
        <v>0</v>
      </c>
      <c r="AB24" s="558">
        <f t="shared" si="32"/>
        <v>0</v>
      </c>
      <c r="AC24" s="558">
        <f t="shared" si="32"/>
        <v>-795486</v>
      </c>
      <c r="AD24" s="558">
        <f t="shared" si="32"/>
        <v>-268874</v>
      </c>
      <c r="AE24" s="558">
        <f t="shared" si="32"/>
        <v>-15910</v>
      </c>
      <c r="AF24" s="558">
        <f t="shared" si="32"/>
        <v>0</v>
      </c>
      <c r="AG24" s="558">
        <f t="shared" si="32"/>
        <v>0</v>
      </c>
      <c r="AH24" s="558">
        <f t="shared" si="32"/>
        <v>0</v>
      </c>
      <c r="AI24" s="558">
        <f t="shared" si="32"/>
        <v>-1080270</v>
      </c>
      <c r="AJ24" s="559">
        <f t="shared" si="32"/>
        <v>0</v>
      </c>
      <c r="AK24" s="559">
        <f t="shared" si="32"/>
        <v>0</v>
      </c>
      <c r="AL24" s="559">
        <f t="shared" si="32"/>
        <v>0</v>
      </c>
      <c r="AM24" s="559">
        <f t="shared" si="32"/>
        <v>-1.1200000000000001</v>
      </c>
      <c r="AN24" s="559">
        <f t="shared" si="32"/>
        <v>-0.28000000000000003</v>
      </c>
      <c r="AO24" s="559">
        <f t="shared" si="32"/>
        <v>0</v>
      </c>
      <c r="AP24" s="559">
        <f t="shared" si="32"/>
        <v>0</v>
      </c>
      <c r="AQ24" s="559">
        <f t="shared" si="32"/>
        <v>0</v>
      </c>
      <c r="AR24" s="559">
        <f t="shared" si="32"/>
        <v>-1.1200000000000001</v>
      </c>
      <c r="AS24" s="559">
        <f t="shared" si="32"/>
        <v>-0.28000000000000003</v>
      </c>
      <c r="AT24" s="318">
        <f t="shared" si="32"/>
        <v>-1.4000000000000001</v>
      </c>
      <c r="AU24" s="565">
        <f t="shared" si="32"/>
        <v>47359059</v>
      </c>
      <c r="AV24" s="558">
        <f t="shared" si="32"/>
        <v>34122076</v>
      </c>
      <c r="AW24" s="558">
        <f t="shared" si="32"/>
        <v>118700</v>
      </c>
      <c r="AX24" s="558">
        <f t="shared" si="32"/>
        <v>11573382</v>
      </c>
      <c r="AY24" s="558">
        <f t="shared" si="32"/>
        <v>682441</v>
      </c>
      <c r="AZ24" s="558">
        <f t="shared" si="32"/>
        <v>862460</v>
      </c>
      <c r="BA24" s="559">
        <f t="shared" si="32"/>
        <v>65.631900000000002</v>
      </c>
      <c r="BB24" s="559">
        <f t="shared" si="32"/>
        <v>47.311900000000009</v>
      </c>
      <c r="BC24" s="318">
        <f t="shared" si="32"/>
        <v>18.32</v>
      </c>
    </row>
    <row r="25" spans="1:55" ht="12.95" customHeight="1" x14ac:dyDescent="0.25">
      <c r="A25" s="308">
        <v>4</v>
      </c>
      <c r="B25" s="309">
        <v>4457</v>
      </c>
      <c r="C25" s="309">
        <v>600074609</v>
      </c>
      <c r="D25" s="309">
        <v>72743964</v>
      </c>
      <c r="E25" s="311" t="s">
        <v>332</v>
      </c>
      <c r="F25" s="309">
        <v>3117</v>
      </c>
      <c r="G25" s="312" t="s">
        <v>329</v>
      </c>
      <c r="H25" s="312" t="s">
        <v>277</v>
      </c>
      <c r="I25" s="477">
        <v>6784559</v>
      </c>
      <c r="J25" s="472">
        <v>4840353</v>
      </c>
      <c r="K25" s="472">
        <v>30000</v>
      </c>
      <c r="L25" s="472">
        <v>1646179</v>
      </c>
      <c r="M25" s="472">
        <v>96806</v>
      </c>
      <c r="N25" s="472">
        <v>171221</v>
      </c>
      <c r="O25" s="473">
        <v>9.1536000000000008</v>
      </c>
      <c r="P25" s="474">
        <v>6.3635999999999999</v>
      </c>
      <c r="Q25" s="483">
        <v>2.79</v>
      </c>
      <c r="R25" s="485">
        <f t="shared" ref="R25:R29" si="33">Y25*-1</f>
        <v>0</v>
      </c>
      <c r="S25" s="475">
        <v>0</v>
      </c>
      <c r="T25" s="475">
        <v>-92373</v>
      </c>
      <c r="U25" s="475">
        <v>0</v>
      </c>
      <c r="V25" s="475">
        <v>0</v>
      </c>
      <c r="W25" s="475">
        <v>0</v>
      </c>
      <c r="X25" s="475">
        <f>SUM(R25:W25)</f>
        <v>-92373</v>
      </c>
      <c r="Y25" s="475">
        <v>0</v>
      </c>
      <c r="Z25" s="475">
        <v>0</v>
      </c>
      <c r="AA25" s="475">
        <v>0</v>
      </c>
      <c r="AB25" s="475">
        <f t="shared" ref="AB25:AB29" si="34">SUM(Y25:AA25)</f>
        <v>0</v>
      </c>
      <c r="AC25" s="475">
        <f t="shared" ref="AC25:AC29" si="35">X25+AB25</f>
        <v>-92373</v>
      </c>
      <c r="AD25" s="70">
        <f t="shared" ref="AD25:AD29" si="36">ROUND((X25+Y25+Z25)*33.8%,0)</f>
        <v>-31222</v>
      </c>
      <c r="AE25" s="70">
        <f t="shared" ref="AE25:AE29" si="37">ROUND(X25*2%,0)</f>
        <v>-1847</v>
      </c>
      <c r="AF25" s="475">
        <v>0</v>
      </c>
      <c r="AG25" s="475">
        <v>0</v>
      </c>
      <c r="AH25" s="475">
        <f t="shared" ref="AH25:AH29" si="38">SUM(AF25:AG25)</f>
        <v>0</v>
      </c>
      <c r="AI25" s="475">
        <f t="shared" ref="AI25:AI29" si="39">AC25+AD25+AE25+AH25</f>
        <v>-125442</v>
      </c>
      <c r="AJ25" s="476">
        <v>0</v>
      </c>
      <c r="AK25" s="476">
        <v>0</v>
      </c>
      <c r="AL25" s="476">
        <v>0</v>
      </c>
      <c r="AM25" s="476">
        <v>-0.15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-0.15</v>
      </c>
      <c r="AS25" s="476">
        <f>AK25+AN25+AQ25</f>
        <v>0</v>
      </c>
      <c r="AT25" s="478">
        <f t="shared" ref="AT25:AT29" si="40">SUM(AR25:AS25)</f>
        <v>-0.15</v>
      </c>
      <c r="AU25" s="484">
        <f>I25+AI25</f>
        <v>6659117</v>
      </c>
      <c r="AV25" s="475">
        <f>J25+X25</f>
        <v>4747980</v>
      </c>
      <c r="AW25" s="475">
        <f t="shared" ref="AW25:AW29" si="41">K25+AB25</f>
        <v>30000</v>
      </c>
      <c r="AX25" s="475">
        <f t="shared" ref="AX25:AY29" si="42">L25+AD25</f>
        <v>1614957</v>
      </c>
      <c r="AY25" s="475">
        <f t="shared" si="42"/>
        <v>94959</v>
      </c>
      <c r="AZ25" s="475">
        <f>N25+AH25</f>
        <v>171221</v>
      </c>
      <c r="BA25" s="476">
        <f>O25+AT25</f>
        <v>9.0036000000000005</v>
      </c>
      <c r="BB25" s="476">
        <f t="shared" ref="BB25:BC29" si="43">P25+AR25</f>
        <v>6.2135999999999996</v>
      </c>
      <c r="BC25" s="478">
        <f t="shared" si="43"/>
        <v>2.79</v>
      </c>
    </row>
    <row r="26" spans="1:55" ht="12.95" customHeight="1" x14ac:dyDescent="0.25">
      <c r="A26" s="308">
        <v>4</v>
      </c>
      <c r="B26" s="309">
        <v>4457</v>
      </c>
      <c r="C26" s="309">
        <v>600074609</v>
      </c>
      <c r="D26" s="309">
        <v>72743964</v>
      </c>
      <c r="E26" s="311" t="s">
        <v>332</v>
      </c>
      <c r="F26" s="309">
        <v>3117</v>
      </c>
      <c r="G26" s="312" t="s">
        <v>319</v>
      </c>
      <c r="H26" s="312" t="s">
        <v>278</v>
      </c>
      <c r="I26" s="477">
        <v>1003361</v>
      </c>
      <c r="J26" s="472">
        <v>738484</v>
      </c>
      <c r="K26" s="472">
        <v>0</v>
      </c>
      <c r="L26" s="472">
        <v>249608</v>
      </c>
      <c r="M26" s="472">
        <v>14769</v>
      </c>
      <c r="N26" s="472">
        <v>500</v>
      </c>
      <c r="O26" s="473">
        <v>2.12</v>
      </c>
      <c r="P26" s="474">
        <v>2.12</v>
      </c>
      <c r="Q26" s="483">
        <v>0</v>
      </c>
      <c r="R26" s="485">
        <f t="shared" si="33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34"/>
        <v>0</v>
      </c>
      <c r="AC26" s="475">
        <f t="shared" si="35"/>
        <v>0</v>
      </c>
      <c r="AD26" s="70">
        <f t="shared" si="36"/>
        <v>0</v>
      </c>
      <c r="AE26" s="70">
        <f t="shared" si="37"/>
        <v>0</v>
      </c>
      <c r="AF26" s="475">
        <v>0</v>
      </c>
      <c r="AG26" s="475">
        <v>0</v>
      </c>
      <c r="AH26" s="475">
        <f t="shared" si="38"/>
        <v>0</v>
      </c>
      <c r="AI26" s="475">
        <f t="shared" si="39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40"/>
        <v>0</v>
      </c>
      <c r="AU26" s="484">
        <f>I26+AI26</f>
        <v>1003361</v>
      </c>
      <c r="AV26" s="475">
        <f>J26+X26</f>
        <v>738484</v>
      </c>
      <c r="AW26" s="475">
        <f t="shared" si="41"/>
        <v>0</v>
      </c>
      <c r="AX26" s="475">
        <f t="shared" si="42"/>
        <v>249608</v>
      </c>
      <c r="AY26" s="475">
        <f t="shared" si="42"/>
        <v>14769</v>
      </c>
      <c r="AZ26" s="475">
        <f>N26+AH26</f>
        <v>500</v>
      </c>
      <c r="BA26" s="476">
        <f>O26+AT26</f>
        <v>2.12</v>
      </c>
      <c r="BB26" s="476">
        <f t="shared" si="43"/>
        <v>2.12</v>
      </c>
      <c r="BC26" s="478">
        <f t="shared" si="43"/>
        <v>0</v>
      </c>
    </row>
    <row r="27" spans="1:55" ht="12.95" customHeight="1" x14ac:dyDescent="0.25">
      <c r="A27" s="308">
        <v>4</v>
      </c>
      <c r="B27" s="309">
        <v>4457</v>
      </c>
      <c r="C27" s="309">
        <v>600074609</v>
      </c>
      <c r="D27" s="309">
        <v>72743964</v>
      </c>
      <c r="E27" s="311" t="s">
        <v>332</v>
      </c>
      <c r="F27" s="309">
        <v>3141</v>
      </c>
      <c r="G27" s="312" t="s">
        <v>315</v>
      </c>
      <c r="H27" s="312" t="s">
        <v>278</v>
      </c>
      <c r="I27" s="477">
        <v>285106</v>
      </c>
      <c r="J27" s="472">
        <v>207847</v>
      </c>
      <c r="K27" s="472">
        <v>0</v>
      </c>
      <c r="L27" s="472">
        <v>70252</v>
      </c>
      <c r="M27" s="472">
        <v>4157</v>
      </c>
      <c r="N27" s="472">
        <v>2850</v>
      </c>
      <c r="O27" s="473">
        <v>0.65</v>
      </c>
      <c r="P27" s="474">
        <v>0</v>
      </c>
      <c r="Q27" s="483">
        <v>0.65</v>
      </c>
      <c r="R27" s="485">
        <f t="shared" si="33"/>
        <v>0</v>
      </c>
      <c r="S27" s="475">
        <v>0</v>
      </c>
      <c r="T27" s="475">
        <v>-9145</v>
      </c>
      <c r="U27" s="475">
        <v>0</v>
      </c>
      <c r="V27" s="475">
        <v>0</v>
      </c>
      <c r="W27" s="475">
        <v>0</v>
      </c>
      <c r="X27" s="475">
        <f>SUM(R27:W27)</f>
        <v>-9145</v>
      </c>
      <c r="Y27" s="475">
        <v>0</v>
      </c>
      <c r="Z27" s="475">
        <v>0</v>
      </c>
      <c r="AA27" s="475">
        <v>0</v>
      </c>
      <c r="AB27" s="475">
        <f t="shared" si="34"/>
        <v>0</v>
      </c>
      <c r="AC27" s="475">
        <f t="shared" si="35"/>
        <v>-9145</v>
      </c>
      <c r="AD27" s="70">
        <f t="shared" si="36"/>
        <v>-3091</v>
      </c>
      <c r="AE27" s="70">
        <f t="shared" si="37"/>
        <v>-183</v>
      </c>
      <c r="AF27" s="475">
        <v>0</v>
      </c>
      <c r="AG27" s="475">
        <v>0</v>
      </c>
      <c r="AH27" s="475">
        <f t="shared" si="38"/>
        <v>0</v>
      </c>
      <c r="AI27" s="475">
        <f t="shared" si="39"/>
        <v>-12419</v>
      </c>
      <c r="AJ27" s="476">
        <v>0</v>
      </c>
      <c r="AK27" s="476">
        <v>0</v>
      </c>
      <c r="AL27" s="476">
        <v>0</v>
      </c>
      <c r="AM27" s="476">
        <v>0</v>
      </c>
      <c r="AN27" s="476">
        <v>-0.03</v>
      </c>
      <c r="AO27" s="476">
        <v>0</v>
      </c>
      <c r="AP27" s="476">
        <v>0</v>
      </c>
      <c r="AQ27" s="476">
        <v>0</v>
      </c>
      <c r="AR27" s="476">
        <f>AJ27+AL27+AM27+AO27+AP27</f>
        <v>0</v>
      </c>
      <c r="AS27" s="476">
        <f>AK27+AN27+AQ27</f>
        <v>-0.03</v>
      </c>
      <c r="AT27" s="478">
        <f t="shared" si="40"/>
        <v>-0.03</v>
      </c>
      <c r="AU27" s="484">
        <f>I27+AI27</f>
        <v>272687</v>
      </c>
      <c r="AV27" s="475">
        <f>J27+X27</f>
        <v>198702</v>
      </c>
      <c r="AW27" s="475">
        <f t="shared" si="41"/>
        <v>0</v>
      </c>
      <c r="AX27" s="475">
        <f t="shared" si="42"/>
        <v>67161</v>
      </c>
      <c r="AY27" s="475">
        <f t="shared" si="42"/>
        <v>3974</v>
      </c>
      <c r="AZ27" s="475">
        <f>N27+AH27</f>
        <v>2850</v>
      </c>
      <c r="BA27" s="476">
        <f>O27+AT27</f>
        <v>0.62</v>
      </c>
      <c r="BB27" s="476">
        <f t="shared" si="43"/>
        <v>0</v>
      </c>
      <c r="BC27" s="478">
        <f t="shared" si="43"/>
        <v>0.62</v>
      </c>
    </row>
    <row r="28" spans="1:55" ht="12.95" customHeight="1" x14ac:dyDescent="0.25">
      <c r="A28" s="308">
        <v>4</v>
      </c>
      <c r="B28" s="309">
        <v>4457</v>
      </c>
      <c r="C28" s="309">
        <v>600074609</v>
      </c>
      <c r="D28" s="309">
        <v>72743964</v>
      </c>
      <c r="E28" s="311" t="s">
        <v>332</v>
      </c>
      <c r="F28" s="309">
        <v>3143</v>
      </c>
      <c r="G28" s="312" t="s">
        <v>626</v>
      </c>
      <c r="H28" s="312" t="s">
        <v>277</v>
      </c>
      <c r="I28" s="477">
        <v>1321583</v>
      </c>
      <c r="J28" s="472">
        <v>973183</v>
      </c>
      <c r="K28" s="472">
        <v>0</v>
      </c>
      <c r="L28" s="472">
        <v>328936</v>
      </c>
      <c r="M28" s="472">
        <v>19464</v>
      </c>
      <c r="N28" s="472">
        <v>0</v>
      </c>
      <c r="O28" s="473">
        <v>2.0356000000000001</v>
      </c>
      <c r="P28" s="474">
        <v>2.0356000000000001</v>
      </c>
      <c r="Q28" s="483">
        <v>0</v>
      </c>
      <c r="R28" s="485">
        <f t="shared" si="33"/>
        <v>0</v>
      </c>
      <c r="S28" s="475">
        <v>0</v>
      </c>
      <c r="T28" s="475">
        <v>-54183</v>
      </c>
      <c r="U28" s="475">
        <v>0</v>
      </c>
      <c r="V28" s="475">
        <v>0</v>
      </c>
      <c r="W28" s="475">
        <v>0</v>
      </c>
      <c r="X28" s="475">
        <f>SUM(R28:W28)</f>
        <v>-54183</v>
      </c>
      <c r="Y28" s="475">
        <v>0</v>
      </c>
      <c r="Z28" s="475">
        <v>0</v>
      </c>
      <c r="AA28" s="475">
        <v>0</v>
      </c>
      <c r="AB28" s="475">
        <f t="shared" si="34"/>
        <v>0</v>
      </c>
      <c r="AC28" s="475">
        <f t="shared" si="35"/>
        <v>-54183</v>
      </c>
      <c r="AD28" s="70">
        <f t="shared" si="36"/>
        <v>-18314</v>
      </c>
      <c r="AE28" s="70">
        <f t="shared" si="37"/>
        <v>-1084</v>
      </c>
      <c r="AF28" s="475">
        <v>0</v>
      </c>
      <c r="AG28" s="475">
        <v>0</v>
      </c>
      <c r="AH28" s="475">
        <f t="shared" si="38"/>
        <v>0</v>
      </c>
      <c r="AI28" s="475">
        <f t="shared" si="39"/>
        <v>-73581</v>
      </c>
      <c r="AJ28" s="476">
        <v>0</v>
      </c>
      <c r="AK28" s="476">
        <v>0</v>
      </c>
      <c r="AL28" s="476">
        <v>0</v>
      </c>
      <c r="AM28" s="476">
        <v>-0.11</v>
      </c>
      <c r="AN28" s="476">
        <v>0</v>
      </c>
      <c r="AO28" s="476">
        <v>0</v>
      </c>
      <c r="AP28" s="476">
        <v>0</v>
      </c>
      <c r="AQ28" s="476">
        <v>0</v>
      </c>
      <c r="AR28" s="476">
        <f>AJ28+AL28+AM28+AO28+AP28</f>
        <v>-0.11</v>
      </c>
      <c r="AS28" s="476">
        <f>AK28+AN28+AQ28</f>
        <v>0</v>
      </c>
      <c r="AT28" s="478">
        <f t="shared" si="40"/>
        <v>-0.11</v>
      </c>
      <c r="AU28" s="484">
        <f>I28+AI28</f>
        <v>1248002</v>
      </c>
      <c r="AV28" s="475">
        <f>J28+X28</f>
        <v>919000</v>
      </c>
      <c r="AW28" s="475">
        <f t="shared" si="41"/>
        <v>0</v>
      </c>
      <c r="AX28" s="475">
        <f t="shared" si="42"/>
        <v>310622</v>
      </c>
      <c r="AY28" s="475">
        <f t="shared" si="42"/>
        <v>18380</v>
      </c>
      <c r="AZ28" s="475">
        <f>N28+AH28</f>
        <v>0</v>
      </c>
      <c r="BA28" s="476">
        <f>O28+AT28</f>
        <v>1.9256</v>
      </c>
      <c r="BB28" s="476">
        <f t="shared" si="43"/>
        <v>1.9256</v>
      </c>
      <c r="BC28" s="478">
        <f t="shared" si="43"/>
        <v>0</v>
      </c>
    </row>
    <row r="29" spans="1:55" ht="12.95" customHeight="1" x14ac:dyDescent="0.25">
      <c r="A29" s="308">
        <v>4</v>
      </c>
      <c r="B29" s="309">
        <v>4457</v>
      </c>
      <c r="C29" s="309">
        <v>600074609</v>
      </c>
      <c r="D29" s="309">
        <v>72743964</v>
      </c>
      <c r="E29" s="311" t="s">
        <v>332</v>
      </c>
      <c r="F29" s="309">
        <v>3143</v>
      </c>
      <c r="G29" s="312" t="s">
        <v>627</v>
      </c>
      <c r="H29" s="312" t="s">
        <v>278</v>
      </c>
      <c r="I29" s="477">
        <v>37044</v>
      </c>
      <c r="J29" s="472">
        <v>26196</v>
      </c>
      <c r="K29" s="472">
        <v>0</v>
      </c>
      <c r="L29" s="472">
        <v>8854</v>
      </c>
      <c r="M29" s="472">
        <v>524</v>
      </c>
      <c r="N29" s="472">
        <v>1470</v>
      </c>
      <c r="O29" s="473">
        <v>0.1</v>
      </c>
      <c r="P29" s="474">
        <v>0</v>
      </c>
      <c r="Q29" s="483">
        <v>0.1</v>
      </c>
      <c r="R29" s="485">
        <f t="shared" si="33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>SUM(R29:W29)</f>
        <v>0</v>
      </c>
      <c r="Y29" s="475">
        <v>0</v>
      </c>
      <c r="Z29" s="475">
        <v>0</v>
      </c>
      <c r="AA29" s="475">
        <v>0</v>
      </c>
      <c r="AB29" s="475">
        <f t="shared" si="34"/>
        <v>0</v>
      </c>
      <c r="AC29" s="475">
        <f t="shared" si="35"/>
        <v>0</v>
      </c>
      <c r="AD29" s="70">
        <f t="shared" si="36"/>
        <v>0</v>
      </c>
      <c r="AE29" s="70">
        <f t="shared" si="37"/>
        <v>0</v>
      </c>
      <c r="AF29" s="475">
        <v>0</v>
      </c>
      <c r="AG29" s="475">
        <v>0</v>
      </c>
      <c r="AH29" s="475">
        <f t="shared" si="38"/>
        <v>0</v>
      </c>
      <c r="AI29" s="475">
        <f t="shared" si="39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40"/>
        <v>0</v>
      </c>
      <c r="AU29" s="484">
        <f>I29+AI29</f>
        <v>37044</v>
      </c>
      <c r="AV29" s="475">
        <f>J29+X29</f>
        <v>26196</v>
      </c>
      <c r="AW29" s="475">
        <f t="shared" si="41"/>
        <v>0</v>
      </c>
      <c r="AX29" s="475">
        <f t="shared" si="42"/>
        <v>8854</v>
      </c>
      <c r="AY29" s="475">
        <f t="shared" si="42"/>
        <v>524</v>
      </c>
      <c r="AZ29" s="475">
        <f>N29+AH29</f>
        <v>1470</v>
      </c>
      <c r="BA29" s="476">
        <f>O29+AT29</f>
        <v>0.1</v>
      </c>
      <c r="BB29" s="476">
        <f t="shared" si="43"/>
        <v>0</v>
      </c>
      <c r="BC29" s="478">
        <f t="shared" si="43"/>
        <v>0.1</v>
      </c>
    </row>
    <row r="30" spans="1:55" ht="12.95" customHeight="1" x14ac:dyDescent="0.25">
      <c r="A30" s="301">
        <v>4</v>
      </c>
      <c r="B30" s="303">
        <v>4457</v>
      </c>
      <c r="C30" s="303">
        <v>600074609</v>
      </c>
      <c r="D30" s="303">
        <v>72743964</v>
      </c>
      <c r="E30" s="316" t="s">
        <v>333</v>
      </c>
      <c r="F30" s="319"/>
      <c r="G30" s="320"/>
      <c r="H30" s="320"/>
      <c r="I30" s="561">
        <v>9431653</v>
      </c>
      <c r="J30" s="558">
        <v>6786063</v>
      </c>
      <c r="K30" s="558">
        <v>30000</v>
      </c>
      <c r="L30" s="558">
        <v>2303829</v>
      </c>
      <c r="M30" s="558">
        <v>135720</v>
      </c>
      <c r="N30" s="558">
        <v>176041</v>
      </c>
      <c r="O30" s="559">
        <v>14.059200000000002</v>
      </c>
      <c r="P30" s="559">
        <v>10.5192</v>
      </c>
      <c r="Q30" s="563">
        <v>3.54</v>
      </c>
      <c r="R30" s="561">
        <f t="shared" ref="R30:BC30" si="44">SUM(R25:R29)</f>
        <v>0</v>
      </c>
      <c r="S30" s="558">
        <f t="shared" si="44"/>
        <v>0</v>
      </c>
      <c r="T30" s="558">
        <f t="shared" si="44"/>
        <v>-155701</v>
      </c>
      <c r="U30" s="558">
        <f t="shared" si="44"/>
        <v>0</v>
      </c>
      <c r="V30" s="558">
        <f t="shared" si="44"/>
        <v>0</v>
      </c>
      <c r="W30" s="558">
        <f t="shared" si="44"/>
        <v>0</v>
      </c>
      <c r="X30" s="558">
        <f t="shared" si="44"/>
        <v>-155701</v>
      </c>
      <c r="Y30" s="558">
        <f t="shared" si="44"/>
        <v>0</v>
      </c>
      <c r="Z30" s="558">
        <f t="shared" si="44"/>
        <v>0</v>
      </c>
      <c r="AA30" s="558">
        <f t="shared" si="44"/>
        <v>0</v>
      </c>
      <c r="AB30" s="558">
        <f t="shared" si="44"/>
        <v>0</v>
      </c>
      <c r="AC30" s="558">
        <f t="shared" si="44"/>
        <v>-155701</v>
      </c>
      <c r="AD30" s="558">
        <f t="shared" si="44"/>
        <v>-52627</v>
      </c>
      <c r="AE30" s="558">
        <f t="shared" si="44"/>
        <v>-3114</v>
      </c>
      <c r="AF30" s="558">
        <f t="shared" si="44"/>
        <v>0</v>
      </c>
      <c r="AG30" s="558">
        <f t="shared" si="44"/>
        <v>0</v>
      </c>
      <c r="AH30" s="558">
        <f t="shared" si="44"/>
        <v>0</v>
      </c>
      <c r="AI30" s="558">
        <f t="shared" si="44"/>
        <v>-211442</v>
      </c>
      <c r="AJ30" s="559">
        <f t="shared" si="44"/>
        <v>0</v>
      </c>
      <c r="AK30" s="559">
        <f t="shared" si="44"/>
        <v>0</v>
      </c>
      <c r="AL30" s="559">
        <f t="shared" si="44"/>
        <v>0</v>
      </c>
      <c r="AM30" s="559">
        <f t="shared" si="44"/>
        <v>-0.26</v>
      </c>
      <c r="AN30" s="559">
        <f t="shared" si="44"/>
        <v>-0.03</v>
      </c>
      <c r="AO30" s="559">
        <f t="shared" si="44"/>
        <v>0</v>
      </c>
      <c r="AP30" s="559">
        <f t="shared" si="44"/>
        <v>0</v>
      </c>
      <c r="AQ30" s="559">
        <f t="shared" si="44"/>
        <v>0</v>
      </c>
      <c r="AR30" s="559">
        <f t="shared" si="44"/>
        <v>-0.26</v>
      </c>
      <c r="AS30" s="559">
        <f t="shared" si="44"/>
        <v>-0.03</v>
      </c>
      <c r="AT30" s="318">
        <f t="shared" si="44"/>
        <v>-0.28999999999999998</v>
      </c>
      <c r="AU30" s="565">
        <f t="shared" si="44"/>
        <v>9220211</v>
      </c>
      <c r="AV30" s="558">
        <f t="shared" si="44"/>
        <v>6630362</v>
      </c>
      <c r="AW30" s="558">
        <f t="shared" si="44"/>
        <v>30000</v>
      </c>
      <c r="AX30" s="558">
        <f t="shared" si="44"/>
        <v>2251202</v>
      </c>
      <c r="AY30" s="558">
        <f t="shared" si="44"/>
        <v>132606</v>
      </c>
      <c r="AZ30" s="558">
        <f t="shared" si="44"/>
        <v>176041</v>
      </c>
      <c r="BA30" s="559">
        <f t="shared" si="44"/>
        <v>13.769199999999998</v>
      </c>
      <c r="BB30" s="559">
        <f t="shared" si="44"/>
        <v>10.2592</v>
      </c>
      <c r="BC30" s="318">
        <f t="shared" si="44"/>
        <v>3.5100000000000002</v>
      </c>
    </row>
    <row r="31" spans="1:55" ht="12.95" customHeight="1" x14ac:dyDescent="0.25">
      <c r="A31" s="308">
        <v>5</v>
      </c>
      <c r="B31" s="309">
        <v>4456</v>
      </c>
      <c r="C31" s="309">
        <v>600074617</v>
      </c>
      <c r="D31" s="309">
        <v>68430132</v>
      </c>
      <c r="E31" s="311" t="s">
        <v>334</v>
      </c>
      <c r="F31" s="309">
        <v>3113</v>
      </c>
      <c r="G31" s="312" t="s">
        <v>329</v>
      </c>
      <c r="H31" s="312" t="s">
        <v>277</v>
      </c>
      <c r="I31" s="477">
        <v>42644569</v>
      </c>
      <c r="J31" s="472">
        <v>30499054</v>
      </c>
      <c r="K31" s="472">
        <v>229300</v>
      </c>
      <c r="L31" s="472">
        <v>10386184</v>
      </c>
      <c r="M31" s="472">
        <v>609981</v>
      </c>
      <c r="N31" s="472">
        <v>920050</v>
      </c>
      <c r="O31" s="473">
        <v>54.648899999999998</v>
      </c>
      <c r="P31" s="474">
        <v>43.954000000000001</v>
      </c>
      <c r="Q31" s="483">
        <v>10.694899999999999</v>
      </c>
      <c r="R31" s="485">
        <f t="shared" ref="R31:R35" si="45">Y31*-1</f>
        <v>0</v>
      </c>
      <c r="S31" s="475">
        <v>0</v>
      </c>
      <c r="T31" s="475">
        <v>0</v>
      </c>
      <c r="U31" s="475">
        <v>0</v>
      </c>
      <c r="V31" s="475">
        <v>-270694</v>
      </c>
      <c r="W31" s="475">
        <v>0</v>
      </c>
      <c r="X31" s="475">
        <f>SUM(R31:W31)</f>
        <v>-270694</v>
      </c>
      <c r="Y31" s="475">
        <v>0</v>
      </c>
      <c r="Z31" s="475">
        <v>0</v>
      </c>
      <c r="AA31" s="475">
        <v>0</v>
      </c>
      <c r="AB31" s="475">
        <f t="shared" ref="AB31:AB35" si="46">SUM(Y31:AA31)</f>
        <v>0</v>
      </c>
      <c r="AC31" s="475">
        <f t="shared" ref="AC31:AC35" si="47">X31+AB31</f>
        <v>-270694</v>
      </c>
      <c r="AD31" s="70">
        <f t="shared" ref="AD31:AD35" si="48">ROUND((X31+Y31+Z31)*33.8%,0)</f>
        <v>-91495</v>
      </c>
      <c r="AE31" s="70">
        <f t="shared" ref="AE31:AE35" si="49">ROUND(X31*2%,0)</f>
        <v>-5414</v>
      </c>
      <c r="AF31" s="475">
        <v>0</v>
      </c>
      <c r="AG31" s="475">
        <v>367603</v>
      </c>
      <c r="AH31" s="475">
        <f t="shared" ref="AH31:AH35" si="50">SUM(AF31:AG31)</f>
        <v>367603</v>
      </c>
      <c r="AI31" s="475">
        <f t="shared" ref="AI31:AI35" si="51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>AJ31+AL31+AM31+AO31+AP31</f>
        <v>0</v>
      </c>
      <c r="AS31" s="476">
        <f>AK31+AN31+AQ31</f>
        <v>0</v>
      </c>
      <c r="AT31" s="478">
        <f t="shared" ref="AT31:AT35" si="52">SUM(AR31:AS31)</f>
        <v>0</v>
      </c>
      <c r="AU31" s="484">
        <f>I31+AI31</f>
        <v>42644569</v>
      </c>
      <c r="AV31" s="475">
        <f>J31+X31</f>
        <v>30228360</v>
      </c>
      <c r="AW31" s="475">
        <f t="shared" ref="AW31:AW35" si="53">K31+AB31</f>
        <v>229300</v>
      </c>
      <c r="AX31" s="475">
        <f t="shared" ref="AX31:AY35" si="54">L31+AD31</f>
        <v>10294689</v>
      </c>
      <c r="AY31" s="475">
        <f t="shared" si="54"/>
        <v>604567</v>
      </c>
      <c r="AZ31" s="475">
        <f>N31+AH31</f>
        <v>1287653</v>
      </c>
      <c r="BA31" s="476">
        <f>O31+AT31</f>
        <v>54.648899999999998</v>
      </c>
      <c r="BB31" s="476">
        <f t="shared" ref="BB31:BC35" si="55">P31+AR31</f>
        <v>43.954000000000001</v>
      </c>
      <c r="BC31" s="478">
        <f t="shared" si="55"/>
        <v>10.694899999999999</v>
      </c>
    </row>
    <row r="32" spans="1:55" ht="12.95" customHeight="1" x14ac:dyDescent="0.25">
      <c r="A32" s="308">
        <v>5</v>
      </c>
      <c r="B32" s="309">
        <v>4456</v>
      </c>
      <c r="C32" s="309">
        <v>600074617</v>
      </c>
      <c r="D32" s="309">
        <v>68430132</v>
      </c>
      <c r="E32" s="311" t="s">
        <v>334</v>
      </c>
      <c r="F32" s="309">
        <v>3113</v>
      </c>
      <c r="G32" s="312" t="s">
        <v>319</v>
      </c>
      <c r="H32" s="312" t="s">
        <v>278</v>
      </c>
      <c r="I32" s="477">
        <v>2675390</v>
      </c>
      <c r="J32" s="472">
        <v>1966230</v>
      </c>
      <c r="K32" s="472">
        <v>0</v>
      </c>
      <c r="L32" s="472">
        <v>664585</v>
      </c>
      <c r="M32" s="472">
        <v>39325</v>
      </c>
      <c r="N32" s="472">
        <v>5250</v>
      </c>
      <c r="O32" s="473">
        <v>5.74</v>
      </c>
      <c r="P32" s="474">
        <v>5.74</v>
      </c>
      <c r="Q32" s="483">
        <v>0</v>
      </c>
      <c r="R32" s="485">
        <f t="shared" si="45"/>
        <v>0</v>
      </c>
      <c r="S32" s="475">
        <v>43306</v>
      </c>
      <c r="T32" s="475">
        <v>0</v>
      </c>
      <c r="U32" s="475">
        <v>0</v>
      </c>
      <c r="V32" s="475">
        <v>0</v>
      </c>
      <c r="W32" s="475">
        <v>0</v>
      </c>
      <c r="X32" s="475">
        <f>SUM(R32:W32)</f>
        <v>43306</v>
      </c>
      <c r="Y32" s="475">
        <v>0</v>
      </c>
      <c r="Z32" s="475">
        <v>0</v>
      </c>
      <c r="AA32" s="475">
        <v>0</v>
      </c>
      <c r="AB32" s="475">
        <f t="shared" si="46"/>
        <v>0</v>
      </c>
      <c r="AC32" s="475">
        <f t="shared" si="47"/>
        <v>43306</v>
      </c>
      <c r="AD32" s="70">
        <f t="shared" si="48"/>
        <v>14637</v>
      </c>
      <c r="AE32" s="70">
        <f t="shared" si="49"/>
        <v>866</v>
      </c>
      <c r="AF32" s="475">
        <v>500</v>
      </c>
      <c r="AG32" s="475">
        <v>0</v>
      </c>
      <c r="AH32" s="475">
        <f t="shared" si="50"/>
        <v>500</v>
      </c>
      <c r="AI32" s="475">
        <f t="shared" si="51"/>
        <v>59309</v>
      </c>
      <c r="AJ32" s="476">
        <v>0</v>
      </c>
      <c r="AK32" s="476">
        <v>0</v>
      </c>
      <c r="AL32" s="476">
        <v>0.13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>AJ32+AL32+AM32+AO32+AP32</f>
        <v>0.13</v>
      </c>
      <c r="AS32" s="476">
        <f>AK32+AN32+AQ32</f>
        <v>0</v>
      </c>
      <c r="AT32" s="478">
        <f t="shared" si="52"/>
        <v>0.13</v>
      </c>
      <c r="AU32" s="484">
        <f>I32+AI32</f>
        <v>2734699</v>
      </c>
      <c r="AV32" s="475">
        <f>J32+X32</f>
        <v>2009536</v>
      </c>
      <c r="AW32" s="475">
        <f t="shared" si="53"/>
        <v>0</v>
      </c>
      <c r="AX32" s="475">
        <f t="shared" si="54"/>
        <v>679222</v>
      </c>
      <c r="AY32" s="475">
        <f t="shared" si="54"/>
        <v>40191</v>
      </c>
      <c r="AZ32" s="475">
        <f>N32+AH32</f>
        <v>5750</v>
      </c>
      <c r="BA32" s="476">
        <f>O32+AT32</f>
        <v>5.87</v>
      </c>
      <c r="BB32" s="476">
        <f t="shared" si="55"/>
        <v>5.87</v>
      </c>
      <c r="BC32" s="478">
        <f t="shared" si="55"/>
        <v>0</v>
      </c>
    </row>
    <row r="33" spans="1:55" ht="12.95" customHeight="1" x14ac:dyDescent="0.25">
      <c r="A33" s="308">
        <v>5</v>
      </c>
      <c r="B33" s="309">
        <v>4456</v>
      </c>
      <c r="C33" s="309">
        <v>600074617</v>
      </c>
      <c r="D33" s="309">
        <v>68430132</v>
      </c>
      <c r="E33" s="311" t="s">
        <v>334</v>
      </c>
      <c r="F33" s="309">
        <v>3141</v>
      </c>
      <c r="G33" s="312" t="s">
        <v>315</v>
      </c>
      <c r="H33" s="312" t="s">
        <v>278</v>
      </c>
      <c r="I33" s="477">
        <v>4320447</v>
      </c>
      <c r="J33" s="472">
        <v>3109266</v>
      </c>
      <c r="K33" s="472">
        <v>45000</v>
      </c>
      <c r="L33" s="472">
        <v>1066142</v>
      </c>
      <c r="M33" s="472">
        <v>62185</v>
      </c>
      <c r="N33" s="472">
        <v>37854</v>
      </c>
      <c r="O33" s="473">
        <v>9.93</v>
      </c>
      <c r="P33" s="474">
        <v>0</v>
      </c>
      <c r="Q33" s="483">
        <v>9.93</v>
      </c>
      <c r="R33" s="485">
        <f t="shared" si="45"/>
        <v>0</v>
      </c>
      <c r="S33" s="475">
        <v>0</v>
      </c>
      <c r="T33" s="475">
        <v>39646</v>
      </c>
      <c r="U33" s="475">
        <v>0</v>
      </c>
      <c r="V33" s="475">
        <v>0</v>
      </c>
      <c r="W33" s="475">
        <v>0</v>
      </c>
      <c r="X33" s="475">
        <f>SUM(R33:W33)</f>
        <v>39646</v>
      </c>
      <c r="Y33" s="475">
        <v>0</v>
      </c>
      <c r="Z33" s="475">
        <v>0</v>
      </c>
      <c r="AA33" s="475">
        <v>0</v>
      </c>
      <c r="AB33" s="475">
        <f t="shared" si="46"/>
        <v>0</v>
      </c>
      <c r="AC33" s="475">
        <f t="shared" si="47"/>
        <v>39646</v>
      </c>
      <c r="AD33" s="70">
        <f t="shared" si="48"/>
        <v>13400</v>
      </c>
      <c r="AE33" s="70">
        <f t="shared" si="49"/>
        <v>793</v>
      </c>
      <c r="AF33" s="475">
        <v>0</v>
      </c>
      <c r="AG33" s="475">
        <v>0</v>
      </c>
      <c r="AH33" s="475">
        <f t="shared" si="50"/>
        <v>0</v>
      </c>
      <c r="AI33" s="475">
        <f t="shared" si="51"/>
        <v>53839</v>
      </c>
      <c r="AJ33" s="476">
        <v>0</v>
      </c>
      <c r="AK33" s="476">
        <v>0</v>
      </c>
      <c r="AL33" s="476">
        <v>0</v>
      </c>
      <c r="AM33" s="476">
        <v>0</v>
      </c>
      <c r="AN33" s="476">
        <v>0.13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0.13</v>
      </c>
      <c r="AT33" s="478">
        <f t="shared" si="52"/>
        <v>0.13</v>
      </c>
      <c r="AU33" s="484">
        <f>I33+AI33</f>
        <v>4374286</v>
      </c>
      <c r="AV33" s="475">
        <f>J33+X33</f>
        <v>3148912</v>
      </c>
      <c r="AW33" s="475">
        <f t="shared" si="53"/>
        <v>45000</v>
      </c>
      <c r="AX33" s="475">
        <f t="shared" si="54"/>
        <v>1079542</v>
      </c>
      <c r="AY33" s="475">
        <f t="shared" si="54"/>
        <v>62978</v>
      </c>
      <c r="AZ33" s="475">
        <f>N33+AH33</f>
        <v>37854</v>
      </c>
      <c r="BA33" s="476">
        <f>O33+AT33</f>
        <v>10.06</v>
      </c>
      <c r="BB33" s="476">
        <f t="shared" si="55"/>
        <v>0</v>
      </c>
      <c r="BC33" s="478">
        <f t="shared" si="55"/>
        <v>10.06</v>
      </c>
    </row>
    <row r="34" spans="1:55" ht="12.95" customHeight="1" x14ac:dyDescent="0.25">
      <c r="A34" s="308">
        <v>5</v>
      </c>
      <c r="B34" s="309">
        <v>4456</v>
      </c>
      <c r="C34" s="309">
        <v>600074617</v>
      </c>
      <c r="D34" s="309">
        <v>68430132</v>
      </c>
      <c r="E34" s="311" t="s">
        <v>334</v>
      </c>
      <c r="F34" s="309">
        <v>3143</v>
      </c>
      <c r="G34" s="312" t="s">
        <v>626</v>
      </c>
      <c r="H34" s="312" t="s">
        <v>277</v>
      </c>
      <c r="I34" s="477">
        <v>3141546</v>
      </c>
      <c r="J34" s="472">
        <v>2254246</v>
      </c>
      <c r="K34" s="472">
        <v>60000</v>
      </c>
      <c r="L34" s="472">
        <v>782215</v>
      </c>
      <c r="M34" s="472">
        <v>45085</v>
      </c>
      <c r="N34" s="472">
        <v>0</v>
      </c>
      <c r="O34" s="473">
        <v>4.3929999999999998</v>
      </c>
      <c r="P34" s="474">
        <v>4.3929999999999998</v>
      </c>
      <c r="Q34" s="483">
        <v>0</v>
      </c>
      <c r="R34" s="485">
        <f t="shared" si="45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46"/>
        <v>0</v>
      </c>
      <c r="AC34" s="475">
        <f t="shared" si="47"/>
        <v>0</v>
      </c>
      <c r="AD34" s="70">
        <f t="shared" si="48"/>
        <v>0</v>
      </c>
      <c r="AE34" s="70">
        <f t="shared" si="49"/>
        <v>0</v>
      </c>
      <c r="AF34" s="475">
        <v>0</v>
      </c>
      <c r="AG34" s="475">
        <v>0</v>
      </c>
      <c r="AH34" s="475">
        <f t="shared" si="50"/>
        <v>0</v>
      </c>
      <c r="AI34" s="475">
        <f t="shared" si="51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52"/>
        <v>0</v>
      </c>
      <c r="AU34" s="484">
        <f>I34+AI34</f>
        <v>3141546</v>
      </c>
      <c r="AV34" s="475">
        <f>J34+X34</f>
        <v>2254246</v>
      </c>
      <c r="AW34" s="475">
        <f t="shared" si="53"/>
        <v>60000</v>
      </c>
      <c r="AX34" s="475">
        <f t="shared" si="54"/>
        <v>782215</v>
      </c>
      <c r="AY34" s="475">
        <f t="shared" si="54"/>
        <v>45085</v>
      </c>
      <c r="AZ34" s="475">
        <f>N34+AH34</f>
        <v>0</v>
      </c>
      <c r="BA34" s="476">
        <f>O34+AT34</f>
        <v>4.3929999999999998</v>
      </c>
      <c r="BB34" s="476">
        <f t="shared" si="55"/>
        <v>4.3929999999999998</v>
      </c>
      <c r="BC34" s="478">
        <f t="shared" si="55"/>
        <v>0</v>
      </c>
    </row>
    <row r="35" spans="1:55" ht="12.95" customHeight="1" x14ac:dyDescent="0.25">
      <c r="A35" s="308">
        <v>5</v>
      </c>
      <c r="B35" s="309">
        <v>4456</v>
      </c>
      <c r="C35" s="309">
        <v>600074617</v>
      </c>
      <c r="D35" s="309">
        <v>68430132</v>
      </c>
      <c r="E35" s="311" t="s">
        <v>334</v>
      </c>
      <c r="F35" s="309">
        <v>3143</v>
      </c>
      <c r="G35" s="312" t="s">
        <v>627</v>
      </c>
      <c r="H35" s="312" t="s">
        <v>278</v>
      </c>
      <c r="I35" s="477">
        <v>111887</v>
      </c>
      <c r="J35" s="472">
        <v>79122</v>
      </c>
      <c r="K35" s="472">
        <v>0</v>
      </c>
      <c r="L35" s="472">
        <v>26743</v>
      </c>
      <c r="M35" s="472">
        <v>1582</v>
      </c>
      <c r="N35" s="472">
        <v>4440</v>
      </c>
      <c r="O35" s="473">
        <v>0.31</v>
      </c>
      <c r="P35" s="474">
        <v>0</v>
      </c>
      <c r="Q35" s="483">
        <v>0.31</v>
      </c>
      <c r="R35" s="485">
        <f t="shared" si="45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>SUM(R35:W35)</f>
        <v>0</v>
      </c>
      <c r="Y35" s="475">
        <v>0</v>
      </c>
      <c r="Z35" s="475">
        <v>0</v>
      </c>
      <c r="AA35" s="475">
        <v>0</v>
      </c>
      <c r="AB35" s="475">
        <f t="shared" si="46"/>
        <v>0</v>
      </c>
      <c r="AC35" s="475">
        <f t="shared" si="47"/>
        <v>0</v>
      </c>
      <c r="AD35" s="70">
        <f t="shared" si="48"/>
        <v>0</v>
      </c>
      <c r="AE35" s="70">
        <f t="shared" si="49"/>
        <v>0</v>
      </c>
      <c r="AF35" s="475">
        <v>0</v>
      </c>
      <c r="AG35" s="475">
        <v>0</v>
      </c>
      <c r="AH35" s="475">
        <f t="shared" si="50"/>
        <v>0</v>
      </c>
      <c r="AI35" s="475">
        <f t="shared" si="51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52"/>
        <v>0</v>
      </c>
      <c r="AU35" s="484">
        <f>I35+AI35</f>
        <v>111887</v>
      </c>
      <c r="AV35" s="475">
        <f>J35+X35</f>
        <v>79122</v>
      </c>
      <c r="AW35" s="475">
        <f t="shared" si="53"/>
        <v>0</v>
      </c>
      <c r="AX35" s="475">
        <f t="shared" si="54"/>
        <v>26743</v>
      </c>
      <c r="AY35" s="475">
        <f t="shared" si="54"/>
        <v>1582</v>
      </c>
      <c r="AZ35" s="475">
        <f>N35+AH35</f>
        <v>4440</v>
      </c>
      <c r="BA35" s="476">
        <f>O35+AT35</f>
        <v>0.31</v>
      </c>
      <c r="BB35" s="476">
        <f t="shared" si="55"/>
        <v>0</v>
      </c>
      <c r="BC35" s="478">
        <f t="shared" si="55"/>
        <v>0.31</v>
      </c>
    </row>
    <row r="36" spans="1:55" ht="12.95" customHeight="1" x14ac:dyDescent="0.25">
      <c r="A36" s="301">
        <v>5</v>
      </c>
      <c r="B36" s="303">
        <v>4456</v>
      </c>
      <c r="C36" s="303">
        <v>600074617</v>
      </c>
      <c r="D36" s="303">
        <v>68430132</v>
      </c>
      <c r="E36" s="316" t="s">
        <v>335</v>
      </c>
      <c r="F36" s="319"/>
      <c r="G36" s="320"/>
      <c r="H36" s="320"/>
      <c r="I36" s="561">
        <v>52893839</v>
      </c>
      <c r="J36" s="558">
        <v>37907918</v>
      </c>
      <c r="K36" s="558">
        <v>334300</v>
      </c>
      <c r="L36" s="558">
        <v>12925869</v>
      </c>
      <c r="M36" s="558">
        <v>758158</v>
      </c>
      <c r="N36" s="558">
        <v>967594</v>
      </c>
      <c r="O36" s="559">
        <v>75.021900000000002</v>
      </c>
      <c r="P36" s="559">
        <v>54.087000000000003</v>
      </c>
      <c r="Q36" s="563">
        <v>20.934899999999995</v>
      </c>
      <c r="R36" s="561">
        <f t="shared" ref="R36:BC36" si="56">SUM(R31:R35)</f>
        <v>0</v>
      </c>
      <c r="S36" s="558">
        <f t="shared" si="56"/>
        <v>43306</v>
      </c>
      <c r="T36" s="558">
        <f t="shared" si="56"/>
        <v>39646</v>
      </c>
      <c r="U36" s="558">
        <f t="shared" si="56"/>
        <v>0</v>
      </c>
      <c r="V36" s="558">
        <f t="shared" si="56"/>
        <v>-270694</v>
      </c>
      <c r="W36" s="558">
        <f t="shared" si="56"/>
        <v>0</v>
      </c>
      <c r="X36" s="558">
        <f t="shared" si="56"/>
        <v>-187742</v>
      </c>
      <c r="Y36" s="558">
        <f t="shared" si="56"/>
        <v>0</v>
      </c>
      <c r="Z36" s="558">
        <f t="shared" si="56"/>
        <v>0</v>
      </c>
      <c r="AA36" s="558">
        <f t="shared" si="56"/>
        <v>0</v>
      </c>
      <c r="AB36" s="558">
        <f t="shared" si="56"/>
        <v>0</v>
      </c>
      <c r="AC36" s="558">
        <f t="shared" si="56"/>
        <v>-187742</v>
      </c>
      <c r="AD36" s="558">
        <f t="shared" si="56"/>
        <v>-63458</v>
      </c>
      <c r="AE36" s="558">
        <f t="shared" si="56"/>
        <v>-3755</v>
      </c>
      <c r="AF36" s="558">
        <f t="shared" si="56"/>
        <v>500</v>
      </c>
      <c r="AG36" s="558">
        <f t="shared" si="56"/>
        <v>367603</v>
      </c>
      <c r="AH36" s="558">
        <f t="shared" si="56"/>
        <v>368103</v>
      </c>
      <c r="AI36" s="558">
        <f t="shared" si="56"/>
        <v>113148</v>
      </c>
      <c r="AJ36" s="559">
        <f t="shared" si="56"/>
        <v>0</v>
      </c>
      <c r="AK36" s="559">
        <f t="shared" si="56"/>
        <v>0</v>
      </c>
      <c r="AL36" s="559">
        <f t="shared" si="56"/>
        <v>0.13</v>
      </c>
      <c r="AM36" s="559">
        <f t="shared" si="56"/>
        <v>0</v>
      </c>
      <c r="AN36" s="559">
        <f t="shared" si="56"/>
        <v>0.13</v>
      </c>
      <c r="AO36" s="559">
        <f t="shared" si="56"/>
        <v>0</v>
      </c>
      <c r="AP36" s="559">
        <f t="shared" si="56"/>
        <v>0</v>
      </c>
      <c r="AQ36" s="559">
        <f t="shared" si="56"/>
        <v>0</v>
      </c>
      <c r="AR36" s="559">
        <f t="shared" si="56"/>
        <v>0.13</v>
      </c>
      <c r="AS36" s="559">
        <f t="shared" si="56"/>
        <v>0.13</v>
      </c>
      <c r="AT36" s="318">
        <f t="shared" si="56"/>
        <v>0.26</v>
      </c>
      <c r="AU36" s="565">
        <f t="shared" si="56"/>
        <v>53006987</v>
      </c>
      <c r="AV36" s="558">
        <f t="shared" si="56"/>
        <v>37720176</v>
      </c>
      <c r="AW36" s="558">
        <f t="shared" si="56"/>
        <v>334300</v>
      </c>
      <c r="AX36" s="558">
        <f t="shared" si="56"/>
        <v>12862411</v>
      </c>
      <c r="AY36" s="558">
        <f t="shared" si="56"/>
        <v>754403</v>
      </c>
      <c r="AZ36" s="558">
        <f t="shared" si="56"/>
        <v>1335697</v>
      </c>
      <c r="BA36" s="559">
        <f t="shared" si="56"/>
        <v>75.281899999999993</v>
      </c>
      <c r="BB36" s="559">
        <f t="shared" si="56"/>
        <v>54.216999999999999</v>
      </c>
      <c r="BC36" s="318">
        <f t="shared" si="56"/>
        <v>21.064899999999998</v>
      </c>
    </row>
    <row r="37" spans="1:55" ht="12.95" customHeight="1" x14ac:dyDescent="0.25">
      <c r="A37" s="308">
        <v>6</v>
      </c>
      <c r="B37" s="309">
        <v>4478</v>
      </c>
      <c r="C37" s="309">
        <v>600075141</v>
      </c>
      <c r="D37" s="309">
        <v>70975191</v>
      </c>
      <c r="E37" s="311" t="s">
        <v>336</v>
      </c>
      <c r="F37" s="309">
        <v>3114</v>
      </c>
      <c r="G37" s="314" t="s">
        <v>556</v>
      </c>
      <c r="H37" s="312" t="s">
        <v>277</v>
      </c>
      <c r="I37" s="477">
        <v>8876715</v>
      </c>
      <c r="J37" s="472">
        <v>6366467</v>
      </c>
      <c r="K37" s="472">
        <v>54000</v>
      </c>
      <c r="L37" s="472">
        <v>2170118</v>
      </c>
      <c r="M37" s="472">
        <v>127330</v>
      </c>
      <c r="N37" s="472">
        <v>158800</v>
      </c>
      <c r="O37" s="473">
        <v>11.706</v>
      </c>
      <c r="P37" s="474">
        <v>8.3436000000000003</v>
      </c>
      <c r="Q37" s="483">
        <v>3.3624000000000001</v>
      </c>
      <c r="R37" s="485">
        <f t="shared" ref="R37:R41" si="57">Y37*-1</f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>SUM(R37:W37)</f>
        <v>0</v>
      </c>
      <c r="Y37" s="475">
        <v>0</v>
      </c>
      <c r="Z37" s="475">
        <v>0</v>
      </c>
      <c r="AA37" s="475">
        <v>0</v>
      </c>
      <c r="AB37" s="475">
        <f t="shared" ref="AB37:AB41" si="58">SUM(Y37:AA37)</f>
        <v>0</v>
      </c>
      <c r="AC37" s="475">
        <f t="shared" ref="AC37:AC41" si="59">X37+AB37</f>
        <v>0</v>
      </c>
      <c r="AD37" s="70">
        <f t="shared" ref="AD37:AD41" si="60">ROUND((X37+Y37+Z37)*33.8%,0)</f>
        <v>0</v>
      </c>
      <c r="AE37" s="70">
        <f t="shared" ref="AE37:AE41" si="61">ROUND(X37*2%,0)</f>
        <v>0</v>
      </c>
      <c r="AF37" s="475">
        <v>0</v>
      </c>
      <c r="AG37" s="475">
        <v>0</v>
      </c>
      <c r="AH37" s="475">
        <f t="shared" ref="AH37:AH41" si="62">SUM(AF37:AG37)</f>
        <v>0</v>
      </c>
      <c r="AI37" s="475">
        <f t="shared" ref="AI37:AI41" si="63">AC37+AD37+AE37+AH37</f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ref="AT37:AT41" si="64">SUM(AR37:AS37)</f>
        <v>0</v>
      </c>
      <c r="AU37" s="484">
        <f>I37+AI37</f>
        <v>8876715</v>
      </c>
      <c r="AV37" s="475">
        <f>J37+X37</f>
        <v>6366467</v>
      </c>
      <c r="AW37" s="475">
        <f t="shared" ref="AW37:AW41" si="65">K37+AB37</f>
        <v>54000</v>
      </c>
      <c r="AX37" s="475">
        <f t="shared" ref="AX37:AY41" si="66">L37+AD37</f>
        <v>2170118</v>
      </c>
      <c r="AY37" s="475">
        <f t="shared" si="66"/>
        <v>127330</v>
      </c>
      <c r="AZ37" s="475">
        <f>N37+AH37</f>
        <v>158800</v>
      </c>
      <c r="BA37" s="476">
        <f>O37+AT37</f>
        <v>11.706</v>
      </c>
      <c r="BB37" s="476">
        <f t="shared" ref="BB37:BC41" si="67">P37+AR37</f>
        <v>8.3436000000000003</v>
      </c>
      <c r="BC37" s="478">
        <f t="shared" si="67"/>
        <v>3.3624000000000001</v>
      </c>
    </row>
    <row r="38" spans="1:55" ht="12.95" customHeight="1" x14ac:dyDescent="0.25">
      <c r="A38" s="308">
        <v>6</v>
      </c>
      <c r="B38" s="309">
        <v>4478</v>
      </c>
      <c r="C38" s="309">
        <v>600075141</v>
      </c>
      <c r="D38" s="309">
        <v>70975191</v>
      </c>
      <c r="E38" s="311" t="s">
        <v>336</v>
      </c>
      <c r="F38" s="309">
        <v>3114</v>
      </c>
      <c r="G38" s="314" t="s">
        <v>319</v>
      </c>
      <c r="H38" s="312" t="s">
        <v>278</v>
      </c>
      <c r="I38" s="477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3">
        <v>0</v>
      </c>
      <c r="P38" s="474">
        <v>0</v>
      </c>
      <c r="Q38" s="483">
        <v>0</v>
      </c>
      <c r="R38" s="485">
        <f t="shared" si="57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58"/>
        <v>0</v>
      </c>
      <c r="AC38" s="475">
        <f t="shared" si="59"/>
        <v>0</v>
      </c>
      <c r="AD38" s="70">
        <f t="shared" si="60"/>
        <v>0</v>
      </c>
      <c r="AE38" s="70">
        <f t="shared" si="61"/>
        <v>0</v>
      </c>
      <c r="AF38" s="475">
        <v>0</v>
      </c>
      <c r="AG38" s="475">
        <v>0</v>
      </c>
      <c r="AH38" s="475">
        <f t="shared" si="62"/>
        <v>0</v>
      </c>
      <c r="AI38" s="475">
        <f t="shared" si="63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64"/>
        <v>0</v>
      </c>
      <c r="AU38" s="484">
        <f>I38+AI38</f>
        <v>0</v>
      </c>
      <c r="AV38" s="475">
        <f>J38+X38</f>
        <v>0</v>
      </c>
      <c r="AW38" s="475">
        <f t="shared" si="65"/>
        <v>0</v>
      </c>
      <c r="AX38" s="475">
        <f t="shared" si="66"/>
        <v>0</v>
      </c>
      <c r="AY38" s="475">
        <f t="shared" si="66"/>
        <v>0</v>
      </c>
      <c r="AZ38" s="475">
        <f>N38+AH38</f>
        <v>0</v>
      </c>
      <c r="BA38" s="476">
        <f>O38+AT38</f>
        <v>0</v>
      </c>
      <c r="BB38" s="476">
        <f t="shared" si="67"/>
        <v>0</v>
      </c>
      <c r="BC38" s="478">
        <f t="shared" si="67"/>
        <v>0</v>
      </c>
    </row>
    <row r="39" spans="1:55" ht="12.95" customHeight="1" x14ac:dyDescent="0.25">
      <c r="A39" s="308">
        <v>6</v>
      </c>
      <c r="B39" s="309">
        <v>4478</v>
      </c>
      <c r="C39" s="309">
        <v>600075141</v>
      </c>
      <c r="D39" s="309">
        <v>70975191</v>
      </c>
      <c r="E39" s="311" t="s">
        <v>336</v>
      </c>
      <c r="F39" s="309">
        <v>3114</v>
      </c>
      <c r="G39" s="314" t="s">
        <v>313</v>
      </c>
      <c r="H39" s="312" t="s">
        <v>277</v>
      </c>
      <c r="I39" s="477">
        <v>581173</v>
      </c>
      <c r="J39" s="472">
        <v>427963</v>
      </c>
      <c r="K39" s="472">
        <v>0</v>
      </c>
      <c r="L39" s="472">
        <v>144651</v>
      </c>
      <c r="M39" s="472">
        <v>8559</v>
      </c>
      <c r="N39" s="472">
        <v>0</v>
      </c>
      <c r="O39" s="473">
        <v>0.97209999999999996</v>
      </c>
      <c r="P39" s="474">
        <v>0.97209999999999996</v>
      </c>
      <c r="Q39" s="483">
        <v>0</v>
      </c>
      <c r="R39" s="485">
        <f t="shared" si="57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>SUM(R39:W39)</f>
        <v>0</v>
      </c>
      <c r="Y39" s="475">
        <v>0</v>
      </c>
      <c r="Z39" s="475">
        <v>0</v>
      </c>
      <c r="AA39" s="475">
        <v>0</v>
      </c>
      <c r="AB39" s="475">
        <f t="shared" si="58"/>
        <v>0</v>
      </c>
      <c r="AC39" s="475">
        <f t="shared" si="59"/>
        <v>0</v>
      </c>
      <c r="AD39" s="70">
        <f t="shared" si="60"/>
        <v>0</v>
      </c>
      <c r="AE39" s="70">
        <f t="shared" si="61"/>
        <v>0</v>
      </c>
      <c r="AF39" s="475">
        <v>0</v>
      </c>
      <c r="AG39" s="475">
        <v>0</v>
      </c>
      <c r="AH39" s="475">
        <f t="shared" si="62"/>
        <v>0</v>
      </c>
      <c r="AI39" s="475">
        <f t="shared" si="63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476">
        <f>AJ39+AL39+AM39+AO39+AP39</f>
        <v>0</v>
      </c>
      <c r="AS39" s="476">
        <f>AK39+AN39+AQ39</f>
        <v>0</v>
      </c>
      <c r="AT39" s="478">
        <f t="shared" si="64"/>
        <v>0</v>
      </c>
      <c r="AU39" s="484">
        <f>I39+AI39</f>
        <v>581173</v>
      </c>
      <c r="AV39" s="475">
        <f>J39+X39</f>
        <v>427963</v>
      </c>
      <c r="AW39" s="475">
        <f t="shared" si="65"/>
        <v>0</v>
      </c>
      <c r="AX39" s="475">
        <f t="shared" si="66"/>
        <v>144651</v>
      </c>
      <c r="AY39" s="475">
        <f t="shared" si="66"/>
        <v>8559</v>
      </c>
      <c r="AZ39" s="475">
        <f>N39+AH39</f>
        <v>0</v>
      </c>
      <c r="BA39" s="476">
        <f>O39+AT39</f>
        <v>0.97209999999999996</v>
      </c>
      <c r="BB39" s="476">
        <f t="shared" si="67"/>
        <v>0.97209999999999996</v>
      </c>
      <c r="BC39" s="478">
        <f t="shared" si="67"/>
        <v>0</v>
      </c>
    </row>
    <row r="40" spans="1:55" ht="12.95" customHeight="1" x14ac:dyDescent="0.25">
      <c r="A40" s="308">
        <v>6</v>
      </c>
      <c r="B40" s="309">
        <v>4478</v>
      </c>
      <c r="C40" s="309">
        <v>600075141</v>
      </c>
      <c r="D40" s="309">
        <v>70975191</v>
      </c>
      <c r="E40" s="311" t="s">
        <v>336</v>
      </c>
      <c r="F40" s="309">
        <v>3143</v>
      </c>
      <c r="G40" s="312" t="s">
        <v>626</v>
      </c>
      <c r="H40" s="312" t="s">
        <v>277</v>
      </c>
      <c r="I40" s="477">
        <v>403516</v>
      </c>
      <c r="J40" s="472">
        <v>297140</v>
      </c>
      <c r="K40" s="472">
        <v>0</v>
      </c>
      <c r="L40" s="472">
        <v>100433</v>
      </c>
      <c r="M40" s="472">
        <v>5943</v>
      </c>
      <c r="N40" s="472">
        <v>0</v>
      </c>
      <c r="O40" s="473">
        <v>0.64270000000000005</v>
      </c>
      <c r="P40" s="474">
        <v>0.64270000000000005</v>
      </c>
      <c r="Q40" s="483">
        <v>0</v>
      </c>
      <c r="R40" s="485">
        <f t="shared" si="57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>SUM(R40:W40)</f>
        <v>0</v>
      </c>
      <c r="Y40" s="475">
        <v>0</v>
      </c>
      <c r="Z40" s="475">
        <v>0</v>
      </c>
      <c r="AA40" s="475">
        <v>0</v>
      </c>
      <c r="AB40" s="475">
        <f t="shared" si="58"/>
        <v>0</v>
      </c>
      <c r="AC40" s="475">
        <f t="shared" si="59"/>
        <v>0</v>
      </c>
      <c r="AD40" s="70">
        <f t="shared" si="60"/>
        <v>0</v>
      </c>
      <c r="AE40" s="70">
        <f t="shared" si="61"/>
        <v>0</v>
      </c>
      <c r="AF40" s="475">
        <v>0</v>
      </c>
      <c r="AG40" s="475">
        <v>0</v>
      </c>
      <c r="AH40" s="475">
        <f t="shared" si="62"/>
        <v>0</v>
      </c>
      <c r="AI40" s="475">
        <f t="shared" si="63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si="64"/>
        <v>0</v>
      </c>
      <c r="AU40" s="484">
        <f>I40+AI40</f>
        <v>403516</v>
      </c>
      <c r="AV40" s="475">
        <f>J40+X40</f>
        <v>297140</v>
      </c>
      <c r="AW40" s="475">
        <f t="shared" si="65"/>
        <v>0</v>
      </c>
      <c r="AX40" s="475">
        <f t="shared" si="66"/>
        <v>100433</v>
      </c>
      <c r="AY40" s="475">
        <f t="shared" si="66"/>
        <v>5943</v>
      </c>
      <c r="AZ40" s="475">
        <f>N40+AH40</f>
        <v>0</v>
      </c>
      <c r="BA40" s="476">
        <f>O40+AT40</f>
        <v>0.64270000000000005</v>
      </c>
      <c r="BB40" s="476">
        <f t="shared" si="67"/>
        <v>0.64270000000000005</v>
      </c>
      <c r="BC40" s="478">
        <f t="shared" si="67"/>
        <v>0</v>
      </c>
    </row>
    <row r="41" spans="1:55" ht="12.95" customHeight="1" x14ac:dyDescent="0.25">
      <c r="A41" s="308">
        <v>6</v>
      </c>
      <c r="B41" s="309">
        <v>4478</v>
      </c>
      <c r="C41" s="309">
        <v>600075141</v>
      </c>
      <c r="D41" s="309">
        <v>70975191</v>
      </c>
      <c r="E41" s="311" t="s">
        <v>336</v>
      </c>
      <c r="F41" s="309">
        <v>3143</v>
      </c>
      <c r="G41" s="312" t="s">
        <v>627</v>
      </c>
      <c r="H41" s="312" t="s">
        <v>278</v>
      </c>
      <c r="I41" s="477">
        <v>7560</v>
      </c>
      <c r="J41" s="472">
        <v>5346</v>
      </c>
      <c r="K41" s="472">
        <v>0</v>
      </c>
      <c r="L41" s="472">
        <v>1807</v>
      </c>
      <c r="M41" s="472">
        <v>107</v>
      </c>
      <c r="N41" s="472">
        <v>300</v>
      </c>
      <c r="O41" s="473">
        <v>0.02</v>
      </c>
      <c r="P41" s="474">
        <v>0</v>
      </c>
      <c r="Q41" s="483">
        <v>0.02</v>
      </c>
      <c r="R41" s="485">
        <f t="shared" si="57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si="58"/>
        <v>0</v>
      </c>
      <c r="AC41" s="475">
        <f t="shared" si="59"/>
        <v>0</v>
      </c>
      <c r="AD41" s="70">
        <f t="shared" si="60"/>
        <v>0</v>
      </c>
      <c r="AE41" s="70">
        <f t="shared" si="61"/>
        <v>0</v>
      </c>
      <c r="AF41" s="475">
        <v>0</v>
      </c>
      <c r="AG41" s="475">
        <v>0</v>
      </c>
      <c r="AH41" s="475">
        <f t="shared" si="62"/>
        <v>0</v>
      </c>
      <c r="AI41" s="475">
        <f t="shared" si="63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64"/>
        <v>0</v>
      </c>
      <c r="AU41" s="484">
        <f>I41+AI41</f>
        <v>7560</v>
      </c>
      <c r="AV41" s="475">
        <f>J41+X41</f>
        <v>5346</v>
      </c>
      <c r="AW41" s="475">
        <f t="shared" si="65"/>
        <v>0</v>
      </c>
      <c r="AX41" s="475">
        <f t="shared" si="66"/>
        <v>1807</v>
      </c>
      <c r="AY41" s="475">
        <f t="shared" si="66"/>
        <v>107</v>
      </c>
      <c r="AZ41" s="475">
        <f>N41+AH41</f>
        <v>300</v>
      </c>
      <c r="BA41" s="476">
        <f>O41+AT41</f>
        <v>0.02</v>
      </c>
      <c r="BB41" s="476">
        <f t="shared" si="67"/>
        <v>0</v>
      </c>
      <c r="BC41" s="478">
        <f t="shared" si="67"/>
        <v>0.02</v>
      </c>
    </row>
    <row r="42" spans="1:55" ht="12.95" customHeight="1" x14ac:dyDescent="0.25">
      <c r="A42" s="301">
        <v>6</v>
      </c>
      <c r="B42" s="303">
        <v>4478</v>
      </c>
      <c r="C42" s="303">
        <v>600075141</v>
      </c>
      <c r="D42" s="303">
        <v>70975191</v>
      </c>
      <c r="E42" s="316" t="s">
        <v>337</v>
      </c>
      <c r="F42" s="319"/>
      <c r="G42" s="320"/>
      <c r="H42" s="320"/>
      <c r="I42" s="561">
        <v>9868964</v>
      </c>
      <c r="J42" s="558">
        <v>7096916</v>
      </c>
      <c r="K42" s="558">
        <v>54000</v>
      </c>
      <c r="L42" s="558">
        <v>2417009</v>
      </c>
      <c r="M42" s="558">
        <v>141939</v>
      </c>
      <c r="N42" s="558">
        <v>159100</v>
      </c>
      <c r="O42" s="559">
        <v>13.340799999999998</v>
      </c>
      <c r="P42" s="559">
        <v>9.9583999999999993</v>
      </c>
      <c r="Q42" s="563">
        <v>3.3824000000000001</v>
      </c>
      <c r="R42" s="561">
        <f t="shared" ref="R42:BC42" si="68">SUM(R37:R41)</f>
        <v>0</v>
      </c>
      <c r="S42" s="558">
        <f t="shared" si="68"/>
        <v>0</v>
      </c>
      <c r="T42" s="558">
        <f t="shared" si="68"/>
        <v>0</v>
      </c>
      <c r="U42" s="558">
        <f t="shared" si="68"/>
        <v>0</v>
      </c>
      <c r="V42" s="558">
        <f t="shared" si="68"/>
        <v>0</v>
      </c>
      <c r="W42" s="558">
        <f t="shared" si="68"/>
        <v>0</v>
      </c>
      <c r="X42" s="558">
        <f t="shared" si="68"/>
        <v>0</v>
      </c>
      <c r="Y42" s="558">
        <f t="shared" si="68"/>
        <v>0</v>
      </c>
      <c r="Z42" s="558">
        <f t="shared" si="68"/>
        <v>0</v>
      </c>
      <c r="AA42" s="558">
        <f t="shared" si="68"/>
        <v>0</v>
      </c>
      <c r="AB42" s="558">
        <f t="shared" si="68"/>
        <v>0</v>
      </c>
      <c r="AC42" s="558">
        <f t="shared" si="68"/>
        <v>0</v>
      </c>
      <c r="AD42" s="558">
        <f t="shared" si="68"/>
        <v>0</v>
      </c>
      <c r="AE42" s="558">
        <f t="shared" si="68"/>
        <v>0</v>
      </c>
      <c r="AF42" s="558">
        <f t="shared" si="68"/>
        <v>0</v>
      </c>
      <c r="AG42" s="558">
        <f t="shared" si="68"/>
        <v>0</v>
      </c>
      <c r="AH42" s="558">
        <f t="shared" si="68"/>
        <v>0</v>
      </c>
      <c r="AI42" s="558">
        <f t="shared" si="68"/>
        <v>0</v>
      </c>
      <c r="AJ42" s="559">
        <f t="shared" si="68"/>
        <v>0</v>
      </c>
      <c r="AK42" s="559">
        <f t="shared" si="68"/>
        <v>0</v>
      </c>
      <c r="AL42" s="559">
        <f t="shared" si="68"/>
        <v>0</v>
      </c>
      <c r="AM42" s="559">
        <f t="shared" si="68"/>
        <v>0</v>
      </c>
      <c r="AN42" s="559">
        <f t="shared" si="68"/>
        <v>0</v>
      </c>
      <c r="AO42" s="559">
        <f t="shared" si="68"/>
        <v>0</v>
      </c>
      <c r="AP42" s="559">
        <f t="shared" si="68"/>
        <v>0</v>
      </c>
      <c r="AQ42" s="559">
        <f t="shared" si="68"/>
        <v>0</v>
      </c>
      <c r="AR42" s="559">
        <f t="shared" si="68"/>
        <v>0</v>
      </c>
      <c r="AS42" s="559">
        <f t="shared" si="68"/>
        <v>0</v>
      </c>
      <c r="AT42" s="318">
        <f t="shared" si="68"/>
        <v>0</v>
      </c>
      <c r="AU42" s="565">
        <f t="shared" si="68"/>
        <v>9868964</v>
      </c>
      <c r="AV42" s="558">
        <f t="shared" si="68"/>
        <v>7096916</v>
      </c>
      <c r="AW42" s="558">
        <f t="shared" si="68"/>
        <v>54000</v>
      </c>
      <c r="AX42" s="558">
        <f t="shared" si="68"/>
        <v>2417009</v>
      </c>
      <c r="AY42" s="558">
        <f t="shared" si="68"/>
        <v>141939</v>
      </c>
      <c r="AZ42" s="558">
        <f t="shared" si="68"/>
        <v>159100</v>
      </c>
      <c r="BA42" s="559">
        <f t="shared" si="68"/>
        <v>13.340799999999998</v>
      </c>
      <c r="BB42" s="559">
        <f t="shared" si="68"/>
        <v>9.9583999999999993</v>
      </c>
      <c r="BC42" s="318">
        <f t="shared" si="68"/>
        <v>3.3824000000000001</v>
      </c>
    </row>
    <row r="43" spans="1:55" ht="12.95" customHeight="1" x14ac:dyDescent="0.25">
      <c r="A43" s="308">
        <v>7</v>
      </c>
      <c r="B43" s="309">
        <v>4471</v>
      </c>
      <c r="C43" s="309">
        <v>600075061</v>
      </c>
      <c r="D43" s="309">
        <v>70975205</v>
      </c>
      <c r="E43" s="311" t="s">
        <v>338</v>
      </c>
      <c r="F43" s="309">
        <v>3231</v>
      </c>
      <c r="G43" s="312" t="s">
        <v>316</v>
      </c>
      <c r="H43" s="312" t="s">
        <v>277</v>
      </c>
      <c r="I43" s="477">
        <v>10286981</v>
      </c>
      <c r="J43" s="472">
        <v>7519942</v>
      </c>
      <c r="K43" s="472">
        <v>30000</v>
      </c>
      <c r="L43" s="472">
        <v>2551880</v>
      </c>
      <c r="M43" s="472">
        <v>150399</v>
      </c>
      <c r="N43" s="472">
        <v>34760</v>
      </c>
      <c r="O43" s="473">
        <v>13.9557</v>
      </c>
      <c r="P43" s="474">
        <v>12.420999999999999</v>
      </c>
      <c r="Q43" s="483">
        <v>1.5347</v>
      </c>
      <c r="R43" s="485">
        <f t="shared" ref="R43" si="69">Y43*-1</f>
        <v>0</v>
      </c>
      <c r="S43" s="475">
        <v>0</v>
      </c>
      <c r="T43" s="475">
        <v>0</v>
      </c>
      <c r="U43" s="475">
        <v>0</v>
      </c>
      <c r="V43" s="475">
        <v>-36082</v>
      </c>
      <c r="W43" s="475">
        <v>0</v>
      </c>
      <c r="X43" s="475">
        <f>SUM(R43:W43)</f>
        <v>-36082</v>
      </c>
      <c r="Y43" s="475">
        <v>0</v>
      </c>
      <c r="Z43" s="475">
        <v>0</v>
      </c>
      <c r="AA43" s="475">
        <v>0</v>
      </c>
      <c r="AB43" s="475">
        <f t="shared" ref="AB43" si="70">SUM(Y43:AA43)</f>
        <v>0</v>
      </c>
      <c r="AC43" s="475">
        <f t="shared" ref="AC43" si="71">X43+AB43</f>
        <v>-36082</v>
      </c>
      <c r="AD43" s="70">
        <f t="shared" ref="AD43" si="72">ROUND((X43+Y43+Z43)*33.8%,0)</f>
        <v>-12196</v>
      </c>
      <c r="AE43" s="70">
        <f t="shared" ref="AE43" si="73">ROUND(X43*2%,0)</f>
        <v>-722</v>
      </c>
      <c r="AF43" s="475">
        <v>0</v>
      </c>
      <c r="AG43" s="475">
        <v>49000</v>
      </c>
      <c r="AH43" s="475">
        <f t="shared" ref="AH43" si="74">SUM(AF43:AG43)</f>
        <v>49000</v>
      </c>
      <c r="AI43" s="475">
        <f t="shared" ref="AI43" si="75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ref="AT43" si="76">SUM(AR43:AS43)</f>
        <v>0</v>
      </c>
      <c r="AU43" s="484">
        <f>I43+AI43</f>
        <v>10286981</v>
      </c>
      <c r="AV43" s="475">
        <f>J43+X43</f>
        <v>7483860</v>
      </c>
      <c r="AW43" s="475">
        <f>K43+AB43</f>
        <v>30000</v>
      </c>
      <c r="AX43" s="475">
        <f>L43+AD43</f>
        <v>2539684</v>
      </c>
      <c r="AY43" s="475">
        <f>M43+AE43</f>
        <v>149677</v>
      </c>
      <c r="AZ43" s="475">
        <f>N43+AH43</f>
        <v>83760</v>
      </c>
      <c r="BA43" s="476">
        <f>O43+AT43</f>
        <v>13.9557</v>
      </c>
      <c r="BB43" s="476">
        <f>P43+AR43</f>
        <v>12.420999999999999</v>
      </c>
      <c r="BC43" s="478">
        <f>Q43+AS43</f>
        <v>1.5347</v>
      </c>
    </row>
    <row r="44" spans="1:55" ht="12.95" customHeight="1" x14ac:dyDescent="0.25">
      <c r="A44" s="301">
        <v>7</v>
      </c>
      <c r="B44" s="303">
        <v>4471</v>
      </c>
      <c r="C44" s="303">
        <v>600075061</v>
      </c>
      <c r="D44" s="303">
        <v>70975205</v>
      </c>
      <c r="E44" s="316" t="s">
        <v>339</v>
      </c>
      <c r="F44" s="319"/>
      <c r="G44" s="320"/>
      <c r="H44" s="320"/>
      <c r="I44" s="561">
        <v>10286981</v>
      </c>
      <c r="J44" s="558">
        <v>7519942</v>
      </c>
      <c r="K44" s="558">
        <v>30000</v>
      </c>
      <c r="L44" s="558">
        <v>2551880</v>
      </c>
      <c r="M44" s="558">
        <v>150399</v>
      </c>
      <c r="N44" s="558">
        <v>34760</v>
      </c>
      <c r="O44" s="559">
        <v>13.9557</v>
      </c>
      <c r="P44" s="559">
        <v>12.420999999999999</v>
      </c>
      <c r="Q44" s="563">
        <v>1.5347</v>
      </c>
      <c r="R44" s="561">
        <f t="shared" ref="R44:BC44" si="77">SUM(R43)</f>
        <v>0</v>
      </c>
      <c r="S44" s="558">
        <f t="shared" si="77"/>
        <v>0</v>
      </c>
      <c r="T44" s="558">
        <f t="shared" si="77"/>
        <v>0</v>
      </c>
      <c r="U44" s="558">
        <f t="shared" si="77"/>
        <v>0</v>
      </c>
      <c r="V44" s="558">
        <f t="shared" si="77"/>
        <v>-36082</v>
      </c>
      <c r="W44" s="558">
        <f t="shared" si="77"/>
        <v>0</v>
      </c>
      <c r="X44" s="558">
        <f t="shared" si="77"/>
        <v>-36082</v>
      </c>
      <c r="Y44" s="558">
        <f t="shared" si="77"/>
        <v>0</v>
      </c>
      <c r="Z44" s="558">
        <f t="shared" si="77"/>
        <v>0</v>
      </c>
      <c r="AA44" s="558">
        <f t="shared" si="77"/>
        <v>0</v>
      </c>
      <c r="AB44" s="558">
        <f t="shared" si="77"/>
        <v>0</v>
      </c>
      <c r="AC44" s="558">
        <f t="shared" si="77"/>
        <v>-36082</v>
      </c>
      <c r="AD44" s="558">
        <f t="shared" si="77"/>
        <v>-12196</v>
      </c>
      <c r="AE44" s="558">
        <f t="shared" si="77"/>
        <v>-722</v>
      </c>
      <c r="AF44" s="558">
        <f t="shared" si="77"/>
        <v>0</v>
      </c>
      <c r="AG44" s="558">
        <f t="shared" si="77"/>
        <v>49000</v>
      </c>
      <c r="AH44" s="558">
        <f t="shared" si="77"/>
        <v>49000</v>
      </c>
      <c r="AI44" s="558">
        <f t="shared" si="77"/>
        <v>0</v>
      </c>
      <c r="AJ44" s="559">
        <f t="shared" si="77"/>
        <v>0</v>
      </c>
      <c r="AK44" s="559">
        <f t="shared" si="77"/>
        <v>0</v>
      </c>
      <c r="AL44" s="559">
        <f t="shared" si="77"/>
        <v>0</v>
      </c>
      <c r="AM44" s="559">
        <f t="shared" si="77"/>
        <v>0</v>
      </c>
      <c r="AN44" s="559">
        <f t="shared" si="77"/>
        <v>0</v>
      </c>
      <c r="AO44" s="559">
        <f t="shared" si="77"/>
        <v>0</v>
      </c>
      <c r="AP44" s="559">
        <f t="shared" si="77"/>
        <v>0</v>
      </c>
      <c r="AQ44" s="559">
        <f t="shared" si="77"/>
        <v>0</v>
      </c>
      <c r="AR44" s="559">
        <f t="shared" si="77"/>
        <v>0</v>
      </c>
      <c r="AS44" s="559">
        <f t="shared" si="77"/>
        <v>0</v>
      </c>
      <c r="AT44" s="318">
        <f t="shared" si="77"/>
        <v>0</v>
      </c>
      <c r="AU44" s="565">
        <f t="shared" si="77"/>
        <v>10286981</v>
      </c>
      <c r="AV44" s="558">
        <f t="shared" si="77"/>
        <v>7483860</v>
      </c>
      <c r="AW44" s="558">
        <f t="shared" si="77"/>
        <v>30000</v>
      </c>
      <c r="AX44" s="558">
        <f t="shared" si="77"/>
        <v>2539684</v>
      </c>
      <c r="AY44" s="558">
        <f t="shared" si="77"/>
        <v>149677</v>
      </c>
      <c r="AZ44" s="558">
        <f t="shared" si="77"/>
        <v>83760</v>
      </c>
      <c r="BA44" s="559">
        <f t="shared" si="77"/>
        <v>13.9557</v>
      </c>
      <c r="BB44" s="559">
        <f t="shared" si="77"/>
        <v>12.420999999999999</v>
      </c>
      <c r="BC44" s="318">
        <f t="shared" si="77"/>
        <v>1.5347</v>
      </c>
    </row>
    <row r="45" spans="1:55" ht="12.95" customHeight="1" x14ac:dyDescent="0.25">
      <c r="A45" s="308">
        <v>8</v>
      </c>
      <c r="B45" s="309">
        <v>4474</v>
      </c>
      <c r="C45" s="309">
        <v>600075192</v>
      </c>
      <c r="D45" s="309">
        <v>49864661</v>
      </c>
      <c r="E45" s="311" t="s">
        <v>340</v>
      </c>
      <c r="F45" s="309">
        <v>3233</v>
      </c>
      <c r="G45" s="321" t="s">
        <v>318</v>
      </c>
      <c r="H45" s="312" t="s">
        <v>278</v>
      </c>
      <c r="I45" s="477">
        <v>2107953</v>
      </c>
      <c r="J45" s="472">
        <v>1543621</v>
      </c>
      <c r="K45" s="472">
        <v>0</v>
      </c>
      <c r="L45" s="472">
        <v>521744</v>
      </c>
      <c r="M45" s="472">
        <v>30873</v>
      </c>
      <c r="N45" s="472">
        <v>11715</v>
      </c>
      <c r="O45" s="473">
        <v>3.2900000000000005</v>
      </c>
      <c r="P45" s="474">
        <v>2.3499999999999996</v>
      </c>
      <c r="Q45" s="483">
        <v>0.94000000000000006</v>
      </c>
      <c r="R45" s="485">
        <f t="shared" ref="R45" si="78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ref="AB45" si="79">SUM(Y45:AA45)</f>
        <v>0</v>
      </c>
      <c r="AC45" s="475">
        <f t="shared" ref="AC45" si="80">X45+AB45</f>
        <v>0</v>
      </c>
      <c r="AD45" s="70">
        <f t="shared" ref="AD45" si="81">ROUND((X45+Y45+Z45)*33.8%,0)</f>
        <v>0</v>
      </c>
      <c r="AE45" s="70">
        <f t="shared" ref="AE45" si="82">ROUND(X45*2%,0)</f>
        <v>0</v>
      </c>
      <c r="AF45" s="475">
        <v>0</v>
      </c>
      <c r="AG45" s="475">
        <v>0</v>
      </c>
      <c r="AH45" s="475">
        <f t="shared" ref="AH45" si="83">SUM(AF45:AG45)</f>
        <v>0</v>
      </c>
      <c r="AI45" s="475">
        <f t="shared" ref="AI45" si="84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ref="AT45" si="85">SUM(AR45:AS45)</f>
        <v>0</v>
      </c>
      <c r="AU45" s="484">
        <f>I45+AI45</f>
        <v>2107953</v>
      </c>
      <c r="AV45" s="475">
        <f>J45+X45</f>
        <v>1543621</v>
      </c>
      <c r="AW45" s="475">
        <f>K45+AB45</f>
        <v>0</v>
      </c>
      <c r="AX45" s="475">
        <f>L45+AD45</f>
        <v>521744</v>
      </c>
      <c r="AY45" s="475">
        <f>M45+AE45</f>
        <v>30873</v>
      </c>
      <c r="AZ45" s="475">
        <f>N45+AH45</f>
        <v>11715</v>
      </c>
      <c r="BA45" s="476">
        <f>O45+AT45</f>
        <v>3.2900000000000005</v>
      </c>
      <c r="BB45" s="476">
        <f>P45+AR45</f>
        <v>2.3499999999999996</v>
      </c>
      <c r="BC45" s="478">
        <f>Q45+AS45</f>
        <v>0.94000000000000006</v>
      </c>
    </row>
    <row r="46" spans="1:55" ht="12.95" customHeight="1" x14ac:dyDescent="0.25">
      <c r="A46" s="301">
        <v>8</v>
      </c>
      <c r="B46" s="303">
        <v>4474</v>
      </c>
      <c r="C46" s="303">
        <v>600075192</v>
      </c>
      <c r="D46" s="303">
        <v>49864661</v>
      </c>
      <c r="E46" s="316" t="s">
        <v>341</v>
      </c>
      <c r="F46" s="319"/>
      <c r="G46" s="320"/>
      <c r="H46" s="320"/>
      <c r="I46" s="561">
        <v>2107953</v>
      </c>
      <c r="J46" s="558">
        <v>1543621</v>
      </c>
      <c r="K46" s="558">
        <v>0</v>
      </c>
      <c r="L46" s="558">
        <v>521744</v>
      </c>
      <c r="M46" s="558">
        <v>30873</v>
      </c>
      <c r="N46" s="558">
        <v>11715</v>
      </c>
      <c r="O46" s="559">
        <v>3.2900000000000005</v>
      </c>
      <c r="P46" s="559">
        <v>2.3499999999999996</v>
      </c>
      <c r="Q46" s="563">
        <v>0.94000000000000006</v>
      </c>
      <c r="R46" s="561">
        <f t="shared" ref="R46:BC46" si="86">SUM(R45)</f>
        <v>0</v>
      </c>
      <c r="S46" s="558">
        <f t="shared" si="86"/>
        <v>0</v>
      </c>
      <c r="T46" s="558">
        <f t="shared" si="86"/>
        <v>0</v>
      </c>
      <c r="U46" s="558">
        <f t="shared" si="86"/>
        <v>0</v>
      </c>
      <c r="V46" s="558">
        <f t="shared" si="86"/>
        <v>0</v>
      </c>
      <c r="W46" s="558">
        <f t="shared" si="86"/>
        <v>0</v>
      </c>
      <c r="X46" s="558">
        <f t="shared" si="86"/>
        <v>0</v>
      </c>
      <c r="Y46" s="558">
        <f t="shared" si="86"/>
        <v>0</v>
      </c>
      <c r="Z46" s="558">
        <f t="shared" si="86"/>
        <v>0</v>
      </c>
      <c r="AA46" s="558">
        <f t="shared" si="86"/>
        <v>0</v>
      </c>
      <c r="AB46" s="558">
        <f t="shared" si="86"/>
        <v>0</v>
      </c>
      <c r="AC46" s="558">
        <f t="shared" si="86"/>
        <v>0</v>
      </c>
      <c r="AD46" s="558">
        <f t="shared" si="86"/>
        <v>0</v>
      </c>
      <c r="AE46" s="558">
        <f t="shared" si="86"/>
        <v>0</v>
      </c>
      <c r="AF46" s="558">
        <f t="shared" si="86"/>
        <v>0</v>
      </c>
      <c r="AG46" s="558">
        <f t="shared" si="86"/>
        <v>0</v>
      </c>
      <c r="AH46" s="558">
        <f t="shared" si="86"/>
        <v>0</v>
      </c>
      <c r="AI46" s="558">
        <f t="shared" si="86"/>
        <v>0</v>
      </c>
      <c r="AJ46" s="559">
        <f t="shared" si="86"/>
        <v>0</v>
      </c>
      <c r="AK46" s="559">
        <f t="shared" si="86"/>
        <v>0</v>
      </c>
      <c r="AL46" s="559">
        <f t="shared" si="86"/>
        <v>0</v>
      </c>
      <c r="AM46" s="559">
        <f t="shared" si="86"/>
        <v>0</v>
      </c>
      <c r="AN46" s="559">
        <f t="shared" si="86"/>
        <v>0</v>
      </c>
      <c r="AO46" s="559">
        <f t="shared" si="86"/>
        <v>0</v>
      </c>
      <c r="AP46" s="559">
        <f t="shared" si="86"/>
        <v>0</v>
      </c>
      <c r="AQ46" s="559">
        <f t="shared" si="86"/>
        <v>0</v>
      </c>
      <c r="AR46" s="559">
        <f t="shared" si="86"/>
        <v>0</v>
      </c>
      <c r="AS46" s="559">
        <f t="shared" si="86"/>
        <v>0</v>
      </c>
      <c r="AT46" s="318">
        <f t="shared" si="86"/>
        <v>0</v>
      </c>
      <c r="AU46" s="565">
        <f t="shared" si="86"/>
        <v>2107953</v>
      </c>
      <c r="AV46" s="558">
        <f t="shared" si="86"/>
        <v>1543621</v>
      </c>
      <c r="AW46" s="558">
        <f t="shared" si="86"/>
        <v>0</v>
      </c>
      <c r="AX46" s="558">
        <f t="shared" si="86"/>
        <v>521744</v>
      </c>
      <c r="AY46" s="558">
        <f t="shared" si="86"/>
        <v>30873</v>
      </c>
      <c r="AZ46" s="558">
        <f t="shared" si="86"/>
        <v>11715</v>
      </c>
      <c r="BA46" s="559">
        <f t="shared" si="86"/>
        <v>3.2900000000000005</v>
      </c>
      <c r="BB46" s="559">
        <f t="shared" si="86"/>
        <v>2.3499999999999996</v>
      </c>
      <c r="BC46" s="318">
        <f t="shared" si="86"/>
        <v>0.94000000000000006</v>
      </c>
    </row>
    <row r="47" spans="1:55" ht="12.95" customHeight="1" x14ac:dyDescent="0.25">
      <c r="A47" s="308">
        <v>9</v>
      </c>
      <c r="B47" s="309">
        <v>4402</v>
      </c>
      <c r="C47" s="310">
        <v>600074021</v>
      </c>
      <c r="D47" s="309">
        <v>70695342</v>
      </c>
      <c r="E47" s="311" t="s">
        <v>342</v>
      </c>
      <c r="F47" s="309">
        <v>3111</v>
      </c>
      <c r="G47" s="312" t="s">
        <v>325</v>
      </c>
      <c r="H47" s="312" t="s">
        <v>277</v>
      </c>
      <c r="I47" s="477">
        <v>12030224</v>
      </c>
      <c r="J47" s="472">
        <v>8803442</v>
      </c>
      <c r="K47" s="472">
        <v>0</v>
      </c>
      <c r="L47" s="472">
        <v>2975563</v>
      </c>
      <c r="M47" s="472">
        <v>176069</v>
      </c>
      <c r="N47" s="472">
        <v>75150</v>
      </c>
      <c r="O47" s="473">
        <v>19.607300000000002</v>
      </c>
      <c r="P47" s="474">
        <v>13.972300000000001</v>
      </c>
      <c r="Q47" s="483">
        <v>5.6349999999999998</v>
      </c>
      <c r="R47" s="485">
        <f t="shared" ref="R47:R49" si="87">Y47*-1</f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ref="AB47:AB49" si="88">SUM(Y47:AA47)</f>
        <v>0</v>
      </c>
      <c r="AC47" s="475">
        <f t="shared" ref="AC47:AC49" si="89">X47+AB47</f>
        <v>0</v>
      </c>
      <c r="AD47" s="70">
        <f t="shared" ref="AD47:AD49" si="90">ROUND((X47+Y47+Z47)*33.8%,0)</f>
        <v>0</v>
      </c>
      <c r="AE47" s="70">
        <f t="shared" ref="AE47:AE49" si="91">ROUND(X47*2%,0)</f>
        <v>0</v>
      </c>
      <c r="AF47" s="475">
        <v>0</v>
      </c>
      <c r="AG47" s="475">
        <v>0</v>
      </c>
      <c r="AH47" s="475">
        <f t="shared" ref="AH47:AH49" si="92">SUM(AF47:AG47)</f>
        <v>0</v>
      </c>
      <c r="AI47" s="475">
        <f t="shared" ref="AI47:AI49" si="93">AC47+AD47+AE47+AH47</f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ref="AT47:AT49" si="94">SUM(AR47:AS47)</f>
        <v>0</v>
      </c>
      <c r="AU47" s="484">
        <f>I47+AI47</f>
        <v>12030224</v>
      </c>
      <c r="AV47" s="475">
        <f>J47+X47</f>
        <v>8803442</v>
      </c>
      <c r="AW47" s="475">
        <f t="shared" ref="AW47:AW49" si="95">K47+AB47</f>
        <v>0</v>
      </c>
      <c r="AX47" s="475">
        <f t="shared" ref="AX47:AY49" si="96">L47+AD47</f>
        <v>2975563</v>
      </c>
      <c r="AY47" s="475">
        <f t="shared" si="96"/>
        <v>176069</v>
      </c>
      <c r="AZ47" s="475">
        <f>N47+AH47</f>
        <v>75150</v>
      </c>
      <c r="BA47" s="476">
        <f>O47+AT47</f>
        <v>19.607300000000002</v>
      </c>
      <c r="BB47" s="476">
        <f t="shared" ref="BB47:BC49" si="97">P47+AR47</f>
        <v>13.972300000000001</v>
      </c>
      <c r="BC47" s="478">
        <f t="shared" si="97"/>
        <v>5.6349999999999998</v>
      </c>
    </row>
    <row r="48" spans="1:55" ht="12.95" customHeight="1" x14ac:dyDescent="0.25">
      <c r="A48" s="308">
        <v>9</v>
      </c>
      <c r="B48" s="309">
        <v>4402</v>
      </c>
      <c r="C48" s="310">
        <v>600074021</v>
      </c>
      <c r="D48" s="309">
        <v>70695342</v>
      </c>
      <c r="E48" s="311" t="s">
        <v>342</v>
      </c>
      <c r="F48" s="309">
        <v>3111</v>
      </c>
      <c r="G48" s="312" t="s">
        <v>319</v>
      </c>
      <c r="H48" s="312" t="s">
        <v>278</v>
      </c>
      <c r="I48" s="477">
        <v>653436</v>
      </c>
      <c r="J48" s="472">
        <v>481175</v>
      </c>
      <c r="K48" s="472">
        <v>0</v>
      </c>
      <c r="L48" s="472">
        <v>162637</v>
      </c>
      <c r="M48" s="472">
        <v>9624</v>
      </c>
      <c r="N48" s="472">
        <v>0</v>
      </c>
      <c r="O48" s="473">
        <v>1.39</v>
      </c>
      <c r="P48" s="474">
        <v>1.39</v>
      </c>
      <c r="Q48" s="483">
        <v>0</v>
      </c>
      <c r="R48" s="485">
        <f t="shared" si="87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>SUM(R48:W48)</f>
        <v>0</v>
      </c>
      <c r="Y48" s="475">
        <v>0</v>
      </c>
      <c r="Z48" s="475">
        <v>0</v>
      </c>
      <c r="AA48" s="475">
        <v>0</v>
      </c>
      <c r="AB48" s="475">
        <f t="shared" si="88"/>
        <v>0</v>
      </c>
      <c r="AC48" s="475">
        <f t="shared" si="89"/>
        <v>0</v>
      </c>
      <c r="AD48" s="70">
        <f t="shared" si="90"/>
        <v>0</v>
      </c>
      <c r="AE48" s="70">
        <f t="shared" si="91"/>
        <v>0</v>
      </c>
      <c r="AF48" s="475">
        <v>0</v>
      </c>
      <c r="AG48" s="475">
        <v>0</v>
      </c>
      <c r="AH48" s="475">
        <f t="shared" si="92"/>
        <v>0</v>
      </c>
      <c r="AI48" s="475">
        <f t="shared" si="93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>AJ48+AL48+AM48+AO48+AP48</f>
        <v>0</v>
      </c>
      <c r="AS48" s="476">
        <f>AK48+AN48+AQ48</f>
        <v>0</v>
      </c>
      <c r="AT48" s="478">
        <f t="shared" si="94"/>
        <v>0</v>
      </c>
      <c r="AU48" s="484">
        <f>I48+AI48</f>
        <v>653436</v>
      </c>
      <c r="AV48" s="475">
        <f>J48+X48</f>
        <v>481175</v>
      </c>
      <c r="AW48" s="475">
        <f t="shared" si="95"/>
        <v>0</v>
      </c>
      <c r="AX48" s="475">
        <f t="shared" si="96"/>
        <v>162637</v>
      </c>
      <c r="AY48" s="475">
        <f t="shared" si="96"/>
        <v>9624</v>
      </c>
      <c r="AZ48" s="475">
        <f>N48+AH48</f>
        <v>0</v>
      </c>
      <c r="BA48" s="476">
        <f>O48+AT48</f>
        <v>1.39</v>
      </c>
      <c r="BB48" s="476">
        <f t="shared" si="97"/>
        <v>1.39</v>
      </c>
      <c r="BC48" s="478">
        <f t="shared" si="97"/>
        <v>0</v>
      </c>
    </row>
    <row r="49" spans="1:55" ht="12.95" customHeight="1" x14ac:dyDescent="0.25">
      <c r="A49" s="308">
        <v>9</v>
      </c>
      <c r="B49" s="309">
        <v>4402</v>
      </c>
      <c r="C49" s="310">
        <v>600074021</v>
      </c>
      <c r="D49" s="309">
        <v>70695342</v>
      </c>
      <c r="E49" s="311" t="s">
        <v>342</v>
      </c>
      <c r="F49" s="309">
        <v>3141</v>
      </c>
      <c r="G49" s="312" t="s">
        <v>315</v>
      </c>
      <c r="H49" s="312" t="s">
        <v>278</v>
      </c>
      <c r="I49" s="477">
        <v>2087724</v>
      </c>
      <c r="J49" s="472">
        <v>1530021</v>
      </c>
      <c r="K49" s="472">
        <v>0</v>
      </c>
      <c r="L49" s="472">
        <v>517147</v>
      </c>
      <c r="M49" s="472">
        <v>30600</v>
      </c>
      <c r="N49" s="472">
        <v>9956</v>
      </c>
      <c r="O49" s="473">
        <v>4.82</v>
      </c>
      <c r="P49" s="474">
        <v>0</v>
      </c>
      <c r="Q49" s="483">
        <v>4.82</v>
      </c>
      <c r="R49" s="485">
        <f t="shared" si="87"/>
        <v>0</v>
      </c>
      <c r="S49" s="475">
        <v>0</v>
      </c>
      <c r="T49" s="475">
        <v>-8343</v>
      </c>
      <c r="U49" s="475">
        <v>0</v>
      </c>
      <c r="V49" s="475">
        <v>0</v>
      </c>
      <c r="W49" s="475">
        <v>0</v>
      </c>
      <c r="X49" s="475">
        <f>SUM(R49:W49)</f>
        <v>-8343</v>
      </c>
      <c r="Y49" s="475">
        <v>0</v>
      </c>
      <c r="Z49" s="475">
        <v>0</v>
      </c>
      <c r="AA49" s="475">
        <v>0</v>
      </c>
      <c r="AB49" s="475">
        <f t="shared" si="88"/>
        <v>0</v>
      </c>
      <c r="AC49" s="475">
        <f t="shared" si="89"/>
        <v>-8343</v>
      </c>
      <c r="AD49" s="70">
        <f t="shared" si="90"/>
        <v>-2820</v>
      </c>
      <c r="AE49" s="70">
        <f t="shared" si="91"/>
        <v>-167</v>
      </c>
      <c r="AF49" s="475">
        <v>0</v>
      </c>
      <c r="AG49" s="475">
        <v>0</v>
      </c>
      <c r="AH49" s="475">
        <f t="shared" si="92"/>
        <v>0</v>
      </c>
      <c r="AI49" s="475">
        <f t="shared" si="93"/>
        <v>-11330</v>
      </c>
      <c r="AJ49" s="476">
        <v>0</v>
      </c>
      <c r="AK49" s="476">
        <v>0</v>
      </c>
      <c r="AL49" s="476">
        <v>0</v>
      </c>
      <c r="AM49" s="476">
        <v>0</v>
      </c>
      <c r="AN49" s="476">
        <v>-0.03</v>
      </c>
      <c r="AO49" s="476">
        <v>0</v>
      </c>
      <c r="AP49" s="476">
        <v>0</v>
      </c>
      <c r="AQ49" s="476">
        <v>0</v>
      </c>
      <c r="AR49" s="476">
        <f>AJ49+AL49+AM49+AO49+AP49</f>
        <v>0</v>
      </c>
      <c r="AS49" s="476">
        <f>AK49+AN49+AQ49</f>
        <v>-0.03</v>
      </c>
      <c r="AT49" s="478">
        <f t="shared" si="94"/>
        <v>-0.03</v>
      </c>
      <c r="AU49" s="484">
        <f>I49+AI49</f>
        <v>2076394</v>
      </c>
      <c r="AV49" s="475">
        <f>J49+X49</f>
        <v>1521678</v>
      </c>
      <c r="AW49" s="475">
        <f t="shared" si="95"/>
        <v>0</v>
      </c>
      <c r="AX49" s="475">
        <f t="shared" si="96"/>
        <v>514327</v>
      </c>
      <c r="AY49" s="475">
        <f t="shared" si="96"/>
        <v>30433</v>
      </c>
      <c r="AZ49" s="475">
        <f>N49+AH49</f>
        <v>9956</v>
      </c>
      <c r="BA49" s="476">
        <f>O49+AT49</f>
        <v>4.79</v>
      </c>
      <c r="BB49" s="476">
        <f t="shared" si="97"/>
        <v>0</v>
      </c>
      <c r="BC49" s="478">
        <f t="shared" si="97"/>
        <v>4.79</v>
      </c>
    </row>
    <row r="50" spans="1:55" ht="12.95" customHeight="1" x14ac:dyDescent="0.25">
      <c r="A50" s="301">
        <v>9</v>
      </c>
      <c r="B50" s="303">
        <v>4402</v>
      </c>
      <c r="C50" s="315">
        <v>600074021</v>
      </c>
      <c r="D50" s="303">
        <v>70695342</v>
      </c>
      <c r="E50" s="316" t="s">
        <v>343</v>
      </c>
      <c r="F50" s="319"/>
      <c r="G50" s="320"/>
      <c r="H50" s="320"/>
      <c r="I50" s="561">
        <v>14771384</v>
      </c>
      <c r="J50" s="558">
        <v>10814638</v>
      </c>
      <c r="K50" s="558">
        <v>0</v>
      </c>
      <c r="L50" s="558">
        <v>3655347</v>
      </c>
      <c r="M50" s="558">
        <v>216293</v>
      </c>
      <c r="N50" s="558">
        <v>85106</v>
      </c>
      <c r="O50" s="559">
        <v>25.817300000000003</v>
      </c>
      <c r="P50" s="559">
        <v>15.362300000000001</v>
      </c>
      <c r="Q50" s="563">
        <v>10.455</v>
      </c>
      <c r="R50" s="561">
        <f t="shared" ref="R50:BC50" si="98">SUM(R47:R49)</f>
        <v>0</v>
      </c>
      <c r="S50" s="558">
        <f t="shared" si="98"/>
        <v>0</v>
      </c>
      <c r="T50" s="558">
        <f t="shared" si="98"/>
        <v>-8343</v>
      </c>
      <c r="U50" s="558">
        <f t="shared" si="98"/>
        <v>0</v>
      </c>
      <c r="V50" s="558">
        <f t="shared" si="98"/>
        <v>0</v>
      </c>
      <c r="W50" s="558">
        <f t="shared" si="98"/>
        <v>0</v>
      </c>
      <c r="X50" s="558">
        <f t="shared" si="98"/>
        <v>-8343</v>
      </c>
      <c r="Y50" s="558">
        <f t="shared" si="98"/>
        <v>0</v>
      </c>
      <c r="Z50" s="558">
        <f t="shared" si="98"/>
        <v>0</v>
      </c>
      <c r="AA50" s="558">
        <f t="shared" si="98"/>
        <v>0</v>
      </c>
      <c r="AB50" s="558">
        <f t="shared" si="98"/>
        <v>0</v>
      </c>
      <c r="AC50" s="558">
        <f t="shared" si="98"/>
        <v>-8343</v>
      </c>
      <c r="AD50" s="558">
        <f t="shared" si="98"/>
        <v>-2820</v>
      </c>
      <c r="AE50" s="558">
        <f t="shared" si="98"/>
        <v>-167</v>
      </c>
      <c r="AF50" s="558">
        <f t="shared" si="98"/>
        <v>0</v>
      </c>
      <c r="AG50" s="558">
        <f t="shared" si="98"/>
        <v>0</v>
      </c>
      <c r="AH50" s="558">
        <f t="shared" si="98"/>
        <v>0</v>
      </c>
      <c r="AI50" s="558">
        <f t="shared" si="98"/>
        <v>-11330</v>
      </c>
      <c r="AJ50" s="559">
        <f t="shared" si="98"/>
        <v>0</v>
      </c>
      <c r="AK50" s="559">
        <f t="shared" si="98"/>
        <v>0</v>
      </c>
      <c r="AL50" s="559">
        <f t="shared" si="98"/>
        <v>0</v>
      </c>
      <c r="AM50" s="559">
        <f t="shared" si="98"/>
        <v>0</v>
      </c>
      <c r="AN50" s="559">
        <f t="shared" si="98"/>
        <v>-0.03</v>
      </c>
      <c r="AO50" s="559">
        <f t="shared" si="98"/>
        <v>0</v>
      </c>
      <c r="AP50" s="559">
        <f t="shared" si="98"/>
        <v>0</v>
      </c>
      <c r="AQ50" s="559">
        <f t="shared" si="98"/>
        <v>0</v>
      </c>
      <c r="AR50" s="559">
        <f t="shared" si="98"/>
        <v>0</v>
      </c>
      <c r="AS50" s="559">
        <f t="shared" si="98"/>
        <v>-0.03</v>
      </c>
      <c r="AT50" s="318">
        <f t="shared" si="98"/>
        <v>-0.03</v>
      </c>
      <c r="AU50" s="565">
        <f t="shared" si="98"/>
        <v>14760054</v>
      </c>
      <c r="AV50" s="558">
        <f t="shared" si="98"/>
        <v>10806295</v>
      </c>
      <c r="AW50" s="558">
        <f t="shared" si="98"/>
        <v>0</v>
      </c>
      <c r="AX50" s="558">
        <f t="shared" si="98"/>
        <v>3652527</v>
      </c>
      <c r="AY50" s="558">
        <f t="shared" si="98"/>
        <v>216126</v>
      </c>
      <c r="AZ50" s="558">
        <f t="shared" si="98"/>
        <v>85106</v>
      </c>
      <c r="BA50" s="559">
        <f t="shared" si="98"/>
        <v>25.787300000000002</v>
      </c>
      <c r="BB50" s="559">
        <f t="shared" si="98"/>
        <v>15.362300000000001</v>
      </c>
      <c r="BC50" s="318">
        <f t="shared" si="98"/>
        <v>10.425000000000001</v>
      </c>
    </row>
    <row r="51" spans="1:55" ht="12.95" customHeight="1" x14ac:dyDescent="0.25">
      <c r="A51" s="308">
        <v>10</v>
      </c>
      <c r="B51" s="309">
        <v>4481</v>
      </c>
      <c r="C51" s="309">
        <v>600074722</v>
      </c>
      <c r="D51" s="309">
        <v>70942692</v>
      </c>
      <c r="E51" s="311" t="s">
        <v>344</v>
      </c>
      <c r="F51" s="309">
        <v>3113</v>
      </c>
      <c r="G51" s="312" t="s">
        <v>345</v>
      </c>
      <c r="H51" s="312" t="s">
        <v>277</v>
      </c>
      <c r="I51" s="477">
        <v>26042492</v>
      </c>
      <c r="J51" s="472">
        <v>18789443</v>
      </c>
      <c r="K51" s="472">
        <v>3900</v>
      </c>
      <c r="L51" s="472">
        <v>6352150</v>
      </c>
      <c r="M51" s="472">
        <v>375789</v>
      </c>
      <c r="N51" s="472">
        <v>521210</v>
      </c>
      <c r="O51" s="473">
        <v>33.779200000000003</v>
      </c>
      <c r="P51" s="474">
        <v>25.489799999999999</v>
      </c>
      <c r="Q51" s="483">
        <v>8.2894000000000005</v>
      </c>
      <c r="R51" s="485">
        <f t="shared" ref="R51:R55" si="99">Y51*-1</f>
        <v>0</v>
      </c>
      <c r="S51" s="475">
        <v>0</v>
      </c>
      <c r="T51" s="475">
        <v>-200204</v>
      </c>
      <c r="U51" s="475">
        <v>0</v>
      </c>
      <c r="V51" s="475">
        <v>0</v>
      </c>
      <c r="W51" s="475">
        <v>0</v>
      </c>
      <c r="X51" s="475">
        <f>SUM(R51:W51)</f>
        <v>-200204</v>
      </c>
      <c r="Y51" s="475">
        <v>0</v>
      </c>
      <c r="Z51" s="475">
        <v>0</v>
      </c>
      <c r="AA51" s="475">
        <v>0</v>
      </c>
      <c r="AB51" s="475">
        <f t="shared" ref="AB51:AB55" si="100">SUM(Y51:AA51)</f>
        <v>0</v>
      </c>
      <c r="AC51" s="475">
        <f t="shared" ref="AC51:AC55" si="101">X51+AB51</f>
        <v>-200204</v>
      </c>
      <c r="AD51" s="70">
        <f t="shared" ref="AD51:AD55" si="102">ROUND((X51+Y51+Z51)*33.8%,0)</f>
        <v>-67669</v>
      </c>
      <c r="AE51" s="70">
        <f t="shared" ref="AE51:AE55" si="103">ROUND(X51*2%,0)</f>
        <v>-4004</v>
      </c>
      <c r="AF51" s="475">
        <v>0</v>
      </c>
      <c r="AG51" s="475">
        <v>0</v>
      </c>
      <c r="AH51" s="475">
        <f t="shared" ref="AH51:AH55" si="104">SUM(AF51:AG51)</f>
        <v>0</v>
      </c>
      <c r="AI51" s="475">
        <f t="shared" ref="AI51:AI55" si="105">AC51+AD51+AE51+AH51</f>
        <v>-271877</v>
      </c>
      <c r="AJ51" s="476">
        <v>0</v>
      </c>
      <c r="AK51" s="476">
        <v>0</v>
      </c>
      <c r="AL51" s="476">
        <v>0</v>
      </c>
      <c r="AM51" s="476">
        <v>-0.32</v>
      </c>
      <c r="AN51" s="476">
        <v>0</v>
      </c>
      <c r="AO51" s="476">
        <v>0</v>
      </c>
      <c r="AP51" s="476">
        <v>0</v>
      </c>
      <c r="AQ51" s="476">
        <v>0</v>
      </c>
      <c r="AR51" s="476">
        <f>AJ51+AL51+AM51+AO51+AP51</f>
        <v>-0.32</v>
      </c>
      <c r="AS51" s="476">
        <f>AK51+AN51+AQ51</f>
        <v>0</v>
      </c>
      <c r="AT51" s="478">
        <f t="shared" ref="AT51:AT55" si="106">SUM(AR51:AS51)</f>
        <v>-0.32</v>
      </c>
      <c r="AU51" s="484">
        <f>I51+AI51</f>
        <v>25770615</v>
      </c>
      <c r="AV51" s="475">
        <f>J51+X51</f>
        <v>18589239</v>
      </c>
      <c r="AW51" s="475">
        <f t="shared" ref="AW51:AW55" si="107">K51+AB51</f>
        <v>3900</v>
      </c>
      <c r="AX51" s="475">
        <f t="shared" ref="AX51:AY55" si="108">L51+AD51</f>
        <v>6284481</v>
      </c>
      <c r="AY51" s="475">
        <f t="shared" si="108"/>
        <v>371785</v>
      </c>
      <c r="AZ51" s="475">
        <f>N51+AH51</f>
        <v>521210</v>
      </c>
      <c r="BA51" s="476">
        <f>O51+AT51</f>
        <v>33.459200000000003</v>
      </c>
      <c r="BB51" s="476">
        <f t="shared" ref="BB51:BC55" si="109">P51+AR51</f>
        <v>25.169799999999999</v>
      </c>
      <c r="BC51" s="478">
        <f t="shared" si="109"/>
        <v>8.2894000000000005</v>
      </c>
    </row>
    <row r="52" spans="1:55" ht="12.95" customHeight="1" x14ac:dyDescent="0.25">
      <c r="A52" s="308">
        <v>10</v>
      </c>
      <c r="B52" s="309">
        <v>4481</v>
      </c>
      <c r="C52" s="309">
        <v>600074722</v>
      </c>
      <c r="D52" s="309">
        <v>70942692</v>
      </c>
      <c r="E52" s="311" t="s">
        <v>346</v>
      </c>
      <c r="F52" s="309">
        <v>3113</v>
      </c>
      <c r="G52" s="312" t="s">
        <v>319</v>
      </c>
      <c r="H52" s="312" t="s">
        <v>278</v>
      </c>
      <c r="I52" s="477">
        <v>2401695</v>
      </c>
      <c r="J52" s="472">
        <v>1766712</v>
      </c>
      <c r="K52" s="472">
        <v>0</v>
      </c>
      <c r="L52" s="472">
        <v>597149</v>
      </c>
      <c r="M52" s="472">
        <v>35334</v>
      </c>
      <c r="N52" s="472">
        <v>2500</v>
      </c>
      <c r="O52" s="473">
        <v>5.120000000000001</v>
      </c>
      <c r="P52" s="474">
        <v>5.120000000000001</v>
      </c>
      <c r="Q52" s="483">
        <v>0</v>
      </c>
      <c r="R52" s="485">
        <f t="shared" si="99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>SUM(R52:W52)</f>
        <v>0</v>
      </c>
      <c r="Y52" s="475">
        <v>0</v>
      </c>
      <c r="Z52" s="475">
        <v>0</v>
      </c>
      <c r="AA52" s="475">
        <v>0</v>
      </c>
      <c r="AB52" s="475">
        <f t="shared" si="100"/>
        <v>0</v>
      </c>
      <c r="AC52" s="475">
        <f t="shared" si="101"/>
        <v>0</v>
      </c>
      <c r="AD52" s="70">
        <f t="shared" si="102"/>
        <v>0</v>
      </c>
      <c r="AE52" s="70">
        <f t="shared" si="103"/>
        <v>0</v>
      </c>
      <c r="AF52" s="475">
        <v>2500</v>
      </c>
      <c r="AG52" s="475">
        <v>0</v>
      </c>
      <c r="AH52" s="475">
        <f t="shared" si="104"/>
        <v>2500</v>
      </c>
      <c r="AI52" s="475">
        <f t="shared" si="105"/>
        <v>2500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si="106"/>
        <v>0</v>
      </c>
      <c r="AU52" s="484">
        <f>I52+AI52</f>
        <v>2404195</v>
      </c>
      <c r="AV52" s="475">
        <f>J52+X52</f>
        <v>1766712</v>
      </c>
      <c r="AW52" s="475">
        <f t="shared" si="107"/>
        <v>0</v>
      </c>
      <c r="AX52" s="475">
        <f t="shared" si="108"/>
        <v>597149</v>
      </c>
      <c r="AY52" s="475">
        <f t="shared" si="108"/>
        <v>35334</v>
      </c>
      <c r="AZ52" s="475">
        <f>N52+AH52</f>
        <v>5000</v>
      </c>
      <c r="BA52" s="476">
        <f>O52+AT52</f>
        <v>5.120000000000001</v>
      </c>
      <c r="BB52" s="476">
        <f t="shared" si="109"/>
        <v>5.120000000000001</v>
      </c>
      <c r="BC52" s="478">
        <f t="shared" si="109"/>
        <v>0</v>
      </c>
    </row>
    <row r="53" spans="1:55" ht="12.95" customHeight="1" x14ac:dyDescent="0.25">
      <c r="A53" s="308">
        <v>10</v>
      </c>
      <c r="B53" s="309">
        <v>4481</v>
      </c>
      <c r="C53" s="309">
        <v>600074722</v>
      </c>
      <c r="D53" s="309">
        <v>70942692</v>
      </c>
      <c r="E53" s="311" t="s">
        <v>346</v>
      </c>
      <c r="F53" s="309">
        <v>3141</v>
      </c>
      <c r="G53" s="312" t="s">
        <v>315</v>
      </c>
      <c r="H53" s="312" t="s">
        <v>278</v>
      </c>
      <c r="I53" s="477">
        <v>1580274</v>
      </c>
      <c r="J53" s="472">
        <v>1154666</v>
      </c>
      <c r="K53" s="472">
        <v>0</v>
      </c>
      <c r="L53" s="472">
        <v>390277</v>
      </c>
      <c r="M53" s="472">
        <v>23093</v>
      </c>
      <c r="N53" s="472">
        <v>12238</v>
      </c>
      <c r="O53" s="473">
        <v>3.64</v>
      </c>
      <c r="P53" s="474">
        <v>0</v>
      </c>
      <c r="Q53" s="483">
        <v>3.64</v>
      </c>
      <c r="R53" s="485">
        <f t="shared" si="99"/>
        <v>0</v>
      </c>
      <c r="S53" s="475">
        <v>0</v>
      </c>
      <c r="T53" s="475">
        <v>18630</v>
      </c>
      <c r="U53" s="475">
        <v>0</v>
      </c>
      <c r="V53" s="475">
        <v>0</v>
      </c>
      <c r="W53" s="475">
        <v>0</v>
      </c>
      <c r="X53" s="475">
        <f>SUM(R53:W53)</f>
        <v>18630</v>
      </c>
      <c r="Y53" s="475">
        <v>0</v>
      </c>
      <c r="Z53" s="475">
        <v>0</v>
      </c>
      <c r="AA53" s="475">
        <v>0</v>
      </c>
      <c r="AB53" s="475">
        <f t="shared" si="100"/>
        <v>0</v>
      </c>
      <c r="AC53" s="475">
        <f t="shared" si="101"/>
        <v>18630</v>
      </c>
      <c r="AD53" s="70">
        <f t="shared" si="102"/>
        <v>6297</v>
      </c>
      <c r="AE53" s="70">
        <f t="shared" si="103"/>
        <v>373</v>
      </c>
      <c r="AF53" s="475">
        <v>0</v>
      </c>
      <c r="AG53" s="475">
        <v>0</v>
      </c>
      <c r="AH53" s="475">
        <f t="shared" si="104"/>
        <v>0</v>
      </c>
      <c r="AI53" s="475">
        <f t="shared" si="105"/>
        <v>25300</v>
      </c>
      <c r="AJ53" s="476">
        <v>0</v>
      </c>
      <c r="AK53" s="476">
        <v>0</v>
      </c>
      <c r="AL53" s="476">
        <v>0</v>
      </c>
      <c r="AM53" s="476">
        <v>0</v>
      </c>
      <c r="AN53" s="476">
        <v>0.06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0.06</v>
      </c>
      <c r="AT53" s="478">
        <f t="shared" si="106"/>
        <v>0.06</v>
      </c>
      <c r="AU53" s="484">
        <f>I53+AI53</f>
        <v>1605574</v>
      </c>
      <c r="AV53" s="475">
        <f>J53+X53</f>
        <v>1173296</v>
      </c>
      <c r="AW53" s="475">
        <f t="shared" si="107"/>
        <v>0</v>
      </c>
      <c r="AX53" s="475">
        <f t="shared" si="108"/>
        <v>396574</v>
      </c>
      <c r="AY53" s="475">
        <f t="shared" si="108"/>
        <v>23466</v>
      </c>
      <c r="AZ53" s="475">
        <f>N53+AH53</f>
        <v>12238</v>
      </c>
      <c r="BA53" s="476">
        <f>O53+AT53</f>
        <v>3.7</v>
      </c>
      <c r="BB53" s="476">
        <f t="shared" si="109"/>
        <v>0</v>
      </c>
      <c r="BC53" s="478">
        <f t="shared" si="109"/>
        <v>3.7</v>
      </c>
    </row>
    <row r="54" spans="1:55" ht="12.95" customHeight="1" x14ac:dyDescent="0.25">
      <c r="A54" s="308">
        <v>10</v>
      </c>
      <c r="B54" s="309">
        <v>4481</v>
      </c>
      <c r="C54" s="309">
        <v>600074722</v>
      </c>
      <c r="D54" s="309">
        <v>70942692</v>
      </c>
      <c r="E54" s="311" t="s">
        <v>346</v>
      </c>
      <c r="F54" s="309">
        <v>3143</v>
      </c>
      <c r="G54" s="312" t="s">
        <v>626</v>
      </c>
      <c r="H54" s="312" t="s">
        <v>277</v>
      </c>
      <c r="I54" s="477">
        <v>1696284</v>
      </c>
      <c r="J54" s="472">
        <v>1249105</v>
      </c>
      <c r="K54" s="472">
        <v>0</v>
      </c>
      <c r="L54" s="472">
        <v>422197</v>
      </c>
      <c r="M54" s="472">
        <v>24982</v>
      </c>
      <c r="N54" s="472">
        <v>0</v>
      </c>
      <c r="O54" s="473">
        <v>2.5356999999999998</v>
      </c>
      <c r="P54" s="474">
        <v>2.5356999999999998</v>
      </c>
      <c r="Q54" s="483">
        <v>0</v>
      </c>
      <c r="R54" s="485">
        <f t="shared" si="99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00"/>
        <v>0</v>
      </c>
      <c r="AC54" s="475">
        <f t="shared" si="101"/>
        <v>0</v>
      </c>
      <c r="AD54" s="70">
        <f t="shared" si="102"/>
        <v>0</v>
      </c>
      <c r="AE54" s="70">
        <f t="shared" si="103"/>
        <v>0</v>
      </c>
      <c r="AF54" s="475">
        <v>0</v>
      </c>
      <c r="AG54" s="475">
        <v>0</v>
      </c>
      <c r="AH54" s="475">
        <f t="shared" si="104"/>
        <v>0</v>
      </c>
      <c r="AI54" s="475">
        <f t="shared" si="105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106"/>
        <v>0</v>
      </c>
      <c r="AU54" s="484">
        <f>I54+AI54</f>
        <v>1696284</v>
      </c>
      <c r="AV54" s="475">
        <f>J54+X54</f>
        <v>1249105</v>
      </c>
      <c r="AW54" s="475">
        <f t="shared" si="107"/>
        <v>0</v>
      </c>
      <c r="AX54" s="475">
        <f t="shared" si="108"/>
        <v>422197</v>
      </c>
      <c r="AY54" s="475">
        <f t="shared" si="108"/>
        <v>24982</v>
      </c>
      <c r="AZ54" s="475">
        <f>N54+AH54</f>
        <v>0</v>
      </c>
      <c r="BA54" s="476">
        <f>O54+AT54</f>
        <v>2.5356999999999998</v>
      </c>
      <c r="BB54" s="476">
        <f t="shared" si="109"/>
        <v>2.5356999999999998</v>
      </c>
      <c r="BC54" s="478">
        <f t="shared" si="109"/>
        <v>0</v>
      </c>
    </row>
    <row r="55" spans="1:55" ht="12.95" customHeight="1" x14ac:dyDescent="0.25">
      <c r="A55" s="308">
        <v>10</v>
      </c>
      <c r="B55" s="309">
        <v>4481</v>
      </c>
      <c r="C55" s="309">
        <v>600074722</v>
      </c>
      <c r="D55" s="309">
        <v>70942692</v>
      </c>
      <c r="E55" s="311" t="s">
        <v>346</v>
      </c>
      <c r="F55" s="309">
        <v>3143</v>
      </c>
      <c r="G55" s="312" t="s">
        <v>627</v>
      </c>
      <c r="H55" s="312" t="s">
        <v>278</v>
      </c>
      <c r="I55" s="477">
        <v>57456</v>
      </c>
      <c r="J55" s="472">
        <v>40630</v>
      </c>
      <c r="K55" s="472">
        <v>0</v>
      </c>
      <c r="L55" s="472">
        <v>13733</v>
      </c>
      <c r="M55" s="472">
        <v>813</v>
      </c>
      <c r="N55" s="472">
        <v>2280</v>
      </c>
      <c r="O55" s="473">
        <v>0.16</v>
      </c>
      <c r="P55" s="474">
        <v>0</v>
      </c>
      <c r="Q55" s="483">
        <v>0.16</v>
      </c>
      <c r="R55" s="485">
        <f t="shared" si="99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>SUM(R55:W55)</f>
        <v>0</v>
      </c>
      <c r="Y55" s="475">
        <v>0</v>
      </c>
      <c r="Z55" s="475">
        <v>0</v>
      </c>
      <c r="AA55" s="475">
        <v>0</v>
      </c>
      <c r="AB55" s="475">
        <f t="shared" si="100"/>
        <v>0</v>
      </c>
      <c r="AC55" s="475">
        <f t="shared" si="101"/>
        <v>0</v>
      </c>
      <c r="AD55" s="70">
        <f t="shared" si="102"/>
        <v>0</v>
      </c>
      <c r="AE55" s="70">
        <f t="shared" si="103"/>
        <v>0</v>
      </c>
      <c r="AF55" s="475">
        <v>0</v>
      </c>
      <c r="AG55" s="475">
        <v>0</v>
      </c>
      <c r="AH55" s="475">
        <f t="shared" si="104"/>
        <v>0</v>
      </c>
      <c r="AI55" s="475">
        <f t="shared" si="105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>AJ55+AL55+AM55+AO55+AP55</f>
        <v>0</v>
      </c>
      <c r="AS55" s="476">
        <f>AK55+AN55+AQ55</f>
        <v>0</v>
      </c>
      <c r="AT55" s="478">
        <f t="shared" si="106"/>
        <v>0</v>
      </c>
      <c r="AU55" s="484">
        <f>I55+AI55</f>
        <v>57456</v>
      </c>
      <c r="AV55" s="475">
        <f>J55+X55</f>
        <v>40630</v>
      </c>
      <c r="AW55" s="475">
        <f t="shared" si="107"/>
        <v>0</v>
      </c>
      <c r="AX55" s="475">
        <f t="shared" si="108"/>
        <v>13733</v>
      </c>
      <c r="AY55" s="475">
        <f t="shared" si="108"/>
        <v>813</v>
      </c>
      <c r="AZ55" s="475">
        <f>N55+AH55</f>
        <v>2280</v>
      </c>
      <c r="BA55" s="476">
        <f>O55+AT55</f>
        <v>0.16</v>
      </c>
      <c r="BB55" s="476">
        <f t="shared" si="109"/>
        <v>0</v>
      </c>
      <c r="BC55" s="478">
        <f t="shared" si="109"/>
        <v>0.16</v>
      </c>
    </row>
    <row r="56" spans="1:55" ht="12.95" customHeight="1" x14ac:dyDescent="0.25">
      <c r="A56" s="301">
        <v>10</v>
      </c>
      <c r="B56" s="303">
        <v>4481</v>
      </c>
      <c r="C56" s="303">
        <v>600074722</v>
      </c>
      <c r="D56" s="303">
        <v>70942692</v>
      </c>
      <c r="E56" s="316" t="s">
        <v>347</v>
      </c>
      <c r="F56" s="319"/>
      <c r="G56" s="320"/>
      <c r="H56" s="320"/>
      <c r="I56" s="561">
        <v>31778201</v>
      </c>
      <c r="J56" s="558">
        <v>23000556</v>
      </c>
      <c r="K56" s="558">
        <v>3900</v>
      </c>
      <c r="L56" s="558">
        <v>7775506</v>
      </c>
      <c r="M56" s="558">
        <v>460011</v>
      </c>
      <c r="N56" s="558">
        <v>538228</v>
      </c>
      <c r="O56" s="559">
        <v>45.234900000000003</v>
      </c>
      <c r="P56" s="559">
        <v>33.145499999999998</v>
      </c>
      <c r="Q56" s="563">
        <v>12.089400000000001</v>
      </c>
      <c r="R56" s="561">
        <f t="shared" ref="R56:BC56" si="110">SUM(R51:R55)</f>
        <v>0</v>
      </c>
      <c r="S56" s="558">
        <f t="shared" si="110"/>
        <v>0</v>
      </c>
      <c r="T56" s="558">
        <f t="shared" si="110"/>
        <v>-181574</v>
      </c>
      <c r="U56" s="558">
        <f t="shared" si="110"/>
        <v>0</v>
      </c>
      <c r="V56" s="558">
        <f t="shared" si="110"/>
        <v>0</v>
      </c>
      <c r="W56" s="558">
        <f t="shared" si="110"/>
        <v>0</v>
      </c>
      <c r="X56" s="558">
        <f t="shared" si="110"/>
        <v>-181574</v>
      </c>
      <c r="Y56" s="558">
        <f t="shared" si="110"/>
        <v>0</v>
      </c>
      <c r="Z56" s="558">
        <f t="shared" si="110"/>
        <v>0</v>
      </c>
      <c r="AA56" s="558">
        <f t="shared" si="110"/>
        <v>0</v>
      </c>
      <c r="AB56" s="558">
        <f t="shared" si="110"/>
        <v>0</v>
      </c>
      <c r="AC56" s="558">
        <f t="shared" si="110"/>
        <v>-181574</v>
      </c>
      <c r="AD56" s="558">
        <f t="shared" si="110"/>
        <v>-61372</v>
      </c>
      <c r="AE56" s="558">
        <f t="shared" si="110"/>
        <v>-3631</v>
      </c>
      <c r="AF56" s="558">
        <f t="shared" si="110"/>
        <v>2500</v>
      </c>
      <c r="AG56" s="558">
        <f t="shared" si="110"/>
        <v>0</v>
      </c>
      <c r="AH56" s="558">
        <f t="shared" si="110"/>
        <v>2500</v>
      </c>
      <c r="AI56" s="558">
        <f t="shared" si="110"/>
        <v>-244077</v>
      </c>
      <c r="AJ56" s="559">
        <f t="shared" si="110"/>
        <v>0</v>
      </c>
      <c r="AK56" s="559">
        <f t="shared" si="110"/>
        <v>0</v>
      </c>
      <c r="AL56" s="559">
        <f t="shared" si="110"/>
        <v>0</v>
      </c>
      <c r="AM56" s="559">
        <f t="shared" si="110"/>
        <v>-0.32</v>
      </c>
      <c r="AN56" s="559">
        <f t="shared" si="110"/>
        <v>0.06</v>
      </c>
      <c r="AO56" s="559">
        <f t="shared" si="110"/>
        <v>0</v>
      </c>
      <c r="AP56" s="559">
        <f t="shared" si="110"/>
        <v>0</v>
      </c>
      <c r="AQ56" s="559">
        <f t="shared" si="110"/>
        <v>0</v>
      </c>
      <c r="AR56" s="559">
        <f t="shared" si="110"/>
        <v>-0.32</v>
      </c>
      <c r="AS56" s="559">
        <f t="shared" si="110"/>
        <v>0.06</v>
      </c>
      <c r="AT56" s="318">
        <f t="shared" si="110"/>
        <v>-0.26</v>
      </c>
      <c r="AU56" s="565">
        <f t="shared" si="110"/>
        <v>31534124</v>
      </c>
      <c r="AV56" s="558">
        <f t="shared" si="110"/>
        <v>22818982</v>
      </c>
      <c r="AW56" s="558">
        <f t="shared" si="110"/>
        <v>3900</v>
      </c>
      <c r="AX56" s="558">
        <f t="shared" si="110"/>
        <v>7714134</v>
      </c>
      <c r="AY56" s="558">
        <f t="shared" si="110"/>
        <v>456380</v>
      </c>
      <c r="AZ56" s="558">
        <f t="shared" si="110"/>
        <v>540728</v>
      </c>
      <c r="BA56" s="559">
        <f t="shared" si="110"/>
        <v>44.974899999999998</v>
      </c>
      <c r="BB56" s="559">
        <f t="shared" si="110"/>
        <v>32.825499999999998</v>
      </c>
      <c r="BC56" s="318">
        <f t="shared" si="110"/>
        <v>12.1494</v>
      </c>
    </row>
    <row r="57" spans="1:55" ht="12.95" customHeight="1" x14ac:dyDescent="0.25">
      <c r="A57" s="308">
        <v>11</v>
      </c>
      <c r="B57" s="309">
        <v>4469</v>
      </c>
      <c r="C57" s="309">
        <v>600075079</v>
      </c>
      <c r="D57" s="309">
        <v>70695334</v>
      </c>
      <c r="E57" s="311" t="s">
        <v>348</v>
      </c>
      <c r="F57" s="309">
        <v>3231</v>
      </c>
      <c r="G57" s="312" t="s">
        <v>418</v>
      </c>
      <c r="H57" s="312" t="s">
        <v>277</v>
      </c>
      <c r="I57" s="477">
        <v>3054861</v>
      </c>
      <c r="J57" s="472">
        <v>2242265</v>
      </c>
      <c r="K57" s="472">
        <v>0</v>
      </c>
      <c r="L57" s="472">
        <v>757886</v>
      </c>
      <c r="M57" s="472">
        <v>44845</v>
      </c>
      <c r="N57" s="472">
        <v>9865</v>
      </c>
      <c r="O57" s="473">
        <v>4.1668000000000003</v>
      </c>
      <c r="P57" s="474">
        <v>3.6964999999999999</v>
      </c>
      <c r="Q57" s="483">
        <v>0.4703</v>
      </c>
      <c r="R57" s="485">
        <f t="shared" ref="R57" si="111">Y57*-1</f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ref="AB57" si="112">SUM(Y57:AA57)</f>
        <v>0</v>
      </c>
      <c r="AC57" s="475">
        <f t="shared" ref="AC57" si="113">X57+AB57</f>
        <v>0</v>
      </c>
      <c r="AD57" s="70">
        <f t="shared" ref="AD57" si="114">ROUND((X57+Y57+Z57)*33.8%,0)</f>
        <v>0</v>
      </c>
      <c r="AE57" s="70">
        <f t="shared" ref="AE57" si="115">ROUND(X57*2%,0)</f>
        <v>0</v>
      </c>
      <c r="AF57" s="475">
        <v>0</v>
      </c>
      <c r="AG57" s="475">
        <v>0</v>
      </c>
      <c r="AH57" s="475">
        <f t="shared" ref="AH57" si="116">SUM(AF57:AG57)</f>
        <v>0</v>
      </c>
      <c r="AI57" s="475">
        <f t="shared" ref="AI57" si="117">AC57+AD57+AE57+AH57</f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ref="AT57" si="118">SUM(AR57:AS57)</f>
        <v>0</v>
      </c>
      <c r="AU57" s="484">
        <f>I57+AI57</f>
        <v>3054861</v>
      </c>
      <c r="AV57" s="475">
        <f>J57+X57</f>
        <v>2242265</v>
      </c>
      <c r="AW57" s="475">
        <f>K57+AB57</f>
        <v>0</v>
      </c>
      <c r="AX57" s="475">
        <f>L57+AD57</f>
        <v>757886</v>
      </c>
      <c r="AY57" s="475">
        <f>M57+AE57</f>
        <v>44845</v>
      </c>
      <c r="AZ57" s="475">
        <f>N57+AH57</f>
        <v>9865</v>
      </c>
      <c r="BA57" s="476">
        <f>O57+AT57</f>
        <v>4.1668000000000003</v>
      </c>
      <c r="BB57" s="476">
        <f>P57+AR57</f>
        <v>3.6964999999999999</v>
      </c>
      <c r="BC57" s="478">
        <f>Q57+AS57</f>
        <v>0.4703</v>
      </c>
    </row>
    <row r="58" spans="1:55" ht="12.95" customHeight="1" x14ac:dyDescent="0.25">
      <c r="A58" s="301">
        <v>11</v>
      </c>
      <c r="B58" s="303">
        <v>4469</v>
      </c>
      <c r="C58" s="303">
        <v>600075079</v>
      </c>
      <c r="D58" s="303">
        <v>70695334</v>
      </c>
      <c r="E58" s="316" t="s">
        <v>349</v>
      </c>
      <c r="F58" s="319"/>
      <c r="G58" s="320"/>
      <c r="H58" s="320"/>
      <c r="I58" s="561">
        <v>3054861</v>
      </c>
      <c r="J58" s="558">
        <v>2242265</v>
      </c>
      <c r="K58" s="558">
        <v>0</v>
      </c>
      <c r="L58" s="558">
        <v>757886</v>
      </c>
      <c r="M58" s="558">
        <v>44845</v>
      </c>
      <c r="N58" s="558">
        <v>9865</v>
      </c>
      <c r="O58" s="559">
        <v>4.1668000000000003</v>
      </c>
      <c r="P58" s="559">
        <v>3.6964999999999999</v>
      </c>
      <c r="Q58" s="563">
        <v>0.4703</v>
      </c>
      <c r="R58" s="561">
        <f t="shared" ref="R58:BC58" si="119">SUM(R57)</f>
        <v>0</v>
      </c>
      <c r="S58" s="558">
        <f t="shared" si="119"/>
        <v>0</v>
      </c>
      <c r="T58" s="558">
        <f t="shared" si="119"/>
        <v>0</v>
      </c>
      <c r="U58" s="558">
        <f t="shared" si="119"/>
        <v>0</v>
      </c>
      <c r="V58" s="558">
        <f t="shared" si="119"/>
        <v>0</v>
      </c>
      <c r="W58" s="558">
        <f t="shared" si="119"/>
        <v>0</v>
      </c>
      <c r="X58" s="558">
        <f t="shared" si="119"/>
        <v>0</v>
      </c>
      <c r="Y58" s="558">
        <f t="shared" si="119"/>
        <v>0</v>
      </c>
      <c r="Z58" s="558">
        <f t="shared" si="119"/>
        <v>0</v>
      </c>
      <c r="AA58" s="558">
        <f t="shared" si="119"/>
        <v>0</v>
      </c>
      <c r="AB58" s="558">
        <f t="shared" si="119"/>
        <v>0</v>
      </c>
      <c r="AC58" s="558">
        <f t="shared" si="119"/>
        <v>0</v>
      </c>
      <c r="AD58" s="558">
        <f t="shared" si="119"/>
        <v>0</v>
      </c>
      <c r="AE58" s="558">
        <f t="shared" si="119"/>
        <v>0</v>
      </c>
      <c r="AF58" s="558">
        <f t="shared" si="119"/>
        <v>0</v>
      </c>
      <c r="AG58" s="558">
        <f t="shared" si="119"/>
        <v>0</v>
      </c>
      <c r="AH58" s="558">
        <f t="shared" si="119"/>
        <v>0</v>
      </c>
      <c r="AI58" s="558">
        <f t="shared" si="119"/>
        <v>0</v>
      </c>
      <c r="AJ58" s="559">
        <f t="shared" si="119"/>
        <v>0</v>
      </c>
      <c r="AK58" s="559">
        <f t="shared" si="119"/>
        <v>0</v>
      </c>
      <c r="AL58" s="559">
        <f t="shared" si="119"/>
        <v>0</v>
      </c>
      <c r="AM58" s="559">
        <f t="shared" si="119"/>
        <v>0</v>
      </c>
      <c r="AN58" s="559">
        <f t="shared" si="119"/>
        <v>0</v>
      </c>
      <c r="AO58" s="559">
        <f t="shared" si="119"/>
        <v>0</v>
      </c>
      <c r="AP58" s="559">
        <f t="shared" si="119"/>
        <v>0</v>
      </c>
      <c r="AQ58" s="559">
        <f t="shared" si="119"/>
        <v>0</v>
      </c>
      <c r="AR58" s="559">
        <f t="shared" si="119"/>
        <v>0</v>
      </c>
      <c r="AS58" s="559">
        <f t="shared" si="119"/>
        <v>0</v>
      </c>
      <c r="AT58" s="318">
        <f t="shared" si="119"/>
        <v>0</v>
      </c>
      <c r="AU58" s="565">
        <f t="shared" si="119"/>
        <v>3054861</v>
      </c>
      <c r="AV58" s="558">
        <f t="shared" si="119"/>
        <v>2242265</v>
      </c>
      <c r="AW58" s="558">
        <f t="shared" si="119"/>
        <v>0</v>
      </c>
      <c r="AX58" s="558">
        <f t="shared" si="119"/>
        <v>757886</v>
      </c>
      <c r="AY58" s="558">
        <f t="shared" si="119"/>
        <v>44845</v>
      </c>
      <c r="AZ58" s="558">
        <f t="shared" si="119"/>
        <v>9865</v>
      </c>
      <c r="BA58" s="559">
        <f t="shared" si="119"/>
        <v>4.1668000000000003</v>
      </c>
      <c r="BB58" s="559">
        <f t="shared" si="119"/>
        <v>3.6964999999999999</v>
      </c>
      <c r="BC58" s="318">
        <f t="shared" si="119"/>
        <v>0.4703</v>
      </c>
    </row>
    <row r="59" spans="1:55" ht="12.95" customHeight="1" x14ac:dyDescent="0.25">
      <c r="A59" s="308">
        <v>12</v>
      </c>
      <c r="B59" s="309">
        <v>4451</v>
      </c>
      <c r="C59" s="309">
        <v>600074927</v>
      </c>
      <c r="D59" s="309">
        <v>49864653</v>
      </c>
      <c r="E59" s="311" t="s">
        <v>350</v>
      </c>
      <c r="F59" s="309">
        <v>3111</v>
      </c>
      <c r="G59" s="312" t="s">
        <v>325</v>
      </c>
      <c r="H59" s="312" t="s">
        <v>277</v>
      </c>
      <c r="I59" s="477">
        <v>7632721</v>
      </c>
      <c r="J59" s="472">
        <v>5548013</v>
      </c>
      <c r="K59" s="472">
        <v>40000</v>
      </c>
      <c r="L59" s="472">
        <v>1888748</v>
      </c>
      <c r="M59" s="472">
        <v>110960</v>
      </c>
      <c r="N59" s="472">
        <v>45000</v>
      </c>
      <c r="O59" s="473">
        <v>12.369800000000001</v>
      </c>
      <c r="P59" s="474">
        <v>10.065200000000001</v>
      </c>
      <c r="Q59" s="483">
        <v>2.3046000000000002</v>
      </c>
      <c r="R59" s="485">
        <f t="shared" ref="R59:R64" si="120">Y59*-1</f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ref="X59:X64" si="121">SUM(R59:W59)</f>
        <v>0</v>
      </c>
      <c r="Y59" s="475">
        <v>0</v>
      </c>
      <c r="Z59" s="475">
        <v>0</v>
      </c>
      <c r="AA59" s="475">
        <v>0</v>
      </c>
      <c r="AB59" s="475">
        <f t="shared" ref="AB59:AB64" si="122">SUM(Y59:AA59)</f>
        <v>0</v>
      </c>
      <c r="AC59" s="475">
        <f t="shared" ref="AC59:AC64" si="123">X59+AB59</f>
        <v>0</v>
      </c>
      <c r="AD59" s="70">
        <f t="shared" ref="AD59:AD64" si="124">ROUND((X59+Y59+Z59)*33.8%,0)</f>
        <v>0</v>
      </c>
      <c r="AE59" s="70">
        <f t="shared" ref="AE59:AE64" si="125">ROUND(X59*2%,0)</f>
        <v>0</v>
      </c>
      <c r="AF59" s="475">
        <v>0</v>
      </c>
      <c r="AG59" s="475">
        <v>0</v>
      </c>
      <c r="AH59" s="475">
        <f t="shared" ref="AH59:AH64" si="126">SUM(AF59:AG59)</f>
        <v>0</v>
      </c>
      <c r="AI59" s="475">
        <f t="shared" ref="AI59:AI64" si="127">AC59+AD59+AE59+AH59</f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ref="AR59:AR64" si="128">AJ59+AL59+AM59+AO59+AP59</f>
        <v>0</v>
      </c>
      <c r="AS59" s="476">
        <f t="shared" ref="AS59:AS64" si="129">AK59+AN59+AQ59</f>
        <v>0</v>
      </c>
      <c r="AT59" s="478">
        <f t="shared" ref="AT59:AT64" si="130">SUM(AR59:AS59)</f>
        <v>0</v>
      </c>
      <c r="AU59" s="484">
        <f t="shared" ref="AU59:AU64" si="131">I59+AI59</f>
        <v>7632721</v>
      </c>
      <c r="AV59" s="475">
        <f t="shared" ref="AV59:AV64" si="132">J59+X59</f>
        <v>5548013</v>
      </c>
      <c r="AW59" s="475">
        <f t="shared" ref="AW59:AW64" si="133">K59+AB59</f>
        <v>40000</v>
      </c>
      <c r="AX59" s="475">
        <f t="shared" ref="AX59:AY64" si="134">L59+AD59</f>
        <v>1888748</v>
      </c>
      <c r="AY59" s="475">
        <f t="shared" si="134"/>
        <v>110960</v>
      </c>
      <c r="AZ59" s="475">
        <f t="shared" ref="AZ59:AZ64" si="135">N59+AH59</f>
        <v>45000</v>
      </c>
      <c r="BA59" s="476">
        <f t="shared" ref="BA59:BA64" si="136">O59+AT59</f>
        <v>12.369800000000001</v>
      </c>
      <c r="BB59" s="476">
        <f t="shared" ref="BB59:BC64" si="137">P59+AR59</f>
        <v>10.065200000000001</v>
      </c>
      <c r="BC59" s="478">
        <f t="shared" si="137"/>
        <v>2.3046000000000002</v>
      </c>
    </row>
    <row r="60" spans="1:55" ht="12.95" customHeight="1" x14ac:dyDescent="0.25">
      <c r="A60" s="308">
        <v>12</v>
      </c>
      <c r="B60" s="309">
        <v>4451</v>
      </c>
      <c r="C60" s="309">
        <v>600074927</v>
      </c>
      <c r="D60" s="309">
        <v>49864653</v>
      </c>
      <c r="E60" s="311" t="s">
        <v>350</v>
      </c>
      <c r="F60" s="309">
        <v>3113</v>
      </c>
      <c r="G60" s="312" t="s">
        <v>329</v>
      </c>
      <c r="H60" s="312" t="s">
        <v>277</v>
      </c>
      <c r="I60" s="477">
        <v>28822582</v>
      </c>
      <c r="J60" s="472">
        <v>20736577</v>
      </c>
      <c r="K60" s="472">
        <v>72100</v>
      </c>
      <c r="L60" s="472">
        <v>7033334</v>
      </c>
      <c r="M60" s="472">
        <v>414731</v>
      </c>
      <c r="N60" s="472">
        <v>565840</v>
      </c>
      <c r="O60" s="473">
        <v>37.385999999999996</v>
      </c>
      <c r="P60" s="474">
        <v>28.5154</v>
      </c>
      <c r="Q60" s="483">
        <v>8.8705999999999996</v>
      </c>
      <c r="R60" s="485">
        <f t="shared" si="120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21"/>
        <v>0</v>
      </c>
      <c r="Y60" s="475">
        <v>0</v>
      </c>
      <c r="Z60" s="475">
        <v>0</v>
      </c>
      <c r="AA60" s="475">
        <v>0</v>
      </c>
      <c r="AB60" s="475">
        <f t="shared" si="122"/>
        <v>0</v>
      </c>
      <c r="AC60" s="475">
        <f t="shared" si="123"/>
        <v>0</v>
      </c>
      <c r="AD60" s="70">
        <f t="shared" si="124"/>
        <v>0</v>
      </c>
      <c r="AE60" s="70">
        <f t="shared" si="125"/>
        <v>0</v>
      </c>
      <c r="AF60" s="475">
        <v>0</v>
      </c>
      <c r="AG60" s="475">
        <v>0</v>
      </c>
      <c r="AH60" s="475">
        <f t="shared" si="126"/>
        <v>0</v>
      </c>
      <c r="AI60" s="475">
        <f t="shared" si="127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28"/>
        <v>0</v>
      </c>
      <c r="AS60" s="476">
        <f t="shared" si="129"/>
        <v>0</v>
      </c>
      <c r="AT60" s="478">
        <f t="shared" si="130"/>
        <v>0</v>
      </c>
      <c r="AU60" s="484">
        <f t="shared" si="131"/>
        <v>28822582</v>
      </c>
      <c r="AV60" s="475">
        <f t="shared" si="132"/>
        <v>20736577</v>
      </c>
      <c r="AW60" s="475">
        <f t="shared" si="133"/>
        <v>72100</v>
      </c>
      <c r="AX60" s="475">
        <f t="shared" si="134"/>
        <v>7033334</v>
      </c>
      <c r="AY60" s="475">
        <f t="shared" si="134"/>
        <v>414731</v>
      </c>
      <c r="AZ60" s="475">
        <f t="shared" si="135"/>
        <v>565840</v>
      </c>
      <c r="BA60" s="476">
        <f t="shared" si="136"/>
        <v>37.385999999999996</v>
      </c>
      <c r="BB60" s="476">
        <f t="shared" si="137"/>
        <v>28.5154</v>
      </c>
      <c r="BC60" s="478">
        <f t="shared" si="137"/>
        <v>8.8705999999999996</v>
      </c>
    </row>
    <row r="61" spans="1:55" ht="12.95" customHeight="1" x14ac:dyDescent="0.25">
      <c r="A61" s="308">
        <v>12</v>
      </c>
      <c r="B61" s="309">
        <v>4451</v>
      </c>
      <c r="C61" s="309">
        <v>600074927</v>
      </c>
      <c r="D61" s="309">
        <v>49864653</v>
      </c>
      <c r="E61" s="311" t="s">
        <v>350</v>
      </c>
      <c r="F61" s="309">
        <v>3113</v>
      </c>
      <c r="G61" s="312" t="s">
        <v>319</v>
      </c>
      <c r="H61" s="312" t="s">
        <v>278</v>
      </c>
      <c r="I61" s="477">
        <v>5057617</v>
      </c>
      <c r="J61" s="472">
        <v>3723576</v>
      </c>
      <c r="K61" s="472">
        <v>0</v>
      </c>
      <c r="L61" s="472">
        <v>1258569</v>
      </c>
      <c r="M61" s="472">
        <v>74472</v>
      </c>
      <c r="N61" s="472">
        <v>1000</v>
      </c>
      <c r="O61" s="473">
        <v>11.739999999999998</v>
      </c>
      <c r="P61" s="474">
        <v>11.739999999999998</v>
      </c>
      <c r="Q61" s="483">
        <v>0</v>
      </c>
      <c r="R61" s="485">
        <f t="shared" si="120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21"/>
        <v>0</v>
      </c>
      <c r="Y61" s="475">
        <v>0</v>
      </c>
      <c r="Z61" s="475">
        <v>0</v>
      </c>
      <c r="AA61" s="475">
        <v>0</v>
      </c>
      <c r="AB61" s="475">
        <f t="shared" si="122"/>
        <v>0</v>
      </c>
      <c r="AC61" s="475">
        <f t="shared" si="123"/>
        <v>0</v>
      </c>
      <c r="AD61" s="70">
        <f t="shared" si="124"/>
        <v>0</v>
      </c>
      <c r="AE61" s="70">
        <f t="shared" si="125"/>
        <v>0</v>
      </c>
      <c r="AF61" s="475">
        <v>0</v>
      </c>
      <c r="AG61" s="475">
        <v>0</v>
      </c>
      <c r="AH61" s="475">
        <f t="shared" si="126"/>
        <v>0</v>
      </c>
      <c r="AI61" s="475">
        <f t="shared" si="127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28"/>
        <v>0</v>
      </c>
      <c r="AS61" s="476">
        <f t="shared" si="129"/>
        <v>0</v>
      </c>
      <c r="AT61" s="478">
        <f t="shared" si="130"/>
        <v>0</v>
      </c>
      <c r="AU61" s="484">
        <f t="shared" si="131"/>
        <v>5057617</v>
      </c>
      <c r="AV61" s="475">
        <f t="shared" si="132"/>
        <v>3723576</v>
      </c>
      <c r="AW61" s="475">
        <f t="shared" si="133"/>
        <v>0</v>
      </c>
      <c r="AX61" s="475">
        <f t="shared" si="134"/>
        <v>1258569</v>
      </c>
      <c r="AY61" s="475">
        <f t="shared" si="134"/>
        <v>74472</v>
      </c>
      <c r="AZ61" s="475">
        <f t="shared" si="135"/>
        <v>1000</v>
      </c>
      <c r="BA61" s="476">
        <f t="shared" si="136"/>
        <v>11.739999999999998</v>
      </c>
      <c r="BB61" s="476">
        <f t="shared" si="137"/>
        <v>11.739999999999998</v>
      </c>
      <c r="BC61" s="478">
        <f t="shared" si="137"/>
        <v>0</v>
      </c>
    </row>
    <row r="62" spans="1:55" ht="12.95" customHeight="1" x14ac:dyDescent="0.25">
      <c r="A62" s="308">
        <v>12</v>
      </c>
      <c r="B62" s="309">
        <v>4451</v>
      </c>
      <c r="C62" s="309">
        <v>600074927</v>
      </c>
      <c r="D62" s="309">
        <v>49864653</v>
      </c>
      <c r="E62" s="311" t="s">
        <v>350</v>
      </c>
      <c r="F62" s="309">
        <v>3141</v>
      </c>
      <c r="G62" s="312" t="s">
        <v>315</v>
      </c>
      <c r="H62" s="312" t="s">
        <v>278</v>
      </c>
      <c r="I62" s="477">
        <v>4167930</v>
      </c>
      <c r="J62" s="472">
        <v>3042946</v>
      </c>
      <c r="K62" s="472">
        <v>4500</v>
      </c>
      <c r="L62" s="472">
        <v>1030037</v>
      </c>
      <c r="M62" s="472">
        <v>60859</v>
      </c>
      <c r="N62" s="472">
        <v>29588</v>
      </c>
      <c r="O62" s="473">
        <v>9.6</v>
      </c>
      <c r="P62" s="474">
        <v>0</v>
      </c>
      <c r="Q62" s="483">
        <v>9.6</v>
      </c>
      <c r="R62" s="485">
        <f t="shared" si="120"/>
        <v>0</v>
      </c>
      <c r="S62" s="475">
        <v>0</v>
      </c>
      <c r="T62" s="475">
        <v>-19845</v>
      </c>
      <c r="U62" s="475">
        <v>0</v>
      </c>
      <c r="V62" s="475">
        <v>0</v>
      </c>
      <c r="W62" s="475">
        <v>0</v>
      </c>
      <c r="X62" s="475">
        <f t="shared" si="121"/>
        <v>-19845</v>
      </c>
      <c r="Y62" s="475">
        <v>0</v>
      </c>
      <c r="Z62" s="475">
        <v>0</v>
      </c>
      <c r="AA62" s="475">
        <v>0</v>
      </c>
      <c r="AB62" s="475">
        <f t="shared" si="122"/>
        <v>0</v>
      </c>
      <c r="AC62" s="475">
        <f t="shared" si="123"/>
        <v>-19845</v>
      </c>
      <c r="AD62" s="70">
        <f t="shared" si="124"/>
        <v>-6708</v>
      </c>
      <c r="AE62" s="70">
        <f t="shared" si="125"/>
        <v>-397</v>
      </c>
      <c r="AF62" s="475">
        <v>0</v>
      </c>
      <c r="AG62" s="475">
        <v>0</v>
      </c>
      <c r="AH62" s="475">
        <f t="shared" si="126"/>
        <v>0</v>
      </c>
      <c r="AI62" s="475">
        <f t="shared" si="127"/>
        <v>-26950</v>
      </c>
      <c r="AJ62" s="476">
        <v>0</v>
      </c>
      <c r="AK62" s="476">
        <v>0</v>
      </c>
      <c r="AL62" s="476">
        <v>0</v>
      </c>
      <c r="AM62" s="476">
        <v>0</v>
      </c>
      <c r="AN62" s="476">
        <v>-7.0000000000000007E-2</v>
      </c>
      <c r="AO62" s="476">
        <v>0</v>
      </c>
      <c r="AP62" s="476">
        <v>0</v>
      </c>
      <c r="AQ62" s="476">
        <v>0</v>
      </c>
      <c r="AR62" s="476">
        <f t="shared" si="128"/>
        <v>0</v>
      </c>
      <c r="AS62" s="476">
        <f t="shared" si="129"/>
        <v>-7.0000000000000007E-2</v>
      </c>
      <c r="AT62" s="478">
        <f t="shared" si="130"/>
        <v>-7.0000000000000007E-2</v>
      </c>
      <c r="AU62" s="484">
        <f t="shared" si="131"/>
        <v>4140980</v>
      </c>
      <c r="AV62" s="475">
        <f t="shared" si="132"/>
        <v>3023101</v>
      </c>
      <c r="AW62" s="475">
        <f t="shared" si="133"/>
        <v>4500</v>
      </c>
      <c r="AX62" s="475">
        <f t="shared" si="134"/>
        <v>1023329</v>
      </c>
      <c r="AY62" s="475">
        <f t="shared" si="134"/>
        <v>60462</v>
      </c>
      <c r="AZ62" s="475">
        <f t="shared" si="135"/>
        <v>29588</v>
      </c>
      <c r="BA62" s="476">
        <f t="shared" si="136"/>
        <v>9.5299999999999994</v>
      </c>
      <c r="BB62" s="476">
        <f t="shared" si="137"/>
        <v>0</v>
      </c>
      <c r="BC62" s="478">
        <f t="shared" si="137"/>
        <v>9.5299999999999994</v>
      </c>
    </row>
    <row r="63" spans="1:55" ht="12.95" customHeight="1" x14ac:dyDescent="0.25">
      <c r="A63" s="308">
        <v>12</v>
      </c>
      <c r="B63" s="309">
        <v>4451</v>
      </c>
      <c r="C63" s="309">
        <v>600074927</v>
      </c>
      <c r="D63" s="309">
        <v>49864653</v>
      </c>
      <c r="E63" s="311" t="s">
        <v>350</v>
      </c>
      <c r="F63" s="309">
        <v>3143</v>
      </c>
      <c r="G63" s="312" t="s">
        <v>626</v>
      </c>
      <c r="H63" s="312" t="s">
        <v>277</v>
      </c>
      <c r="I63" s="477">
        <v>2414453</v>
      </c>
      <c r="J63" s="472">
        <v>1777948</v>
      </c>
      <c r="K63" s="472">
        <v>0</v>
      </c>
      <c r="L63" s="472">
        <v>600946</v>
      </c>
      <c r="M63" s="472">
        <v>35559</v>
      </c>
      <c r="N63" s="472">
        <v>0</v>
      </c>
      <c r="O63" s="473">
        <v>3.5356999999999998</v>
      </c>
      <c r="P63" s="474">
        <v>3.5356999999999998</v>
      </c>
      <c r="Q63" s="483">
        <v>0</v>
      </c>
      <c r="R63" s="485">
        <f t="shared" si="120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21"/>
        <v>0</v>
      </c>
      <c r="Y63" s="475">
        <v>0</v>
      </c>
      <c r="Z63" s="475">
        <v>0</v>
      </c>
      <c r="AA63" s="475">
        <v>0</v>
      </c>
      <c r="AB63" s="475">
        <f t="shared" si="122"/>
        <v>0</v>
      </c>
      <c r="AC63" s="475">
        <f t="shared" si="123"/>
        <v>0</v>
      </c>
      <c r="AD63" s="70">
        <f t="shared" si="124"/>
        <v>0</v>
      </c>
      <c r="AE63" s="70">
        <f t="shared" si="125"/>
        <v>0</v>
      </c>
      <c r="AF63" s="475">
        <v>0</v>
      </c>
      <c r="AG63" s="475">
        <v>0</v>
      </c>
      <c r="AH63" s="475">
        <f t="shared" si="126"/>
        <v>0</v>
      </c>
      <c r="AI63" s="475">
        <f t="shared" si="127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 t="shared" si="128"/>
        <v>0</v>
      </c>
      <c r="AS63" s="476">
        <f t="shared" si="129"/>
        <v>0</v>
      </c>
      <c r="AT63" s="478">
        <f t="shared" si="130"/>
        <v>0</v>
      </c>
      <c r="AU63" s="484">
        <f t="shared" si="131"/>
        <v>2414453</v>
      </c>
      <c r="AV63" s="475">
        <f t="shared" si="132"/>
        <v>1777948</v>
      </c>
      <c r="AW63" s="475">
        <f t="shared" si="133"/>
        <v>0</v>
      </c>
      <c r="AX63" s="475">
        <f t="shared" si="134"/>
        <v>600946</v>
      </c>
      <c r="AY63" s="475">
        <f t="shared" si="134"/>
        <v>35559</v>
      </c>
      <c r="AZ63" s="475">
        <f t="shared" si="135"/>
        <v>0</v>
      </c>
      <c r="BA63" s="476">
        <f t="shared" si="136"/>
        <v>3.5356999999999998</v>
      </c>
      <c r="BB63" s="476">
        <f t="shared" si="137"/>
        <v>3.5356999999999998</v>
      </c>
      <c r="BC63" s="478">
        <f t="shared" si="137"/>
        <v>0</v>
      </c>
    </row>
    <row r="64" spans="1:55" ht="12.95" customHeight="1" x14ac:dyDescent="0.25">
      <c r="A64" s="308">
        <v>12</v>
      </c>
      <c r="B64" s="309">
        <v>4451</v>
      </c>
      <c r="C64" s="309">
        <v>600074927</v>
      </c>
      <c r="D64" s="309">
        <v>49864653</v>
      </c>
      <c r="E64" s="311" t="s">
        <v>350</v>
      </c>
      <c r="F64" s="309">
        <v>3143</v>
      </c>
      <c r="G64" s="312" t="s">
        <v>627</v>
      </c>
      <c r="H64" s="312" t="s">
        <v>278</v>
      </c>
      <c r="I64" s="477">
        <v>75600</v>
      </c>
      <c r="J64" s="472">
        <v>53461</v>
      </c>
      <c r="K64" s="472">
        <v>0</v>
      </c>
      <c r="L64" s="472">
        <v>18070</v>
      </c>
      <c r="M64" s="472">
        <v>1069</v>
      </c>
      <c r="N64" s="472">
        <v>3000</v>
      </c>
      <c r="O64" s="473">
        <v>0.21</v>
      </c>
      <c r="P64" s="474">
        <v>0</v>
      </c>
      <c r="Q64" s="483">
        <v>0.21</v>
      </c>
      <c r="R64" s="485">
        <f t="shared" si="120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21"/>
        <v>0</v>
      </c>
      <c r="Y64" s="475">
        <v>0</v>
      </c>
      <c r="Z64" s="475">
        <v>0</v>
      </c>
      <c r="AA64" s="475">
        <v>0</v>
      </c>
      <c r="AB64" s="475">
        <f t="shared" si="122"/>
        <v>0</v>
      </c>
      <c r="AC64" s="475">
        <f t="shared" si="123"/>
        <v>0</v>
      </c>
      <c r="AD64" s="70">
        <f t="shared" si="124"/>
        <v>0</v>
      </c>
      <c r="AE64" s="70">
        <f t="shared" si="125"/>
        <v>0</v>
      </c>
      <c r="AF64" s="475">
        <v>0</v>
      </c>
      <c r="AG64" s="475">
        <v>0</v>
      </c>
      <c r="AH64" s="475">
        <f t="shared" si="126"/>
        <v>0</v>
      </c>
      <c r="AI64" s="475">
        <f t="shared" si="127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si="128"/>
        <v>0</v>
      </c>
      <c r="AS64" s="476">
        <f t="shared" si="129"/>
        <v>0</v>
      </c>
      <c r="AT64" s="478">
        <f t="shared" si="130"/>
        <v>0</v>
      </c>
      <c r="AU64" s="484">
        <f t="shared" si="131"/>
        <v>75600</v>
      </c>
      <c r="AV64" s="475">
        <f t="shared" si="132"/>
        <v>53461</v>
      </c>
      <c r="AW64" s="475">
        <f t="shared" si="133"/>
        <v>0</v>
      </c>
      <c r="AX64" s="475">
        <f t="shared" si="134"/>
        <v>18070</v>
      </c>
      <c r="AY64" s="475">
        <f t="shared" si="134"/>
        <v>1069</v>
      </c>
      <c r="AZ64" s="475">
        <f t="shared" si="135"/>
        <v>3000</v>
      </c>
      <c r="BA64" s="476">
        <f t="shared" si="136"/>
        <v>0.21</v>
      </c>
      <c r="BB64" s="476">
        <f t="shared" si="137"/>
        <v>0</v>
      </c>
      <c r="BC64" s="478">
        <f t="shared" si="137"/>
        <v>0.21</v>
      </c>
    </row>
    <row r="65" spans="1:55" ht="12.95" customHeight="1" x14ac:dyDescent="0.25">
      <c r="A65" s="301">
        <v>12</v>
      </c>
      <c r="B65" s="303">
        <v>4451</v>
      </c>
      <c r="C65" s="303">
        <v>600074927</v>
      </c>
      <c r="D65" s="303">
        <v>49864653</v>
      </c>
      <c r="E65" s="316" t="s">
        <v>351</v>
      </c>
      <c r="F65" s="319"/>
      <c r="G65" s="320"/>
      <c r="H65" s="320"/>
      <c r="I65" s="561">
        <v>48170903</v>
      </c>
      <c r="J65" s="558">
        <v>34882521</v>
      </c>
      <c r="K65" s="558">
        <v>116600</v>
      </c>
      <c r="L65" s="558">
        <v>11829704</v>
      </c>
      <c r="M65" s="558">
        <v>697650</v>
      </c>
      <c r="N65" s="558">
        <v>644428</v>
      </c>
      <c r="O65" s="559">
        <v>74.841499999999982</v>
      </c>
      <c r="P65" s="559">
        <v>53.856299999999997</v>
      </c>
      <c r="Q65" s="563">
        <v>20.985199999999999</v>
      </c>
      <c r="R65" s="561">
        <f t="shared" ref="R65:BC65" si="138">SUM(R59:R64)</f>
        <v>0</v>
      </c>
      <c r="S65" s="558">
        <f t="shared" si="138"/>
        <v>0</v>
      </c>
      <c r="T65" s="558">
        <f t="shared" si="138"/>
        <v>-19845</v>
      </c>
      <c r="U65" s="558">
        <f t="shared" si="138"/>
        <v>0</v>
      </c>
      <c r="V65" s="558">
        <f t="shared" si="138"/>
        <v>0</v>
      </c>
      <c r="W65" s="558">
        <f t="shared" si="138"/>
        <v>0</v>
      </c>
      <c r="X65" s="558">
        <f t="shared" si="138"/>
        <v>-19845</v>
      </c>
      <c r="Y65" s="558">
        <f t="shared" si="138"/>
        <v>0</v>
      </c>
      <c r="Z65" s="558">
        <f t="shared" si="138"/>
        <v>0</v>
      </c>
      <c r="AA65" s="558">
        <f t="shared" si="138"/>
        <v>0</v>
      </c>
      <c r="AB65" s="558">
        <f t="shared" si="138"/>
        <v>0</v>
      </c>
      <c r="AC65" s="558">
        <f t="shared" si="138"/>
        <v>-19845</v>
      </c>
      <c r="AD65" s="558">
        <f t="shared" si="138"/>
        <v>-6708</v>
      </c>
      <c r="AE65" s="558">
        <f t="shared" si="138"/>
        <v>-397</v>
      </c>
      <c r="AF65" s="558">
        <f t="shared" si="138"/>
        <v>0</v>
      </c>
      <c r="AG65" s="558">
        <f t="shared" si="138"/>
        <v>0</v>
      </c>
      <c r="AH65" s="558">
        <f t="shared" si="138"/>
        <v>0</v>
      </c>
      <c r="AI65" s="558">
        <f t="shared" si="138"/>
        <v>-26950</v>
      </c>
      <c r="AJ65" s="559">
        <f t="shared" si="138"/>
        <v>0</v>
      </c>
      <c r="AK65" s="559">
        <f t="shared" si="138"/>
        <v>0</v>
      </c>
      <c r="AL65" s="559">
        <f t="shared" si="138"/>
        <v>0</v>
      </c>
      <c r="AM65" s="559">
        <f t="shared" si="138"/>
        <v>0</v>
      </c>
      <c r="AN65" s="559">
        <f t="shared" si="138"/>
        <v>-7.0000000000000007E-2</v>
      </c>
      <c r="AO65" s="559">
        <f t="shared" si="138"/>
        <v>0</v>
      </c>
      <c r="AP65" s="559">
        <f t="shared" si="138"/>
        <v>0</v>
      </c>
      <c r="AQ65" s="559">
        <f t="shared" si="138"/>
        <v>0</v>
      </c>
      <c r="AR65" s="559">
        <f t="shared" si="138"/>
        <v>0</v>
      </c>
      <c r="AS65" s="559">
        <f t="shared" si="138"/>
        <v>-7.0000000000000007E-2</v>
      </c>
      <c r="AT65" s="318">
        <f t="shared" si="138"/>
        <v>-7.0000000000000007E-2</v>
      </c>
      <c r="AU65" s="565">
        <f t="shared" si="138"/>
        <v>48143953</v>
      </c>
      <c r="AV65" s="558">
        <f t="shared" si="138"/>
        <v>34862676</v>
      </c>
      <c r="AW65" s="558">
        <f t="shared" si="138"/>
        <v>116600</v>
      </c>
      <c r="AX65" s="558">
        <f t="shared" si="138"/>
        <v>11822996</v>
      </c>
      <c r="AY65" s="558">
        <f t="shared" si="138"/>
        <v>697253</v>
      </c>
      <c r="AZ65" s="558">
        <f t="shared" si="138"/>
        <v>644428</v>
      </c>
      <c r="BA65" s="559">
        <f t="shared" si="138"/>
        <v>74.771499999999989</v>
      </c>
      <c r="BB65" s="559">
        <f t="shared" si="138"/>
        <v>53.856299999999997</v>
      </c>
      <c r="BC65" s="318">
        <f t="shared" si="138"/>
        <v>20.915199999999999</v>
      </c>
    </row>
    <row r="66" spans="1:55" ht="12.95" customHeight="1" x14ac:dyDescent="0.25">
      <c r="A66" s="308">
        <v>13</v>
      </c>
      <c r="B66" s="309">
        <v>4450</v>
      </c>
      <c r="C66" s="309">
        <v>650033841</v>
      </c>
      <c r="D66" s="309">
        <v>72744995</v>
      </c>
      <c r="E66" s="311" t="s">
        <v>352</v>
      </c>
      <c r="F66" s="309">
        <v>3111</v>
      </c>
      <c r="G66" s="312" t="s">
        <v>353</v>
      </c>
      <c r="H66" s="312" t="s">
        <v>277</v>
      </c>
      <c r="I66" s="477">
        <v>1555860</v>
      </c>
      <c r="J66" s="472">
        <v>1149334</v>
      </c>
      <c r="K66" s="472">
        <v>-11760</v>
      </c>
      <c r="L66" s="472">
        <v>384500</v>
      </c>
      <c r="M66" s="472">
        <v>22986</v>
      </c>
      <c r="N66" s="472">
        <v>10800</v>
      </c>
      <c r="O66" s="473">
        <v>2.4464000000000001</v>
      </c>
      <c r="P66" s="474">
        <v>1.9355</v>
      </c>
      <c r="Q66" s="483">
        <v>0.51090000000000002</v>
      </c>
      <c r="R66" s="485">
        <f t="shared" ref="R66:R71" si="139">Y66*-1</f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ref="X66:X71" si="140">SUM(R66:W66)</f>
        <v>0</v>
      </c>
      <c r="Y66" s="475">
        <v>0</v>
      </c>
      <c r="Z66" s="475">
        <v>0</v>
      </c>
      <c r="AA66" s="475">
        <v>0</v>
      </c>
      <c r="AB66" s="475">
        <f t="shared" ref="AB66:AB71" si="141">SUM(Y66:AA66)</f>
        <v>0</v>
      </c>
      <c r="AC66" s="475">
        <f t="shared" ref="AC66:AC71" si="142">X66+AB66</f>
        <v>0</v>
      </c>
      <c r="AD66" s="70">
        <f t="shared" ref="AD66:AD71" si="143">ROUND((X66+Y66+Z66)*33.8%,0)</f>
        <v>0</v>
      </c>
      <c r="AE66" s="70">
        <f t="shared" ref="AE66:AE71" si="144">ROUND(X66*2%,0)</f>
        <v>0</v>
      </c>
      <c r="AF66" s="475">
        <v>0</v>
      </c>
      <c r="AG66" s="475">
        <v>0</v>
      </c>
      <c r="AH66" s="475">
        <f t="shared" ref="AH66:AH71" si="145">SUM(AF66:AG66)</f>
        <v>0</v>
      </c>
      <c r="AI66" s="475">
        <f t="shared" ref="AI66:AI71" si="146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ref="AR66:AR71" si="147">AJ66+AL66+AM66+AO66+AP66</f>
        <v>0</v>
      </c>
      <c r="AS66" s="476">
        <f t="shared" ref="AS66:AS71" si="148">AK66+AN66+AQ66</f>
        <v>0</v>
      </c>
      <c r="AT66" s="478">
        <f t="shared" ref="AT66:AT71" si="149">SUM(AR66:AS66)</f>
        <v>0</v>
      </c>
      <c r="AU66" s="484">
        <f t="shared" ref="AU66:AU71" si="150">I66+AI66</f>
        <v>1555860</v>
      </c>
      <c r="AV66" s="475">
        <f t="shared" ref="AV66:AV71" si="151">J66+X66</f>
        <v>1149334</v>
      </c>
      <c r="AW66" s="475">
        <f t="shared" ref="AW66:AW71" si="152">K66+AB66</f>
        <v>-11760</v>
      </c>
      <c r="AX66" s="475">
        <f t="shared" ref="AX66:AY71" si="153">L66+AD66</f>
        <v>384500</v>
      </c>
      <c r="AY66" s="475">
        <f t="shared" si="153"/>
        <v>22986</v>
      </c>
      <c r="AZ66" s="475">
        <f t="shared" ref="AZ66:AZ71" si="154">N66+AH66</f>
        <v>10800</v>
      </c>
      <c r="BA66" s="476">
        <f t="shared" ref="BA66:BA71" si="155">O66+AT66</f>
        <v>2.4464000000000001</v>
      </c>
      <c r="BB66" s="476">
        <f t="shared" ref="BB66:BC71" si="156">P66+AR66</f>
        <v>1.9355</v>
      </c>
      <c r="BC66" s="478">
        <f t="shared" si="156"/>
        <v>0.51090000000000002</v>
      </c>
    </row>
    <row r="67" spans="1:55" ht="12.95" customHeight="1" x14ac:dyDescent="0.25">
      <c r="A67" s="308">
        <v>13</v>
      </c>
      <c r="B67" s="309">
        <v>4450</v>
      </c>
      <c r="C67" s="309">
        <v>650033841</v>
      </c>
      <c r="D67" s="309">
        <v>72744995</v>
      </c>
      <c r="E67" s="311" t="s">
        <v>352</v>
      </c>
      <c r="F67" s="309">
        <v>3117</v>
      </c>
      <c r="G67" s="312" t="s">
        <v>329</v>
      </c>
      <c r="H67" s="312" t="s">
        <v>277</v>
      </c>
      <c r="I67" s="477">
        <v>3480689</v>
      </c>
      <c r="J67" s="472">
        <v>2495727</v>
      </c>
      <c r="K67" s="472">
        <v>28760</v>
      </c>
      <c r="L67" s="472">
        <v>853277</v>
      </c>
      <c r="M67" s="472">
        <v>49915</v>
      </c>
      <c r="N67" s="472">
        <v>53010</v>
      </c>
      <c r="O67" s="473">
        <v>4.915</v>
      </c>
      <c r="P67" s="474">
        <v>3.4998999999999998</v>
      </c>
      <c r="Q67" s="483">
        <v>1.4151</v>
      </c>
      <c r="R67" s="485">
        <f t="shared" si="139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40"/>
        <v>0</v>
      </c>
      <c r="Y67" s="475">
        <v>0</v>
      </c>
      <c r="Z67" s="475">
        <v>0</v>
      </c>
      <c r="AA67" s="475">
        <v>0</v>
      </c>
      <c r="AB67" s="475">
        <f t="shared" si="141"/>
        <v>0</v>
      </c>
      <c r="AC67" s="475">
        <f t="shared" si="142"/>
        <v>0</v>
      </c>
      <c r="AD67" s="70">
        <f t="shared" si="143"/>
        <v>0</v>
      </c>
      <c r="AE67" s="70">
        <f t="shared" si="144"/>
        <v>0</v>
      </c>
      <c r="AF67" s="475">
        <v>0</v>
      </c>
      <c r="AG67" s="475">
        <v>0</v>
      </c>
      <c r="AH67" s="475">
        <f t="shared" si="145"/>
        <v>0</v>
      </c>
      <c r="AI67" s="475">
        <f t="shared" si="146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 t="shared" si="147"/>
        <v>0</v>
      </c>
      <c r="AS67" s="476">
        <f t="shared" si="148"/>
        <v>0</v>
      </c>
      <c r="AT67" s="478">
        <f t="shared" si="149"/>
        <v>0</v>
      </c>
      <c r="AU67" s="484">
        <f t="shared" si="150"/>
        <v>3480689</v>
      </c>
      <c r="AV67" s="475">
        <f t="shared" si="151"/>
        <v>2495727</v>
      </c>
      <c r="AW67" s="475">
        <f t="shared" si="152"/>
        <v>28760</v>
      </c>
      <c r="AX67" s="475">
        <f t="shared" si="153"/>
        <v>853277</v>
      </c>
      <c r="AY67" s="475">
        <f t="shared" si="153"/>
        <v>49915</v>
      </c>
      <c r="AZ67" s="475">
        <f t="shared" si="154"/>
        <v>53010</v>
      </c>
      <c r="BA67" s="476">
        <f t="shared" si="155"/>
        <v>4.915</v>
      </c>
      <c r="BB67" s="476">
        <f t="shared" si="156"/>
        <v>3.4998999999999998</v>
      </c>
      <c r="BC67" s="478">
        <f t="shared" si="156"/>
        <v>1.4151</v>
      </c>
    </row>
    <row r="68" spans="1:55" ht="12.95" customHeight="1" x14ac:dyDescent="0.25">
      <c r="A68" s="308">
        <v>13</v>
      </c>
      <c r="B68" s="309">
        <v>4450</v>
      </c>
      <c r="C68" s="309">
        <v>650033841</v>
      </c>
      <c r="D68" s="309">
        <v>72744995</v>
      </c>
      <c r="E68" s="311" t="s">
        <v>352</v>
      </c>
      <c r="F68" s="309">
        <v>3117</v>
      </c>
      <c r="G68" s="312" t="s">
        <v>319</v>
      </c>
      <c r="H68" s="312" t="s">
        <v>278</v>
      </c>
      <c r="I68" s="477">
        <v>848725</v>
      </c>
      <c r="J68" s="472">
        <v>624982</v>
      </c>
      <c r="K68" s="472">
        <v>0</v>
      </c>
      <c r="L68" s="472">
        <v>211244</v>
      </c>
      <c r="M68" s="472">
        <v>12499</v>
      </c>
      <c r="N68" s="472">
        <v>0</v>
      </c>
      <c r="O68" s="473">
        <v>1.89</v>
      </c>
      <c r="P68" s="474">
        <v>1.89</v>
      </c>
      <c r="Q68" s="483">
        <v>0</v>
      </c>
      <c r="R68" s="485">
        <f t="shared" si="139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40"/>
        <v>0</v>
      </c>
      <c r="Y68" s="475">
        <v>0</v>
      </c>
      <c r="Z68" s="475">
        <v>0</v>
      </c>
      <c r="AA68" s="475">
        <v>0</v>
      </c>
      <c r="AB68" s="475">
        <f t="shared" si="141"/>
        <v>0</v>
      </c>
      <c r="AC68" s="475">
        <f t="shared" si="142"/>
        <v>0</v>
      </c>
      <c r="AD68" s="70">
        <f t="shared" si="143"/>
        <v>0</v>
      </c>
      <c r="AE68" s="70">
        <f t="shared" si="144"/>
        <v>0</v>
      </c>
      <c r="AF68" s="475">
        <v>0</v>
      </c>
      <c r="AG68" s="475">
        <v>0</v>
      </c>
      <c r="AH68" s="475">
        <f t="shared" si="145"/>
        <v>0</v>
      </c>
      <c r="AI68" s="475">
        <f t="shared" si="146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si="147"/>
        <v>0</v>
      </c>
      <c r="AS68" s="476">
        <f t="shared" si="148"/>
        <v>0</v>
      </c>
      <c r="AT68" s="478">
        <f t="shared" si="149"/>
        <v>0</v>
      </c>
      <c r="AU68" s="484">
        <f t="shared" si="150"/>
        <v>848725</v>
      </c>
      <c r="AV68" s="475">
        <f t="shared" si="151"/>
        <v>624982</v>
      </c>
      <c r="AW68" s="475">
        <f t="shared" si="152"/>
        <v>0</v>
      </c>
      <c r="AX68" s="475">
        <f t="shared" si="153"/>
        <v>211244</v>
      </c>
      <c r="AY68" s="475">
        <f t="shared" si="153"/>
        <v>12499</v>
      </c>
      <c r="AZ68" s="475">
        <f t="shared" si="154"/>
        <v>0</v>
      </c>
      <c r="BA68" s="476">
        <f t="shared" si="155"/>
        <v>1.89</v>
      </c>
      <c r="BB68" s="476">
        <f t="shared" si="156"/>
        <v>1.89</v>
      </c>
      <c r="BC68" s="478">
        <f t="shared" si="156"/>
        <v>0</v>
      </c>
    </row>
    <row r="69" spans="1:55" ht="12.95" customHeight="1" x14ac:dyDescent="0.25">
      <c r="A69" s="308">
        <v>13</v>
      </c>
      <c r="B69" s="309">
        <v>4450</v>
      </c>
      <c r="C69" s="309">
        <v>650033841</v>
      </c>
      <c r="D69" s="309">
        <v>72744995</v>
      </c>
      <c r="E69" s="311" t="s">
        <v>352</v>
      </c>
      <c r="F69" s="309">
        <v>3141</v>
      </c>
      <c r="G69" s="312" t="s">
        <v>315</v>
      </c>
      <c r="H69" s="312" t="s">
        <v>278</v>
      </c>
      <c r="I69" s="477">
        <v>302678</v>
      </c>
      <c r="J69" s="472">
        <v>198741</v>
      </c>
      <c r="K69" s="472">
        <v>23000</v>
      </c>
      <c r="L69" s="472">
        <v>74948</v>
      </c>
      <c r="M69" s="472">
        <v>3975</v>
      </c>
      <c r="N69" s="472">
        <v>2014</v>
      </c>
      <c r="O69" s="473">
        <v>0.64999999999999991</v>
      </c>
      <c r="P69" s="474">
        <v>0</v>
      </c>
      <c r="Q69" s="483">
        <v>0.64999999999999991</v>
      </c>
      <c r="R69" s="485">
        <f t="shared" si="139"/>
        <v>0</v>
      </c>
      <c r="S69" s="475">
        <v>0</v>
      </c>
      <c r="T69" s="475">
        <v>-8030</v>
      </c>
      <c r="U69" s="475">
        <v>0</v>
      </c>
      <c r="V69" s="475">
        <v>0</v>
      </c>
      <c r="W69" s="475">
        <v>0</v>
      </c>
      <c r="X69" s="475">
        <f t="shared" si="140"/>
        <v>-8030</v>
      </c>
      <c r="Y69" s="475">
        <v>0</v>
      </c>
      <c r="Z69" s="475">
        <v>0</v>
      </c>
      <c r="AA69" s="475">
        <v>0</v>
      </c>
      <c r="AB69" s="475">
        <f t="shared" si="141"/>
        <v>0</v>
      </c>
      <c r="AC69" s="475">
        <f t="shared" si="142"/>
        <v>-8030</v>
      </c>
      <c r="AD69" s="70">
        <f t="shared" si="143"/>
        <v>-2714</v>
      </c>
      <c r="AE69" s="70">
        <f t="shared" si="144"/>
        <v>-161</v>
      </c>
      <c r="AF69" s="475">
        <v>0</v>
      </c>
      <c r="AG69" s="475">
        <v>0</v>
      </c>
      <c r="AH69" s="475">
        <f t="shared" si="145"/>
        <v>0</v>
      </c>
      <c r="AI69" s="475">
        <f t="shared" si="146"/>
        <v>-10905</v>
      </c>
      <c r="AJ69" s="476">
        <v>0</v>
      </c>
      <c r="AK69" s="476">
        <v>0</v>
      </c>
      <c r="AL69" s="476">
        <v>0</v>
      </c>
      <c r="AM69" s="476">
        <v>0</v>
      </c>
      <c r="AN69" s="476">
        <v>-0.02</v>
      </c>
      <c r="AO69" s="476">
        <v>0</v>
      </c>
      <c r="AP69" s="476">
        <v>0</v>
      </c>
      <c r="AQ69" s="476">
        <v>0</v>
      </c>
      <c r="AR69" s="476">
        <f t="shared" si="147"/>
        <v>0</v>
      </c>
      <c r="AS69" s="476">
        <f t="shared" si="148"/>
        <v>-0.02</v>
      </c>
      <c r="AT69" s="478">
        <f t="shared" si="149"/>
        <v>-0.02</v>
      </c>
      <c r="AU69" s="484">
        <f t="shared" si="150"/>
        <v>291773</v>
      </c>
      <c r="AV69" s="475">
        <f t="shared" si="151"/>
        <v>190711</v>
      </c>
      <c r="AW69" s="475">
        <f t="shared" si="152"/>
        <v>23000</v>
      </c>
      <c r="AX69" s="475">
        <f t="shared" si="153"/>
        <v>72234</v>
      </c>
      <c r="AY69" s="475">
        <f t="shared" si="153"/>
        <v>3814</v>
      </c>
      <c r="AZ69" s="475">
        <f t="shared" si="154"/>
        <v>2014</v>
      </c>
      <c r="BA69" s="476">
        <f t="shared" si="155"/>
        <v>0.62999999999999989</v>
      </c>
      <c r="BB69" s="476">
        <f t="shared" si="156"/>
        <v>0</v>
      </c>
      <c r="BC69" s="478">
        <f t="shared" si="156"/>
        <v>0.62999999999999989</v>
      </c>
    </row>
    <row r="70" spans="1:55" ht="12.95" customHeight="1" x14ac:dyDescent="0.25">
      <c r="A70" s="308">
        <v>13</v>
      </c>
      <c r="B70" s="309">
        <v>4450</v>
      </c>
      <c r="C70" s="309">
        <v>650033841</v>
      </c>
      <c r="D70" s="309">
        <v>72744995</v>
      </c>
      <c r="E70" s="311" t="s">
        <v>352</v>
      </c>
      <c r="F70" s="309">
        <v>3143</v>
      </c>
      <c r="G70" s="312" t="s">
        <v>626</v>
      </c>
      <c r="H70" s="312" t="s">
        <v>277</v>
      </c>
      <c r="I70" s="477">
        <v>413097</v>
      </c>
      <c r="J70" s="472">
        <v>304195</v>
      </c>
      <c r="K70" s="472">
        <v>0</v>
      </c>
      <c r="L70" s="472">
        <v>102818</v>
      </c>
      <c r="M70" s="472">
        <v>6084</v>
      </c>
      <c r="N70" s="472">
        <v>0</v>
      </c>
      <c r="O70" s="473">
        <v>0.66659999999999997</v>
      </c>
      <c r="P70" s="474">
        <v>0.66659999999999997</v>
      </c>
      <c r="Q70" s="483">
        <v>0</v>
      </c>
      <c r="R70" s="485">
        <f t="shared" si="139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40"/>
        <v>0</v>
      </c>
      <c r="Y70" s="475">
        <v>0</v>
      </c>
      <c r="Z70" s="475">
        <v>0</v>
      </c>
      <c r="AA70" s="475">
        <v>0</v>
      </c>
      <c r="AB70" s="475">
        <f t="shared" si="141"/>
        <v>0</v>
      </c>
      <c r="AC70" s="475">
        <f t="shared" si="142"/>
        <v>0</v>
      </c>
      <c r="AD70" s="70">
        <f t="shared" si="143"/>
        <v>0</v>
      </c>
      <c r="AE70" s="70">
        <f t="shared" si="144"/>
        <v>0</v>
      </c>
      <c r="AF70" s="475">
        <v>0</v>
      </c>
      <c r="AG70" s="475">
        <v>0</v>
      </c>
      <c r="AH70" s="475">
        <f t="shared" si="145"/>
        <v>0</v>
      </c>
      <c r="AI70" s="475">
        <f t="shared" si="146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476">
        <f t="shared" si="147"/>
        <v>0</v>
      </c>
      <c r="AS70" s="476">
        <f t="shared" si="148"/>
        <v>0</v>
      </c>
      <c r="AT70" s="478">
        <f t="shared" si="149"/>
        <v>0</v>
      </c>
      <c r="AU70" s="484">
        <f t="shared" si="150"/>
        <v>413097</v>
      </c>
      <c r="AV70" s="475">
        <f t="shared" si="151"/>
        <v>304195</v>
      </c>
      <c r="AW70" s="475">
        <f t="shared" si="152"/>
        <v>0</v>
      </c>
      <c r="AX70" s="475">
        <f t="shared" si="153"/>
        <v>102818</v>
      </c>
      <c r="AY70" s="475">
        <f t="shared" si="153"/>
        <v>6084</v>
      </c>
      <c r="AZ70" s="475">
        <f t="shared" si="154"/>
        <v>0</v>
      </c>
      <c r="BA70" s="476">
        <f t="shared" si="155"/>
        <v>0.66659999999999997</v>
      </c>
      <c r="BB70" s="476">
        <f t="shared" si="156"/>
        <v>0.66659999999999997</v>
      </c>
      <c r="BC70" s="478">
        <f t="shared" si="156"/>
        <v>0</v>
      </c>
    </row>
    <row r="71" spans="1:55" ht="12.95" customHeight="1" x14ac:dyDescent="0.25">
      <c r="A71" s="308">
        <v>13</v>
      </c>
      <c r="B71" s="309">
        <v>4450</v>
      </c>
      <c r="C71" s="309">
        <v>650033841</v>
      </c>
      <c r="D71" s="309">
        <v>72744995</v>
      </c>
      <c r="E71" s="311" t="s">
        <v>352</v>
      </c>
      <c r="F71" s="309">
        <v>3143</v>
      </c>
      <c r="G71" s="312" t="s">
        <v>627</v>
      </c>
      <c r="H71" s="312" t="s">
        <v>278</v>
      </c>
      <c r="I71" s="477">
        <v>13608</v>
      </c>
      <c r="J71" s="472">
        <v>9623</v>
      </c>
      <c r="K71" s="472">
        <v>0</v>
      </c>
      <c r="L71" s="472">
        <v>3253</v>
      </c>
      <c r="M71" s="472">
        <v>192</v>
      </c>
      <c r="N71" s="472">
        <v>540</v>
      </c>
      <c r="O71" s="473">
        <v>0.04</v>
      </c>
      <c r="P71" s="474">
        <v>0</v>
      </c>
      <c r="Q71" s="483">
        <v>0.04</v>
      </c>
      <c r="R71" s="485">
        <f t="shared" si="139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140"/>
        <v>0</v>
      </c>
      <c r="Y71" s="475">
        <v>0</v>
      </c>
      <c r="Z71" s="475">
        <v>0</v>
      </c>
      <c r="AA71" s="475">
        <v>0</v>
      </c>
      <c r="AB71" s="475">
        <f t="shared" si="141"/>
        <v>0</v>
      </c>
      <c r="AC71" s="475">
        <f t="shared" si="142"/>
        <v>0</v>
      </c>
      <c r="AD71" s="70">
        <f t="shared" si="143"/>
        <v>0</v>
      </c>
      <c r="AE71" s="70">
        <f t="shared" si="144"/>
        <v>0</v>
      </c>
      <c r="AF71" s="475">
        <v>0</v>
      </c>
      <c r="AG71" s="475">
        <v>0</v>
      </c>
      <c r="AH71" s="475">
        <f t="shared" si="145"/>
        <v>0</v>
      </c>
      <c r="AI71" s="475">
        <f t="shared" si="146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si="147"/>
        <v>0</v>
      </c>
      <c r="AS71" s="476">
        <f t="shared" si="148"/>
        <v>0</v>
      </c>
      <c r="AT71" s="478">
        <f t="shared" si="149"/>
        <v>0</v>
      </c>
      <c r="AU71" s="484">
        <f t="shared" si="150"/>
        <v>13608</v>
      </c>
      <c r="AV71" s="475">
        <f t="shared" si="151"/>
        <v>9623</v>
      </c>
      <c r="AW71" s="475">
        <f t="shared" si="152"/>
        <v>0</v>
      </c>
      <c r="AX71" s="475">
        <f t="shared" si="153"/>
        <v>3253</v>
      </c>
      <c r="AY71" s="475">
        <f t="shared" si="153"/>
        <v>192</v>
      </c>
      <c r="AZ71" s="475">
        <f t="shared" si="154"/>
        <v>540</v>
      </c>
      <c r="BA71" s="476">
        <f t="shared" si="155"/>
        <v>0.04</v>
      </c>
      <c r="BB71" s="476">
        <f t="shared" si="156"/>
        <v>0</v>
      </c>
      <c r="BC71" s="478">
        <f t="shared" si="156"/>
        <v>0.04</v>
      </c>
    </row>
    <row r="72" spans="1:55" ht="12.95" customHeight="1" x14ac:dyDescent="0.25">
      <c r="A72" s="301">
        <v>13</v>
      </c>
      <c r="B72" s="303">
        <v>4450</v>
      </c>
      <c r="C72" s="303">
        <v>650033841</v>
      </c>
      <c r="D72" s="303">
        <v>72744995</v>
      </c>
      <c r="E72" s="316" t="s">
        <v>354</v>
      </c>
      <c r="F72" s="319"/>
      <c r="G72" s="320"/>
      <c r="H72" s="320"/>
      <c r="I72" s="561">
        <v>6614657</v>
      </c>
      <c r="J72" s="558">
        <v>4782602</v>
      </c>
      <c r="K72" s="558">
        <v>40000</v>
      </c>
      <c r="L72" s="558">
        <v>1630040</v>
      </c>
      <c r="M72" s="558">
        <v>95651</v>
      </c>
      <c r="N72" s="558">
        <v>66364</v>
      </c>
      <c r="O72" s="559">
        <v>10.608000000000001</v>
      </c>
      <c r="P72" s="559">
        <v>7.9919999999999991</v>
      </c>
      <c r="Q72" s="563">
        <v>2.6160000000000001</v>
      </c>
      <c r="R72" s="561">
        <f t="shared" ref="R72:BC72" si="157">SUM(R66:R71)</f>
        <v>0</v>
      </c>
      <c r="S72" s="558">
        <f t="shared" si="157"/>
        <v>0</v>
      </c>
      <c r="T72" s="558">
        <f t="shared" si="157"/>
        <v>-8030</v>
      </c>
      <c r="U72" s="558">
        <f t="shared" si="157"/>
        <v>0</v>
      </c>
      <c r="V72" s="558">
        <f t="shared" si="157"/>
        <v>0</v>
      </c>
      <c r="W72" s="558">
        <f t="shared" si="157"/>
        <v>0</v>
      </c>
      <c r="X72" s="558">
        <f t="shared" si="157"/>
        <v>-8030</v>
      </c>
      <c r="Y72" s="558">
        <f t="shared" si="157"/>
        <v>0</v>
      </c>
      <c r="Z72" s="558">
        <f t="shared" si="157"/>
        <v>0</v>
      </c>
      <c r="AA72" s="558">
        <f t="shared" si="157"/>
        <v>0</v>
      </c>
      <c r="AB72" s="558">
        <f t="shared" si="157"/>
        <v>0</v>
      </c>
      <c r="AC72" s="558">
        <f t="shared" si="157"/>
        <v>-8030</v>
      </c>
      <c r="AD72" s="558">
        <f t="shared" si="157"/>
        <v>-2714</v>
      </c>
      <c r="AE72" s="558">
        <f t="shared" si="157"/>
        <v>-161</v>
      </c>
      <c r="AF72" s="558">
        <f t="shared" si="157"/>
        <v>0</v>
      </c>
      <c r="AG72" s="558">
        <f t="shared" si="157"/>
        <v>0</v>
      </c>
      <c r="AH72" s="558">
        <f t="shared" si="157"/>
        <v>0</v>
      </c>
      <c r="AI72" s="558">
        <f t="shared" si="157"/>
        <v>-10905</v>
      </c>
      <c r="AJ72" s="559">
        <f t="shared" si="157"/>
        <v>0</v>
      </c>
      <c r="AK72" s="559">
        <f t="shared" si="157"/>
        <v>0</v>
      </c>
      <c r="AL72" s="559">
        <f t="shared" si="157"/>
        <v>0</v>
      </c>
      <c r="AM72" s="559">
        <f t="shared" si="157"/>
        <v>0</v>
      </c>
      <c r="AN72" s="559">
        <f t="shared" si="157"/>
        <v>-0.02</v>
      </c>
      <c r="AO72" s="559">
        <f t="shared" si="157"/>
        <v>0</v>
      </c>
      <c r="AP72" s="559">
        <f t="shared" si="157"/>
        <v>0</v>
      </c>
      <c r="AQ72" s="559">
        <f t="shared" si="157"/>
        <v>0</v>
      </c>
      <c r="AR72" s="559">
        <f t="shared" si="157"/>
        <v>0</v>
      </c>
      <c r="AS72" s="559">
        <f t="shared" si="157"/>
        <v>-0.02</v>
      </c>
      <c r="AT72" s="318">
        <f t="shared" si="157"/>
        <v>-0.02</v>
      </c>
      <c r="AU72" s="565">
        <f t="shared" si="157"/>
        <v>6603752</v>
      </c>
      <c r="AV72" s="558">
        <f t="shared" si="157"/>
        <v>4774572</v>
      </c>
      <c r="AW72" s="558">
        <f t="shared" si="157"/>
        <v>40000</v>
      </c>
      <c r="AX72" s="558">
        <f t="shared" si="157"/>
        <v>1627326</v>
      </c>
      <c r="AY72" s="558">
        <f t="shared" si="157"/>
        <v>95490</v>
      </c>
      <c r="AZ72" s="558">
        <f t="shared" si="157"/>
        <v>66364</v>
      </c>
      <c r="BA72" s="559">
        <f t="shared" si="157"/>
        <v>10.587999999999999</v>
      </c>
      <c r="BB72" s="559">
        <f t="shared" si="157"/>
        <v>7.9919999999999991</v>
      </c>
      <c r="BC72" s="318">
        <f t="shared" si="157"/>
        <v>2.5960000000000001</v>
      </c>
    </row>
    <row r="73" spans="1:55" ht="12.95" customHeight="1" x14ac:dyDescent="0.25">
      <c r="A73" s="308">
        <v>14</v>
      </c>
      <c r="B73" s="309">
        <v>4430</v>
      </c>
      <c r="C73" s="309">
        <v>600074862</v>
      </c>
      <c r="D73" s="309">
        <v>70695024</v>
      </c>
      <c r="E73" s="311" t="s">
        <v>355</v>
      </c>
      <c r="F73" s="309">
        <v>3111</v>
      </c>
      <c r="G73" s="312" t="s">
        <v>353</v>
      </c>
      <c r="H73" s="312" t="s">
        <v>277</v>
      </c>
      <c r="I73" s="477">
        <v>1481832</v>
      </c>
      <c r="J73" s="472">
        <v>1082903</v>
      </c>
      <c r="K73" s="472">
        <v>0</v>
      </c>
      <c r="L73" s="472">
        <v>366021</v>
      </c>
      <c r="M73" s="472">
        <v>21658</v>
      </c>
      <c r="N73" s="472">
        <v>11250</v>
      </c>
      <c r="O73" s="473">
        <v>2.3818999999999999</v>
      </c>
      <c r="P73" s="474">
        <v>1.871</v>
      </c>
      <c r="Q73" s="483">
        <v>0.51090000000000002</v>
      </c>
      <c r="R73" s="485">
        <f t="shared" ref="R73:R78" si="158">Y73*-1</f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ref="X73:X78" si="159">SUM(R73:W73)</f>
        <v>0</v>
      </c>
      <c r="Y73" s="475">
        <v>0</v>
      </c>
      <c r="Z73" s="475">
        <v>0</v>
      </c>
      <c r="AA73" s="475">
        <v>0</v>
      </c>
      <c r="AB73" s="475">
        <f t="shared" ref="AB73:AB78" si="160">SUM(Y73:AA73)</f>
        <v>0</v>
      </c>
      <c r="AC73" s="475">
        <f t="shared" ref="AC73:AC78" si="161">X73+AB73</f>
        <v>0</v>
      </c>
      <c r="AD73" s="70">
        <f t="shared" ref="AD73:AD78" si="162">ROUND((X73+Y73+Z73)*33.8%,0)</f>
        <v>0</v>
      </c>
      <c r="AE73" s="70">
        <f t="shared" ref="AE73:AE78" si="163">ROUND(X73*2%,0)</f>
        <v>0</v>
      </c>
      <c r="AF73" s="475">
        <v>0</v>
      </c>
      <c r="AG73" s="475">
        <v>0</v>
      </c>
      <c r="AH73" s="475">
        <f t="shared" ref="AH73:AH78" si="164">SUM(AF73:AG73)</f>
        <v>0</v>
      </c>
      <c r="AI73" s="475">
        <f t="shared" ref="AI73:AI78" si="165">AC73+AD73+AE73+AH73</f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ref="AR73:AR78" si="166">AJ73+AL73+AM73+AO73+AP73</f>
        <v>0</v>
      </c>
      <c r="AS73" s="476">
        <f t="shared" ref="AS73:AS78" si="167">AK73+AN73+AQ73</f>
        <v>0</v>
      </c>
      <c r="AT73" s="478">
        <f t="shared" ref="AT73:AT78" si="168">SUM(AR73:AS73)</f>
        <v>0</v>
      </c>
      <c r="AU73" s="484">
        <f t="shared" ref="AU73:AU78" si="169">I73+AI73</f>
        <v>1481832</v>
      </c>
      <c r="AV73" s="475">
        <f t="shared" ref="AV73:AV78" si="170">J73+X73</f>
        <v>1082903</v>
      </c>
      <c r="AW73" s="475">
        <f t="shared" ref="AW73:AW78" si="171">K73+AB73</f>
        <v>0</v>
      </c>
      <c r="AX73" s="475">
        <f t="shared" ref="AX73:AY78" si="172">L73+AD73</f>
        <v>366021</v>
      </c>
      <c r="AY73" s="475">
        <f t="shared" si="172"/>
        <v>21658</v>
      </c>
      <c r="AZ73" s="475">
        <f t="shared" ref="AZ73:AZ78" si="173">N73+AH73</f>
        <v>11250</v>
      </c>
      <c r="BA73" s="476">
        <f t="shared" ref="BA73:BA78" si="174">O73+AT73</f>
        <v>2.3818999999999999</v>
      </c>
      <c r="BB73" s="476">
        <f t="shared" ref="BB73:BC78" si="175">P73+AR73</f>
        <v>1.871</v>
      </c>
      <c r="BC73" s="478">
        <f t="shared" si="175"/>
        <v>0.51090000000000002</v>
      </c>
    </row>
    <row r="74" spans="1:55" ht="12.95" customHeight="1" x14ac:dyDescent="0.25">
      <c r="A74" s="308">
        <v>14</v>
      </c>
      <c r="B74" s="309">
        <v>4430</v>
      </c>
      <c r="C74" s="309">
        <v>600074862</v>
      </c>
      <c r="D74" s="309">
        <v>70695024</v>
      </c>
      <c r="E74" s="311" t="s">
        <v>355</v>
      </c>
      <c r="F74" s="309">
        <v>3117</v>
      </c>
      <c r="G74" s="312" t="s">
        <v>314</v>
      </c>
      <c r="H74" s="312" t="s">
        <v>277</v>
      </c>
      <c r="I74" s="477">
        <v>2579066</v>
      </c>
      <c r="J74" s="472">
        <v>1871462</v>
      </c>
      <c r="K74" s="472">
        <v>0</v>
      </c>
      <c r="L74" s="472">
        <v>632555</v>
      </c>
      <c r="M74" s="472">
        <v>37429</v>
      </c>
      <c r="N74" s="472">
        <v>37620</v>
      </c>
      <c r="O74" s="473">
        <v>3.6007000000000002</v>
      </c>
      <c r="P74" s="474">
        <v>2.5390000000000001</v>
      </c>
      <c r="Q74" s="483">
        <v>1.0617000000000001</v>
      </c>
      <c r="R74" s="485">
        <f t="shared" si="158"/>
        <v>0</v>
      </c>
      <c r="S74" s="475">
        <v>0</v>
      </c>
      <c r="T74" s="475">
        <v>0</v>
      </c>
      <c r="U74" s="475">
        <v>0</v>
      </c>
      <c r="V74" s="475">
        <v>-44183</v>
      </c>
      <c r="W74" s="475">
        <v>0</v>
      </c>
      <c r="X74" s="475">
        <f t="shared" si="159"/>
        <v>-44183</v>
      </c>
      <c r="Y74" s="475">
        <v>0</v>
      </c>
      <c r="Z74" s="475">
        <v>0</v>
      </c>
      <c r="AA74" s="475">
        <v>0</v>
      </c>
      <c r="AB74" s="475">
        <f t="shared" si="160"/>
        <v>0</v>
      </c>
      <c r="AC74" s="475">
        <f t="shared" si="161"/>
        <v>-44183</v>
      </c>
      <c r="AD74" s="70">
        <f t="shared" si="162"/>
        <v>-14934</v>
      </c>
      <c r="AE74" s="70">
        <f t="shared" si="163"/>
        <v>-884</v>
      </c>
      <c r="AF74" s="475">
        <v>0</v>
      </c>
      <c r="AG74" s="475">
        <v>60001</v>
      </c>
      <c r="AH74" s="475">
        <f t="shared" si="164"/>
        <v>60001</v>
      </c>
      <c r="AI74" s="475">
        <f t="shared" si="165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 t="shared" si="166"/>
        <v>0</v>
      </c>
      <c r="AS74" s="476">
        <f t="shared" si="167"/>
        <v>0</v>
      </c>
      <c r="AT74" s="478">
        <f t="shared" si="168"/>
        <v>0</v>
      </c>
      <c r="AU74" s="484">
        <f t="shared" si="169"/>
        <v>2579066</v>
      </c>
      <c r="AV74" s="475">
        <f t="shared" si="170"/>
        <v>1827279</v>
      </c>
      <c r="AW74" s="475">
        <f t="shared" si="171"/>
        <v>0</v>
      </c>
      <c r="AX74" s="475">
        <f t="shared" si="172"/>
        <v>617621</v>
      </c>
      <c r="AY74" s="475">
        <f t="shared" si="172"/>
        <v>36545</v>
      </c>
      <c r="AZ74" s="475">
        <f t="shared" si="173"/>
        <v>97621</v>
      </c>
      <c r="BA74" s="476">
        <f t="shared" si="174"/>
        <v>3.6007000000000002</v>
      </c>
      <c r="BB74" s="476">
        <f t="shared" si="175"/>
        <v>2.5390000000000001</v>
      </c>
      <c r="BC74" s="478">
        <f t="shared" si="175"/>
        <v>1.0617000000000001</v>
      </c>
    </row>
    <row r="75" spans="1:55" ht="12.95" customHeight="1" x14ac:dyDescent="0.25">
      <c r="A75" s="308">
        <v>14</v>
      </c>
      <c r="B75" s="309">
        <v>4430</v>
      </c>
      <c r="C75" s="309">
        <v>600074862</v>
      </c>
      <c r="D75" s="309">
        <v>70695024</v>
      </c>
      <c r="E75" s="311" t="s">
        <v>355</v>
      </c>
      <c r="F75" s="309">
        <v>3117</v>
      </c>
      <c r="G75" s="312" t="s">
        <v>319</v>
      </c>
      <c r="H75" s="312" t="s">
        <v>278</v>
      </c>
      <c r="I75" s="477">
        <v>0</v>
      </c>
      <c r="J75" s="472">
        <v>0</v>
      </c>
      <c r="K75" s="472">
        <v>0</v>
      </c>
      <c r="L75" s="472">
        <v>0</v>
      </c>
      <c r="M75" s="472">
        <v>0</v>
      </c>
      <c r="N75" s="472">
        <v>0</v>
      </c>
      <c r="O75" s="473">
        <v>0</v>
      </c>
      <c r="P75" s="474">
        <v>0</v>
      </c>
      <c r="Q75" s="483">
        <v>0</v>
      </c>
      <c r="R75" s="485">
        <f t="shared" si="158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59"/>
        <v>0</v>
      </c>
      <c r="Y75" s="475">
        <v>0</v>
      </c>
      <c r="Z75" s="475">
        <v>0</v>
      </c>
      <c r="AA75" s="475">
        <v>0</v>
      </c>
      <c r="AB75" s="475">
        <f t="shared" si="160"/>
        <v>0</v>
      </c>
      <c r="AC75" s="475">
        <f t="shared" si="161"/>
        <v>0</v>
      </c>
      <c r="AD75" s="70">
        <f t="shared" si="162"/>
        <v>0</v>
      </c>
      <c r="AE75" s="70">
        <f t="shared" si="163"/>
        <v>0</v>
      </c>
      <c r="AF75" s="475">
        <v>0</v>
      </c>
      <c r="AG75" s="475">
        <v>0</v>
      </c>
      <c r="AH75" s="475">
        <f t="shared" si="164"/>
        <v>0</v>
      </c>
      <c r="AI75" s="475">
        <f t="shared" si="165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si="166"/>
        <v>0</v>
      </c>
      <c r="AS75" s="476">
        <f t="shared" si="167"/>
        <v>0</v>
      </c>
      <c r="AT75" s="478">
        <f t="shared" si="168"/>
        <v>0</v>
      </c>
      <c r="AU75" s="484">
        <f t="shared" si="169"/>
        <v>0</v>
      </c>
      <c r="AV75" s="475">
        <f t="shared" si="170"/>
        <v>0</v>
      </c>
      <c r="AW75" s="475">
        <f t="shared" si="171"/>
        <v>0</v>
      </c>
      <c r="AX75" s="475">
        <f t="shared" si="172"/>
        <v>0</v>
      </c>
      <c r="AY75" s="475">
        <f t="shared" si="172"/>
        <v>0</v>
      </c>
      <c r="AZ75" s="475">
        <f t="shared" si="173"/>
        <v>0</v>
      </c>
      <c r="BA75" s="476">
        <f t="shared" si="174"/>
        <v>0</v>
      </c>
      <c r="BB75" s="476">
        <f t="shared" si="175"/>
        <v>0</v>
      </c>
      <c r="BC75" s="478">
        <f t="shared" si="175"/>
        <v>0</v>
      </c>
    </row>
    <row r="76" spans="1:55" ht="12.95" customHeight="1" x14ac:dyDescent="0.25">
      <c r="A76" s="308">
        <v>14</v>
      </c>
      <c r="B76" s="309">
        <v>4430</v>
      </c>
      <c r="C76" s="309">
        <v>600074862</v>
      </c>
      <c r="D76" s="309">
        <v>70695024</v>
      </c>
      <c r="E76" s="311" t="s">
        <v>355</v>
      </c>
      <c r="F76" s="309">
        <v>3141</v>
      </c>
      <c r="G76" s="312" t="s">
        <v>315</v>
      </c>
      <c r="H76" s="312" t="s">
        <v>278</v>
      </c>
      <c r="I76" s="477">
        <v>596311</v>
      </c>
      <c r="J76" s="472">
        <v>437401</v>
      </c>
      <c r="K76" s="472">
        <v>0</v>
      </c>
      <c r="L76" s="472">
        <v>147842</v>
      </c>
      <c r="M76" s="472">
        <v>8748</v>
      </c>
      <c r="N76" s="472">
        <v>2320</v>
      </c>
      <c r="O76" s="473">
        <v>1.38</v>
      </c>
      <c r="P76" s="474">
        <v>0</v>
      </c>
      <c r="Q76" s="483">
        <v>1.38</v>
      </c>
      <c r="R76" s="485">
        <f t="shared" si="158"/>
        <v>0</v>
      </c>
      <c r="S76" s="475">
        <v>0</v>
      </c>
      <c r="T76" s="475">
        <v>-3311</v>
      </c>
      <c r="U76" s="475">
        <v>0</v>
      </c>
      <c r="V76" s="475">
        <v>0</v>
      </c>
      <c r="W76" s="475">
        <v>0</v>
      </c>
      <c r="X76" s="475">
        <f t="shared" si="159"/>
        <v>-3311</v>
      </c>
      <c r="Y76" s="475">
        <v>0</v>
      </c>
      <c r="Z76" s="475">
        <v>0</v>
      </c>
      <c r="AA76" s="475">
        <v>0</v>
      </c>
      <c r="AB76" s="475">
        <f t="shared" si="160"/>
        <v>0</v>
      </c>
      <c r="AC76" s="475">
        <f t="shared" si="161"/>
        <v>-3311</v>
      </c>
      <c r="AD76" s="70">
        <f t="shared" si="162"/>
        <v>-1119</v>
      </c>
      <c r="AE76" s="70">
        <f t="shared" si="163"/>
        <v>-66</v>
      </c>
      <c r="AF76" s="475">
        <v>0</v>
      </c>
      <c r="AG76" s="475">
        <v>0</v>
      </c>
      <c r="AH76" s="475">
        <f t="shared" si="164"/>
        <v>0</v>
      </c>
      <c r="AI76" s="475">
        <f t="shared" si="165"/>
        <v>-4496</v>
      </c>
      <c r="AJ76" s="476">
        <v>0</v>
      </c>
      <c r="AK76" s="476">
        <v>0</v>
      </c>
      <c r="AL76" s="476">
        <v>0</v>
      </c>
      <c r="AM76" s="476">
        <v>0</v>
      </c>
      <c r="AN76" s="476">
        <v>-0.01</v>
      </c>
      <c r="AO76" s="476">
        <v>0</v>
      </c>
      <c r="AP76" s="476">
        <v>0</v>
      </c>
      <c r="AQ76" s="476">
        <v>0</v>
      </c>
      <c r="AR76" s="476">
        <f t="shared" si="166"/>
        <v>0</v>
      </c>
      <c r="AS76" s="476">
        <f t="shared" si="167"/>
        <v>-0.01</v>
      </c>
      <c r="AT76" s="478">
        <f t="shared" si="168"/>
        <v>-0.01</v>
      </c>
      <c r="AU76" s="484">
        <f t="shared" si="169"/>
        <v>591815</v>
      </c>
      <c r="AV76" s="475">
        <f t="shared" si="170"/>
        <v>434090</v>
      </c>
      <c r="AW76" s="475">
        <f t="shared" si="171"/>
        <v>0</v>
      </c>
      <c r="AX76" s="475">
        <f t="shared" si="172"/>
        <v>146723</v>
      </c>
      <c r="AY76" s="475">
        <f t="shared" si="172"/>
        <v>8682</v>
      </c>
      <c r="AZ76" s="475">
        <f t="shared" si="173"/>
        <v>2320</v>
      </c>
      <c r="BA76" s="476">
        <f t="shared" si="174"/>
        <v>1.3699999999999999</v>
      </c>
      <c r="BB76" s="476">
        <f t="shared" si="175"/>
        <v>0</v>
      </c>
      <c r="BC76" s="478">
        <f t="shared" si="175"/>
        <v>1.3699999999999999</v>
      </c>
    </row>
    <row r="77" spans="1:55" ht="12.95" customHeight="1" x14ac:dyDescent="0.25">
      <c r="A77" s="308">
        <v>14</v>
      </c>
      <c r="B77" s="309">
        <v>4430</v>
      </c>
      <c r="C77" s="309">
        <v>600074862</v>
      </c>
      <c r="D77" s="309">
        <v>70695024</v>
      </c>
      <c r="E77" s="311" t="s">
        <v>355</v>
      </c>
      <c r="F77" s="309">
        <v>3143</v>
      </c>
      <c r="G77" s="312" t="s">
        <v>626</v>
      </c>
      <c r="H77" s="312" t="s">
        <v>277</v>
      </c>
      <c r="I77" s="477">
        <v>593363</v>
      </c>
      <c r="J77" s="472">
        <v>436939</v>
      </c>
      <c r="K77" s="472">
        <v>0</v>
      </c>
      <c r="L77" s="472">
        <v>147685</v>
      </c>
      <c r="M77" s="472">
        <v>8739</v>
      </c>
      <c r="N77" s="472">
        <v>0</v>
      </c>
      <c r="O77" s="473">
        <v>1</v>
      </c>
      <c r="P77" s="474">
        <v>1</v>
      </c>
      <c r="Q77" s="483">
        <v>0</v>
      </c>
      <c r="R77" s="485">
        <f t="shared" si="158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159"/>
        <v>0</v>
      </c>
      <c r="Y77" s="475">
        <v>0</v>
      </c>
      <c r="Z77" s="475">
        <v>0</v>
      </c>
      <c r="AA77" s="475">
        <v>0</v>
      </c>
      <c r="AB77" s="475">
        <f t="shared" si="160"/>
        <v>0</v>
      </c>
      <c r="AC77" s="475">
        <f t="shared" si="161"/>
        <v>0</v>
      </c>
      <c r="AD77" s="70">
        <f t="shared" si="162"/>
        <v>0</v>
      </c>
      <c r="AE77" s="70">
        <f t="shared" si="163"/>
        <v>0</v>
      </c>
      <c r="AF77" s="475">
        <v>0</v>
      </c>
      <c r="AG77" s="475">
        <v>0</v>
      </c>
      <c r="AH77" s="475">
        <f t="shared" si="164"/>
        <v>0</v>
      </c>
      <c r="AI77" s="475">
        <f t="shared" si="165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 t="shared" si="166"/>
        <v>0</v>
      </c>
      <c r="AS77" s="476">
        <f t="shared" si="167"/>
        <v>0</v>
      </c>
      <c r="AT77" s="478">
        <f t="shared" si="168"/>
        <v>0</v>
      </c>
      <c r="AU77" s="484">
        <f t="shared" si="169"/>
        <v>593363</v>
      </c>
      <c r="AV77" s="475">
        <f t="shared" si="170"/>
        <v>436939</v>
      </c>
      <c r="AW77" s="475">
        <f t="shared" si="171"/>
        <v>0</v>
      </c>
      <c r="AX77" s="475">
        <f t="shared" si="172"/>
        <v>147685</v>
      </c>
      <c r="AY77" s="475">
        <f t="shared" si="172"/>
        <v>8739</v>
      </c>
      <c r="AZ77" s="475">
        <f t="shared" si="173"/>
        <v>0</v>
      </c>
      <c r="BA77" s="476">
        <f t="shared" si="174"/>
        <v>1</v>
      </c>
      <c r="BB77" s="476">
        <f t="shared" si="175"/>
        <v>1</v>
      </c>
      <c r="BC77" s="478">
        <f t="shared" si="175"/>
        <v>0</v>
      </c>
    </row>
    <row r="78" spans="1:55" ht="12.95" customHeight="1" x14ac:dyDescent="0.25">
      <c r="A78" s="308">
        <v>14</v>
      </c>
      <c r="B78" s="309">
        <v>4430</v>
      </c>
      <c r="C78" s="309">
        <v>600074862</v>
      </c>
      <c r="D78" s="309">
        <v>70695024</v>
      </c>
      <c r="E78" s="311" t="s">
        <v>355</v>
      </c>
      <c r="F78" s="309">
        <v>3143</v>
      </c>
      <c r="G78" s="312" t="s">
        <v>627</v>
      </c>
      <c r="H78" s="312" t="s">
        <v>278</v>
      </c>
      <c r="I78" s="477">
        <v>14364</v>
      </c>
      <c r="J78" s="472">
        <v>10158</v>
      </c>
      <c r="K78" s="472">
        <v>0</v>
      </c>
      <c r="L78" s="472">
        <v>3433</v>
      </c>
      <c r="M78" s="472">
        <v>203</v>
      </c>
      <c r="N78" s="472">
        <v>570</v>
      </c>
      <c r="O78" s="473">
        <v>0.04</v>
      </c>
      <c r="P78" s="474">
        <v>0</v>
      </c>
      <c r="Q78" s="483">
        <v>0.04</v>
      </c>
      <c r="R78" s="485">
        <f t="shared" si="158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59"/>
        <v>0</v>
      </c>
      <c r="Y78" s="475">
        <v>0</v>
      </c>
      <c r="Z78" s="475">
        <v>0</v>
      </c>
      <c r="AA78" s="475">
        <v>0</v>
      </c>
      <c r="AB78" s="475">
        <f t="shared" si="160"/>
        <v>0</v>
      </c>
      <c r="AC78" s="475">
        <f t="shared" si="161"/>
        <v>0</v>
      </c>
      <c r="AD78" s="70">
        <f t="shared" si="162"/>
        <v>0</v>
      </c>
      <c r="AE78" s="70">
        <f t="shared" si="163"/>
        <v>0</v>
      </c>
      <c r="AF78" s="475">
        <v>0</v>
      </c>
      <c r="AG78" s="475">
        <v>0</v>
      </c>
      <c r="AH78" s="475">
        <f t="shared" si="164"/>
        <v>0</v>
      </c>
      <c r="AI78" s="475">
        <f t="shared" si="165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si="166"/>
        <v>0</v>
      </c>
      <c r="AS78" s="476">
        <f t="shared" si="167"/>
        <v>0</v>
      </c>
      <c r="AT78" s="478">
        <f t="shared" si="168"/>
        <v>0</v>
      </c>
      <c r="AU78" s="484">
        <f t="shared" si="169"/>
        <v>14364</v>
      </c>
      <c r="AV78" s="475">
        <f t="shared" si="170"/>
        <v>10158</v>
      </c>
      <c r="AW78" s="475">
        <f t="shared" si="171"/>
        <v>0</v>
      </c>
      <c r="AX78" s="475">
        <f t="shared" si="172"/>
        <v>3433</v>
      </c>
      <c r="AY78" s="475">
        <f t="shared" si="172"/>
        <v>203</v>
      </c>
      <c r="AZ78" s="475">
        <f t="shared" si="173"/>
        <v>570</v>
      </c>
      <c r="BA78" s="476">
        <f t="shared" si="174"/>
        <v>0.04</v>
      </c>
      <c r="BB78" s="476">
        <f t="shared" si="175"/>
        <v>0</v>
      </c>
      <c r="BC78" s="478">
        <f t="shared" si="175"/>
        <v>0.04</v>
      </c>
    </row>
    <row r="79" spans="1:55" ht="12.95" customHeight="1" x14ac:dyDescent="0.25">
      <c r="A79" s="301">
        <v>14</v>
      </c>
      <c r="B79" s="303">
        <v>4430</v>
      </c>
      <c r="C79" s="303">
        <v>600074862</v>
      </c>
      <c r="D79" s="303">
        <v>70695024</v>
      </c>
      <c r="E79" s="316" t="s">
        <v>356</v>
      </c>
      <c r="F79" s="319"/>
      <c r="G79" s="320"/>
      <c r="H79" s="320"/>
      <c r="I79" s="561">
        <v>5264936</v>
      </c>
      <c r="J79" s="558">
        <v>3838863</v>
      </c>
      <c r="K79" s="558">
        <v>0</v>
      </c>
      <c r="L79" s="558">
        <v>1297536</v>
      </c>
      <c r="M79" s="558">
        <v>76777</v>
      </c>
      <c r="N79" s="558">
        <v>51760</v>
      </c>
      <c r="O79" s="559">
        <v>8.4025999999999996</v>
      </c>
      <c r="P79" s="559">
        <v>5.41</v>
      </c>
      <c r="Q79" s="563">
        <v>2.9925999999999999</v>
      </c>
      <c r="R79" s="561">
        <f t="shared" ref="R79:BC79" si="176">SUM(R73:R78)</f>
        <v>0</v>
      </c>
      <c r="S79" s="558">
        <f t="shared" si="176"/>
        <v>0</v>
      </c>
      <c r="T79" s="558">
        <f t="shared" si="176"/>
        <v>-3311</v>
      </c>
      <c r="U79" s="558">
        <f t="shared" si="176"/>
        <v>0</v>
      </c>
      <c r="V79" s="558">
        <f t="shared" si="176"/>
        <v>-44183</v>
      </c>
      <c r="W79" s="558">
        <f t="shared" si="176"/>
        <v>0</v>
      </c>
      <c r="X79" s="558">
        <f t="shared" si="176"/>
        <v>-47494</v>
      </c>
      <c r="Y79" s="558">
        <f t="shared" si="176"/>
        <v>0</v>
      </c>
      <c r="Z79" s="558">
        <f t="shared" si="176"/>
        <v>0</v>
      </c>
      <c r="AA79" s="558">
        <f t="shared" si="176"/>
        <v>0</v>
      </c>
      <c r="AB79" s="558">
        <f t="shared" si="176"/>
        <v>0</v>
      </c>
      <c r="AC79" s="558">
        <f t="shared" si="176"/>
        <v>-47494</v>
      </c>
      <c r="AD79" s="558">
        <f t="shared" si="176"/>
        <v>-16053</v>
      </c>
      <c r="AE79" s="558">
        <f t="shared" si="176"/>
        <v>-950</v>
      </c>
      <c r="AF79" s="558">
        <f t="shared" si="176"/>
        <v>0</v>
      </c>
      <c r="AG79" s="558">
        <f t="shared" si="176"/>
        <v>60001</v>
      </c>
      <c r="AH79" s="558">
        <f t="shared" si="176"/>
        <v>60001</v>
      </c>
      <c r="AI79" s="558">
        <f t="shared" si="176"/>
        <v>-4496</v>
      </c>
      <c r="AJ79" s="559">
        <f t="shared" si="176"/>
        <v>0</v>
      </c>
      <c r="AK79" s="559">
        <f t="shared" si="176"/>
        <v>0</v>
      </c>
      <c r="AL79" s="559">
        <f t="shared" si="176"/>
        <v>0</v>
      </c>
      <c r="AM79" s="559">
        <f t="shared" si="176"/>
        <v>0</v>
      </c>
      <c r="AN79" s="559">
        <f t="shared" si="176"/>
        <v>-0.01</v>
      </c>
      <c r="AO79" s="559">
        <f t="shared" si="176"/>
        <v>0</v>
      </c>
      <c r="AP79" s="559">
        <f t="shared" si="176"/>
        <v>0</v>
      </c>
      <c r="AQ79" s="559">
        <f t="shared" si="176"/>
        <v>0</v>
      </c>
      <c r="AR79" s="559">
        <f t="shared" si="176"/>
        <v>0</v>
      </c>
      <c r="AS79" s="559">
        <f t="shared" si="176"/>
        <v>-0.01</v>
      </c>
      <c r="AT79" s="318">
        <f t="shared" si="176"/>
        <v>-0.01</v>
      </c>
      <c r="AU79" s="565">
        <f t="shared" si="176"/>
        <v>5260440</v>
      </c>
      <c r="AV79" s="558">
        <f t="shared" si="176"/>
        <v>3791369</v>
      </c>
      <c r="AW79" s="558">
        <f t="shared" si="176"/>
        <v>0</v>
      </c>
      <c r="AX79" s="558">
        <f t="shared" si="176"/>
        <v>1281483</v>
      </c>
      <c r="AY79" s="558">
        <f t="shared" si="176"/>
        <v>75827</v>
      </c>
      <c r="AZ79" s="558">
        <f t="shared" si="176"/>
        <v>111761</v>
      </c>
      <c r="BA79" s="559">
        <f t="shared" si="176"/>
        <v>8.3925999999999981</v>
      </c>
      <c r="BB79" s="559">
        <f t="shared" si="176"/>
        <v>5.41</v>
      </c>
      <c r="BC79" s="318">
        <f t="shared" si="176"/>
        <v>2.9825999999999997</v>
      </c>
    </row>
    <row r="80" spans="1:55" ht="12.95" customHeight="1" x14ac:dyDescent="0.25">
      <c r="A80" s="308">
        <v>15</v>
      </c>
      <c r="B80" s="309">
        <v>4433</v>
      </c>
      <c r="C80" s="309">
        <v>600075001</v>
      </c>
      <c r="D80" s="309">
        <v>70695440</v>
      </c>
      <c r="E80" s="311" t="s">
        <v>357</v>
      </c>
      <c r="F80" s="309">
        <v>3111</v>
      </c>
      <c r="G80" s="312" t="s">
        <v>325</v>
      </c>
      <c r="H80" s="312" t="s">
        <v>277</v>
      </c>
      <c r="I80" s="477">
        <v>1430529</v>
      </c>
      <c r="J80" s="472">
        <v>1048438</v>
      </c>
      <c r="K80" s="472">
        <v>0</v>
      </c>
      <c r="L80" s="472">
        <v>354372</v>
      </c>
      <c r="M80" s="472">
        <v>20969</v>
      </c>
      <c r="N80" s="472">
        <v>6750</v>
      </c>
      <c r="O80" s="473">
        <v>2.4609000000000001</v>
      </c>
      <c r="P80" s="474">
        <v>2</v>
      </c>
      <c r="Q80" s="483">
        <v>0.46089999999999998</v>
      </c>
      <c r="R80" s="485">
        <f t="shared" ref="R80:R85" si="177">Y80*-1</f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ref="X80:X85" si="178">SUM(R80:W80)</f>
        <v>0</v>
      </c>
      <c r="Y80" s="475">
        <v>0</v>
      </c>
      <c r="Z80" s="475">
        <v>0</v>
      </c>
      <c r="AA80" s="475">
        <v>0</v>
      </c>
      <c r="AB80" s="475">
        <f t="shared" ref="AB80:AB85" si="179">SUM(Y80:AA80)</f>
        <v>0</v>
      </c>
      <c r="AC80" s="475">
        <f t="shared" ref="AC80:AC85" si="180">X80+AB80</f>
        <v>0</v>
      </c>
      <c r="AD80" s="70">
        <f t="shared" ref="AD80:AD85" si="181">ROUND((X80+Y80+Z80)*33.8%,0)</f>
        <v>0</v>
      </c>
      <c r="AE80" s="70">
        <f t="shared" ref="AE80:AE85" si="182">ROUND(X80*2%,0)</f>
        <v>0</v>
      </c>
      <c r="AF80" s="475">
        <v>0</v>
      </c>
      <c r="AG80" s="475">
        <v>0</v>
      </c>
      <c r="AH80" s="475">
        <f t="shared" ref="AH80:AH85" si="183">SUM(AF80:AG80)</f>
        <v>0</v>
      </c>
      <c r="AI80" s="475">
        <f t="shared" ref="AI80:AI85" si="184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ref="AR80:AR85" si="185">AJ80+AL80+AM80+AO80+AP80</f>
        <v>0</v>
      </c>
      <c r="AS80" s="476">
        <f t="shared" ref="AS80:AS85" si="186">AK80+AN80+AQ80</f>
        <v>0</v>
      </c>
      <c r="AT80" s="478">
        <f t="shared" ref="AT80:AT85" si="187">SUM(AR80:AS80)</f>
        <v>0</v>
      </c>
      <c r="AU80" s="484">
        <f t="shared" ref="AU80:AU85" si="188">I80+AI80</f>
        <v>1430529</v>
      </c>
      <c r="AV80" s="475">
        <f t="shared" ref="AV80:AV85" si="189">J80+X80</f>
        <v>1048438</v>
      </c>
      <c r="AW80" s="475">
        <f t="shared" ref="AW80:AW85" si="190">K80+AB80</f>
        <v>0</v>
      </c>
      <c r="AX80" s="475">
        <f t="shared" ref="AX80:AY85" si="191">L80+AD80</f>
        <v>354372</v>
      </c>
      <c r="AY80" s="475">
        <f t="shared" si="191"/>
        <v>20969</v>
      </c>
      <c r="AZ80" s="475">
        <f t="shared" ref="AZ80:AZ85" si="192">N80+AH80</f>
        <v>6750</v>
      </c>
      <c r="BA80" s="476">
        <f t="shared" ref="BA80:BA85" si="193">O80+AT80</f>
        <v>2.4609000000000001</v>
      </c>
      <c r="BB80" s="476">
        <f t="shared" ref="BB80:BC85" si="194">P80+AR80</f>
        <v>2</v>
      </c>
      <c r="BC80" s="478">
        <f t="shared" si="194"/>
        <v>0.46089999999999998</v>
      </c>
    </row>
    <row r="81" spans="1:55" ht="12.95" customHeight="1" x14ac:dyDescent="0.25">
      <c r="A81" s="308">
        <v>15</v>
      </c>
      <c r="B81" s="309">
        <v>4433</v>
      </c>
      <c r="C81" s="309">
        <v>600075001</v>
      </c>
      <c r="D81" s="309">
        <v>70695440</v>
      </c>
      <c r="E81" s="311" t="s">
        <v>357</v>
      </c>
      <c r="F81" s="309">
        <v>3117</v>
      </c>
      <c r="G81" s="312" t="s">
        <v>329</v>
      </c>
      <c r="H81" s="312" t="s">
        <v>277</v>
      </c>
      <c r="I81" s="477">
        <v>1707434</v>
      </c>
      <c r="J81" s="472">
        <v>1244724</v>
      </c>
      <c r="K81" s="472">
        <v>0</v>
      </c>
      <c r="L81" s="472">
        <v>420716</v>
      </c>
      <c r="M81" s="472">
        <v>24894</v>
      </c>
      <c r="N81" s="472">
        <v>17100</v>
      </c>
      <c r="O81" s="473">
        <v>2.3086000000000002</v>
      </c>
      <c r="P81" s="474">
        <v>1.5455000000000001</v>
      </c>
      <c r="Q81" s="483">
        <v>0.76310000000000011</v>
      </c>
      <c r="R81" s="485">
        <f t="shared" si="177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78"/>
        <v>0</v>
      </c>
      <c r="Y81" s="475">
        <v>0</v>
      </c>
      <c r="Z81" s="475">
        <v>0</v>
      </c>
      <c r="AA81" s="475">
        <v>0</v>
      </c>
      <c r="AB81" s="475">
        <f t="shared" si="179"/>
        <v>0</v>
      </c>
      <c r="AC81" s="475">
        <f t="shared" si="180"/>
        <v>0</v>
      </c>
      <c r="AD81" s="70">
        <f t="shared" si="181"/>
        <v>0</v>
      </c>
      <c r="AE81" s="70">
        <f t="shared" si="182"/>
        <v>0</v>
      </c>
      <c r="AF81" s="475">
        <v>0</v>
      </c>
      <c r="AG81" s="475">
        <v>0</v>
      </c>
      <c r="AH81" s="475">
        <f t="shared" si="183"/>
        <v>0</v>
      </c>
      <c r="AI81" s="475">
        <f t="shared" si="184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185"/>
        <v>0</v>
      </c>
      <c r="AS81" s="476">
        <f t="shared" si="186"/>
        <v>0</v>
      </c>
      <c r="AT81" s="478">
        <f t="shared" si="187"/>
        <v>0</v>
      </c>
      <c r="AU81" s="484">
        <f t="shared" si="188"/>
        <v>1707434</v>
      </c>
      <c r="AV81" s="475">
        <f t="shared" si="189"/>
        <v>1244724</v>
      </c>
      <c r="AW81" s="475">
        <f t="shared" si="190"/>
        <v>0</v>
      </c>
      <c r="AX81" s="475">
        <f t="shared" si="191"/>
        <v>420716</v>
      </c>
      <c r="AY81" s="475">
        <f t="shared" si="191"/>
        <v>24894</v>
      </c>
      <c r="AZ81" s="475">
        <f t="shared" si="192"/>
        <v>17100</v>
      </c>
      <c r="BA81" s="476">
        <f t="shared" si="193"/>
        <v>2.3086000000000002</v>
      </c>
      <c r="BB81" s="476">
        <f t="shared" si="194"/>
        <v>1.5455000000000001</v>
      </c>
      <c r="BC81" s="478">
        <f t="shared" si="194"/>
        <v>0.76310000000000011</v>
      </c>
    </row>
    <row r="82" spans="1:55" ht="12.95" customHeight="1" x14ac:dyDescent="0.25">
      <c r="A82" s="308">
        <v>15</v>
      </c>
      <c r="B82" s="309">
        <v>4433</v>
      </c>
      <c r="C82" s="309">
        <v>600075001</v>
      </c>
      <c r="D82" s="309">
        <v>70695440</v>
      </c>
      <c r="E82" s="311" t="s">
        <v>357</v>
      </c>
      <c r="F82" s="309">
        <v>3117</v>
      </c>
      <c r="G82" s="312" t="s">
        <v>319</v>
      </c>
      <c r="H82" s="312" t="s">
        <v>278</v>
      </c>
      <c r="I82" s="477">
        <v>172494</v>
      </c>
      <c r="J82" s="472">
        <v>127021</v>
      </c>
      <c r="K82" s="472">
        <v>0</v>
      </c>
      <c r="L82" s="472">
        <v>42933</v>
      </c>
      <c r="M82" s="472">
        <v>2540</v>
      </c>
      <c r="N82" s="472">
        <v>0</v>
      </c>
      <c r="O82" s="473">
        <v>0.5</v>
      </c>
      <c r="P82" s="474">
        <v>0.5</v>
      </c>
      <c r="Q82" s="483">
        <v>0</v>
      </c>
      <c r="R82" s="485">
        <f t="shared" si="177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78"/>
        <v>0</v>
      </c>
      <c r="Y82" s="475">
        <v>0</v>
      </c>
      <c r="Z82" s="475">
        <v>0</v>
      </c>
      <c r="AA82" s="475">
        <v>0</v>
      </c>
      <c r="AB82" s="475">
        <f t="shared" si="179"/>
        <v>0</v>
      </c>
      <c r="AC82" s="475">
        <f t="shared" si="180"/>
        <v>0</v>
      </c>
      <c r="AD82" s="70">
        <f t="shared" si="181"/>
        <v>0</v>
      </c>
      <c r="AE82" s="70">
        <f t="shared" si="182"/>
        <v>0</v>
      </c>
      <c r="AF82" s="475">
        <v>0</v>
      </c>
      <c r="AG82" s="475">
        <v>0</v>
      </c>
      <c r="AH82" s="475">
        <f t="shared" si="183"/>
        <v>0</v>
      </c>
      <c r="AI82" s="475">
        <f t="shared" si="184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85"/>
        <v>0</v>
      </c>
      <c r="AS82" s="476">
        <f t="shared" si="186"/>
        <v>0</v>
      </c>
      <c r="AT82" s="478">
        <f t="shared" si="187"/>
        <v>0</v>
      </c>
      <c r="AU82" s="484">
        <f t="shared" si="188"/>
        <v>172494</v>
      </c>
      <c r="AV82" s="475">
        <f t="shared" si="189"/>
        <v>127021</v>
      </c>
      <c r="AW82" s="475">
        <f t="shared" si="190"/>
        <v>0</v>
      </c>
      <c r="AX82" s="475">
        <f t="shared" si="191"/>
        <v>42933</v>
      </c>
      <c r="AY82" s="475">
        <f t="shared" si="191"/>
        <v>2540</v>
      </c>
      <c r="AZ82" s="475">
        <f t="shared" si="192"/>
        <v>0</v>
      </c>
      <c r="BA82" s="476">
        <f t="shared" si="193"/>
        <v>0.5</v>
      </c>
      <c r="BB82" s="476">
        <f t="shared" si="194"/>
        <v>0.5</v>
      </c>
      <c r="BC82" s="478">
        <f t="shared" si="194"/>
        <v>0</v>
      </c>
    </row>
    <row r="83" spans="1:55" ht="12.95" customHeight="1" x14ac:dyDescent="0.25">
      <c r="A83" s="308">
        <v>15</v>
      </c>
      <c r="B83" s="309">
        <v>4433</v>
      </c>
      <c r="C83" s="309">
        <v>600075001</v>
      </c>
      <c r="D83" s="309">
        <v>70695440</v>
      </c>
      <c r="E83" s="311" t="s">
        <v>357</v>
      </c>
      <c r="F83" s="309">
        <v>3141</v>
      </c>
      <c r="G83" s="312" t="s">
        <v>315</v>
      </c>
      <c r="H83" s="312" t="s">
        <v>278</v>
      </c>
      <c r="I83" s="477">
        <v>398947</v>
      </c>
      <c r="J83" s="472">
        <v>292708</v>
      </c>
      <c r="K83" s="472">
        <v>0</v>
      </c>
      <c r="L83" s="472">
        <v>98935</v>
      </c>
      <c r="M83" s="472">
        <v>5854</v>
      </c>
      <c r="N83" s="472">
        <v>1450</v>
      </c>
      <c r="O83" s="473">
        <v>0.92</v>
      </c>
      <c r="P83" s="474">
        <v>0</v>
      </c>
      <c r="Q83" s="483">
        <v>0.92</v>
      </c>
      <c r="R83" s="485">
        <f t="shared" si="177"/>
        <v>0</v>
      </c>
      <c r="S83" s="475">
        <v>0</v>
      </c>
      <c r="T83" s="475">
        <v>13286</v>
      </c>
      <c r="U83" s="475">
        <v>0</v>
      </c>
      <c r="V83" s="475">
        <v>0</v>
      </c>
      <c r="W83" s="475">
        <v>0</v>
      </c>
      <c r="X83" s="475">
        <f t="shared" si="178"/>
        <v>13286</v>
      </c>
      <c r="Y83" s="475">
        <v>0</v>
      </c>
      <c r="Z83" s="475">
        <v>0</v>
      </c>
      <c r="AA83" s="475">
        <v>0</v>
      </c>
      <c r="AB83" s="475">
        <f t="shared" si="179"/>
        <v>0</v>
      </c>
      <c r="AC83" s="475">
        <f t="shared" si="180"/>
        <v>13286</v>
      </c>
      <c r="AD83" s="70">
        <f t="shared" si="181"/>
        <v>4491</v>
      </c>
      <c r="AE83" s="70">
        <f t="shared" si="182"/>
        <v>266</v>
      </c>
      <c r="AF83" s="475">
        <v>0</v>
      </c>
      <c r="AG83" s="475">
        <v>0</v>
      </c>
      <c r="AH83" s="475">
        <f t="shared" si="183"/>
        <v>0</v>
      </c>
      <c r="AI83" s="475">
        <f t="shared" si="184"/>
        <v>18043</v>
      </c>
      <c r="AJ83" s="476">
        <v>0</v>
      </c>
      <c r="AK83" s="476">
        <v>0</v>
      </c>
      <c r="AL83" s="476">
        <v>0</v>
      </c>
      <c r="AM83" s="476">
        <v>0</v>
      </c>
      <c r="AN83" s="476">
        <v>0.04</v>
      </c>
      <c r="AO83" s="476">
        <v>0</v>
      </c>
      <c r="AP83" s="476">
        <v>0</v>
      </c>
      <c r="AQ83" s="476">
        <v>0</v>
      </c>
      <c r="AR83" s="476">
        <f t="shared" si="185"/>
        <v>0</v>
      </c>
      <c r="AS83" s="476">
        <f t="shared" si="186"/>
        <v>0.04</v>
      </c>
      <c r="AT83" s="478">
        <f t="shared" si="187"/>
        <v>0.04</v>
      </c>
      <c r="AU83" s="484">
        <f t="shared" si="188"/>
        <v>416990</v>
      </c>
      <c r="AV83" s="475">
        <f t="shared" si="189"/>
        <v>305994</v>
      </c>
      <c r="AW83" s="475">
        <f t="shared" si="190"/>
        <v>0</v>
      </c>
      <c r="AX83" s="475">
        <f t="shared" si="191"/>
        <v>103426</v>
      </c>
      <c r="AY83" s="475">
        <f t="shared" si="191"/>
        <v>6120</v>
      </c>
      <c r="AZ83" s="475">
        <f t="shared" si="192"/>
        <v>1450</v>
      </c>
      <c r="BA83" s="476">
        <f t="shared" si="193"/>
        <v>0.96000000000000008</v>
      </c>
      <c r="BB83" s="476">
        <f t="shared" si="194"/>
        <v>0</v>
      </c>
      <c r="BC83" s="478">
        <f t="shared" si="194"/>
        <v>0.96000000000000008</v>
      </c>
    </row>
    <row r="84" spans="1:55" ht="12.95" customHeight="1" x14ac:dyDescent="0.25">
      <c r="A84" s="308">
        <v>15</v>
      </c>
      <c r="B84" s="309">
        <v>4433</v>
      </c>
      <c r="C84" s="309">
        <v>600075001</v>
      </c>
      <c r="D84" s="309">
        <v>70695440</v>
      </c>
      <c r="E84" s="311" t="s">
        <v>357</v>
      </c>
      <c r="F84" s="309">
        <v>3143</v>
      </c>
      <c r="G84" s="312" t="s">
        <v>626</v>
      </c>
      <c r="H84" s="312" t="s">
        <v>277</v>
      </c>
      <c r="I84" s="477">
        <v>257629</v>
      </c>
      <c r="J84" s="472">
        <v>189712</v>
      </c>
      <c r="K84" s="472">
        <v>0</v>
      </c>
      <c r="L84" s="472">
        <v>64123</v>
      </c>
      <c r="M84" s="472">
        <v>3794</v>
      </c>
      <c r="N84" s="472">
        <v>0</v>
      </c>
      <c r="O84" s="473">
        <v>0.5</v>
      </c>
      <c r="P84" s="474">
        <v>0.5</v>
      </c>
      <c r="Q84" s="483">
        <v>0</v>
      </c>
      <c r="R84" s="485">
        <f t="shared" si="177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78"/>
        <v>0</v>
      </c>
      <c r="Y84" s="475">
        <v>0</v>
      </c>
      <c r="Z84" s="475">
        <v>0</v>
      </c>
      <c r="AA84" s="475">
        <v>0</v>
      </c>
      <c r="AB84" s="475">
        <f t="shared" si="179"/>
        <v>0</v>
      </c>
      <c r="AC84" s="475">
        <f t="shared" si="180"/>
        <v>0</v>
      </c>
      <c r="AD84" s="70">
        <f t="shared" si="181"/>
        <v>0</v>
      </c>
      <c r="AE84" s="70">
        <f t="shared" si="182"/>
        <v>0</v>
      </c>
      <c r="AF84" s="475">
        <v>0</v>
      </c>
      <c r="AG84" s="475">
        <v>0</v>
      </c>
      <c r="AH84" s="475">
        <f t="shared" si="183"/>
        <v>0</v>
      </c>
      <c r="AI84" s="475">
        <f t="shared" si="184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185"/>
        <v>0</v>
      </c>
      <c r="AS84" s="476">
        <f t="shared" si="186"/>
        <v>0</v>
      </c>
      <c r="AT84" s="478">
        <f t="shared" si="187"/>
        <v>0</v>
      </c>
      <c r="AU84" s="484">
        <f t="shared" si="188"/>
        <v>257629</v>
      </c>
      <c r="AV84" s="475">
        <f t="shared" si="189"/>
        <v>189712</v>
      </c>
      <c r="AW84" s="475">
        <f t="shared" si="190"/>
        <v>0</v>
      </c>
      <c r="AX84" s="475">
        <f t="shared" si="191"/>
        <v>64123</v>
      </c>
      <c r="AY84" s="475">
        <f t="shared" si="191"/>
        <v>3794</v>
      </c>
      <c r="AZ84" s="475">
        <f t="shared" si="192"/>
        <v>0</v>
      </c>
      <c r="BA84" s="476">
        <f t="shared" si="193"/>
        <v>0.5</v>
      </c>
      <c r="BB84" s="476">
        <f t="shared" si="194"/>
        <v>0.5</v>
      </c>
      <c r="BC84" s="478">
        <f t="shared" si="194"/>
        <v>0</v>
      </c>
    </row>
    <row r="85" spans="1:55" ht="12.95" customHeight="1" x14ac:dyDescent="0.25">
      <c r="A85" s="308">
        <v>15</v>
      </c>
      <c r="B85" s="309">
        <v>4433</v>
      </c>
      <c r="C85" s="309">
        <v>600075001</v>
      </c>
      <c r="D85" s="309">
        <v>70695440</v>
      </c>
      <c r="E85" s="311" t="s">
        <v>357</v>
      </c>
      <c r="F85" s="309">
        <v>3143</v>
      </c>
      <c r="G85" s="312" t="s">
        <v>627</v>
      </c>
      <c r="H85" s="312" t="s">
        <v>278</v>
      </c>
      <c r="I85" s="477">
        <v>7560</v>
      </c>
      <c r="J85" s="472">
        <v>5346</v>
      </c>
      <c r="K85" s="472">
        <v>0</v>
      </c>
      <c r="L85" s="472">
        <v>1807</v>
      </c>
      <c r="M85" s="472">
        <v>107</v>
      </c>
      <c r="N85" s="472">
        <v>300</v>
      </c>
      <c r="O85" s="473">
        <v>0.02</v>
      </c>
      <c r="P85" s="474">
        <v>0</v>
      </c>
      <c r="Q85" s="483">
        <v>0.02</v>
      </c>
      <c r="R85" s="485">
        <f t="shared" si="177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78"/>
        <v>0</v>
      </c>
      <c r="Y85" s="475">
        <v>0</v>
      </c>
      <c r="Z85" s="475">
        <v>0</v>
      </c>
      <c r="AA85" s="475">
        <v>0</v>
      </c>
      <c r="AB85" s="475">
        <f t="shared" si="179"/>
        <v>0</v>
      </c>
      <c r="AC85" s="475">
        <f t="shared" si="180"/>
        <v>0</v>
      </c>
      <c r="AD85" s="70">
        <f t="shared" si="181"/>
        <v>0</v>
      </c>
      <c r="AE85" s="70">
        <f t="shared" si="182"/>
        <v>0</v>
      </c>
      <c r="AF85" s="475">
        <v>0</v>
      </c>
      <c r="AG85" s="475">
        <v>0</v>
      </c>
      <c r="AH85" s="475">
        <f t="shared" si="183"/>
        <v>0</v>
      </c>
      <c r="AI85" s="475">
        <f t="shared" si="184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 t="shared" si="185"/>
        <v>0</v>
      </c>
      <c r="AS85" s="476">
        <f t="shared" si="186"/>
        <v>0</v>
      </c>
      <c r="AT85" s="478">
        <f t="shared" si="187"/>
        <v>0</v>
      </c>
      <c r="AU85" s="484">
        <f t="shared" si="188"/>
        <v>7560</v>
      </c>
      <c r="AV85" s="475">
        <f t="shared" si="189"/>
        <v>5346</v>
      </c>
      <c r="AW85" s="475">
        <f t="shared" si="190"/>
        <v>0</v>
      </c>
      <c r="AX85" s="475">
        <f t="shared" si="191"/>
        <v>1807</v>
      </c>
      <c r="AY85" s="475">
        <f t="shared" si="191"/>
        <v>107</v>
      </c>
      <c r="AZ85" s="475">
        <f t="shared" si="192"/>
        <v>300</v>
      </c>
      <c r="BA85" s="476">
        <f t="shared" si="193"/>
        <v>0.02</v>
      </c>
      <c r="BB85" s="476">
        <f t="shared" si="194"/>
        <v>0</v>
      </c>
      <c r="BC85" s="478">
        <f t="shared" si="194"/>
        <v>0.02</v>
      </c>
    </row>
    <row r="86" spans="1:55" ht="12.95" customHeight="1" x14ac:dyDescent="0.25">
      <c r="A86" s="301">
        <v>15</v>
      </c>
      <c r="B86" s="303">
        <v>4433</v>
      </c>
      <c r="C86" s="303">
        <v>600075001</v>
      </c>
      <c r="D86" s="303">
        <v>70695440</v>
      </c>
      <c r="E86" s="316" t="s">
        <v>358</v>
      </c>
      <c r="F86" s="319"/>
      <c r="G86" s="320"/>
      <c r="H86" s="320"/>
      <c r="I86" s="561">
        <v>3974593</v>
      </c>
      <c r="J86" s="558">
        <v>2907949</v>
      </c>
      <c r="K86" s="558">
        <v>0</v>
      </c>
      <c r="L86" s="558">
        <v>982886</v>
      </c>
      <c r="M86" s="558">
        <v>58158</v>
      </c>
      <c r="N86" s="558">
        <v>25600</v>
      </c>
      <c r="O86" s="559">
        <v>6.7095000000000002</v>
      </c>
      <c r="P86" s="559">
        <v>4.5455000000000005</v>
      </c>
      <c r="Q86" s="563">
        <v>2.1640000000000001</v>
      </c>
      <c r="R86" s="561">
        <f t="shared" ref="R86:BC86" si="195">SUM(R80:R85)</f>
        <v>0</v>
      </c>
      <c r="S86" s="558">
        <f t="shared" si="195"/>
        <v>0</v>
      </c>
      <c r="T86" s="558">
        <f t="shared" si="195"/>
        <v>13286</v>
      </c>
      <c r="U86" s="558">
        <f t="shared" si="195"/>
        <v>0</v>
      </c>
      <c r="V86" s="558">
        <f t="shared" si="195"/>
        <v>0</v>
      </c>
      <c r="W86" s="558">
        <f t="shared" si="195"/>
        <v>0</v>
      </c>
      <c r="X86" s="558">
        <f t="shared" si="195"/>
        <v>13286</v>
      </c>
      <c r="Y86" s="558">
        <f t="shared" si="195"/>
        <v>0</v>
      </c>
      <c r="Z86" s="558">
        <f t="shared" si="195"/>
        <v>0</v>
      </c>
      <c r="AA86" s="558">
        <f t="shared" si="195"/>
        <v>0</v>
      </c>
      <c r="AB86" s="558">
        <f t="shared" si="195"/>
        <v>0</v>
      </c>
      <c r="AC86" s="558">
        <f t="shared" si="195"/>
        <v>13286</v>
      </c>
      <c r="AD86" s="558">
        <f t="shared" si="195"/>
        <v>4491</v>
      </c>
      <c r="AE86" s="558">
        <f t="shared" si="195"/>
        <v>266</v>
      </c>
      <c r="AF86" s="558">
        <f t="shared" si="195"/>
        <v>0</v>
      </c>
      <c r="AG86" s="558">
        <f t="shared" si="195"/>
        <v>0</v>
      </c>
      <c r="AH86" s="558">
        <f t="shared" si="195"/>
        <v>0</v>
      </c>
      <c r="AI86" s="558">
        <f t="shared" si="195"/>
        <v>18043</v>
      </c>
      <c r="AJ86" s="559">
        <f t="shared" si="195"/>
        <v>0</v>
      </c>
      <c r="AK86" s="559">
        <f t="shared" si="195"/>
        <v>0</v>
      </c>
      <c r="AL86" s="559">
        <f t="shared" si="195"/>
        <v>0</v>
      </c>
      <c r="AM86" s="559">
        <f t="shared" si="195"/>
        <v>0</v>
      </c>
      <c r="AN86" s="559">
        <f t="shared" si="195"/>
        <v>0.04</v>
      </c>
      <c r="AO86" s="559">
        <f t="shared" si="195"/>
        <v>0</v>
      </c>
      <c r="AP86" s="559">
        <f t="shared" si="195"/>
        <v>0</v>
      </c>
      <c r="AQ86" s="559">
        <f t="shared" si="195"/>
        <v>0</v>
      </c>
      <c r="AR86" s="559">
        <f t="shared" si="195"/>
        <v>0</v>
      </c>
      <c r="AS86" s="559">
        <f t="shared" si="195"/>
        <v>0.04</v>
      </c>
      <c r="AT86" s="318">
        <f t="shared" si="195"/>
        <v>0.04</v>
      </c>
      <c r="AU86" s="565">
        <f t="shared" si="195"/>
        <v>3992636</v>
      </c>
      <c r="AV86" s="558">
        <f t="shared" si="195"/>
        <v>2921235</v>
      </c>
      <c r="AW86" s="558">
        <f t="shared" si="195"/>
        <v>0</v>
      </c>
      <c r="AX86" s="558">
        <f t="shared" si="195"/>
        <v>987377</v>
      </c>
      <c r="AY86" s="558">
        <f t="shared" si="195"/>
        <v>58424</v>
      </c>
      <c r="AZ86" s="558">
        <f t="shared" si="195"/>
        <v>25600</v>
      </c>
      <c r="BA86" s="559">
        <f t="shared" si="195"/>
        <v>6.7495000000000003</v>
      </c>
      <c r="BB86" s="559">
        <f t="shared" si="195"/>
        <v>4.5455000000000005</v>
      </c>
      <c r="BC86" s="318">
        <f t="shared" si="195"/>
        <v>2.2040000000000002</v>
      </c>
    </row>
    <row r="87" spans="1:55" ht="12.95" customHeight="1" x14ac:dyDescent="0.25">
      <c r="A87" s="308">
        <v>16</v>
      </c>
      <c r="B87" s="309">
        <v>4487</v>
      </c>
      <c r="C87" s="309">
        <v>600074854</v>
      </c>
      <c r="D87" s="309">
        <v>70698503</v>
      </c>
      <c r="E87" s="311" t="s">
        <v>359</v>
      </c>
      <c r="F87" s="309">
        <v>3111</v>
      </c>
      <c r="G87" s="312" t="s">
        <v>325</v>
      </c>
      <c r="H87" s="312" t="s">
        <v>277</v>
      </c>
      <c r="I87" s="477">
        <v>2367038</v>
      </c>
      <c r="J87" s="472">
        <v>1733091</v>
      </c>
      <c r="K87" s="472">
        <v>0</v>
      </c>
      <c r="L87" s="472">
        <v>585785</v>
      </c>
      <c r="M87" s="472">
        <v>34662</v>
      </c>
      <c r="N87" s="472">
        <v>13500</v>
      </c>
      <c r="O87" s="473">
        <v>4.4718</v>
      </c>
      <c r="P87" s="474">
        <v>3.55</v>
      </c>
      <c r="Q87" s="483">
        <v>0.92179999999999995</v>
      </c>
      <c r="R87" s="485">
        <f t="shared" ref="R87:R92" si="196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ref="X87:X92" si="197">SUM(R87:W87)</f>
        <v>0</v>
      </c>
      <c r="Y87" s="475">
        <v>0</v>
      </c>
      <c r="Z87" s="475">
        <v>0</v>
      </c>
      <c r="AA87" s="475">
        <v>0</v>
      </c>
      <c r="AB87" s="475">
        <f t="shared" ref="AB87:AB92" si="198">SUM(Y87:AA87)</f>
        <v>0</v>
      </c>
      <c r="AC87" s="475">
        <f t="shared" ref="AC87:AC92" si="199">X87+AB87</f>
        <v>0</v>
      </c>
      <c r="AD87" s="70">
        <f t="shared" ref="AD87:AD92" si="200">ROUND((X87+Y87+Z87)*33.8%,0)</f>
        <v>0</v>
      </c>
      <c r="AE87" s="70">
        <f t="shared" ref="AE87:AE92" si="201">ROUND(X87*2%,0)</f>
        <v>0</v>
      </c>
      <c r="AF87" s="475">
        <v>0</v>
      </c>
      <c r="AG87" s="475">
        <v>0</v>
      </c>
      <c r="AH87" s="475">
        <f t="shared" ref="AH87:AH92" si="202">SUM(AF87:AG87)</f>
        <v>0</v>
      </c>
      <c r="AI87" s="475">
        <f t="shared" ref="AI87:AI92" si="203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ref="AR87:AR92" si="204">AJ87+AL87+AM87+AO87+AP87</f>
        <v>0</v>
      </c>
      <c r="AS87" s="476">
        <f t="shared" ref="AS87:AS92" si="205">AK87+AN87+AQ87</f>
        <v>0</v>
      </c>
      <c r="AT87" s="478">
        <f t="shared" ref="AT87:AT92" si="206">SUM(AR87:AS87)</f>
        <v>0</v>
      </c>
      <c r="AU87" s="484">
        <f t="shared" ref="AU87:AU92" si="207">I87+AI87</f>
        <v>2367038</v>
      </c>
      <c r="AV87" s="475">
        <f t="shared" ref="AV87:AV92" si="208">J87+X87</f>
        <v>1733091</v>
      </c>
      <c r="AW87" s="475">
        <f t="shared" ref="AW87:AW92" si="209">K87+AB87</f>
        <v>0</v>
      </c>
      <c r="AX87" s="475">
        <f t="shared" ref="AX87:AY92" si="210">L87+AD87</f>
        <v>585785</v>
      </c>
      <c r="AY87" s="475">
        <f t="shared" si="210"/>
        <v>34662</v>
      </c>
      <c r="AZ87" s="475">
        <f t="shared" ref="AZ87:AZ92" si="211">N87+AH87</f>
        <v>13500</v>
      </c>
      <c r="BA87" s="476">
        <f t="shared" ref="BA87:BA92" si="212">O87+AT87</f>
        <v>4.4718</v>
      </c>
      <c r="BB87" s="476">
        <f t="shared" ref="BB87:BC92" si="213">P87+AR87</f>
        <v>3.55</v>
      </c>
      <c r="BC87" s="478">
        <f t="shared" si="213"/>
        <v>0.92179999999999995</v>
      </c>
    </row>
    <row r="88" spans="1:55" ht="12.95" customHeight="1" x14ac:dyDescent="0.25">
      <c r="A88" s="308">
        <v>16</v>
      </c>
      <c r="B88" s="309">
        <v>4487</v>
      </c>
      <c r="C88" s="309">
        <v>600074854</v>
      </c>
      <c r="D88" s="309">
        <v>70698503</v>
      </c>
      <c r="E88" s="311" t="s">
        <v>359</v>
      </c>
      <c r="F88" s="309">
        <v>3117</v>
      </c>
      <c r="G88" s="312" t="s">
        <v>329</v>
      </c>
      <c r="H88" s="312" t="s">
        <v>277</v>
      </c>
      <c r="I88" s="477">
        <v>4693797</v>
      </c>
      <c r="J88" s="472">
        <v>3140720</v>
      </c>
      <c r="K88" s="472">
        <v>245000</v>
      </c>
      <c r="L88" s="472">
        <v>1144373</v>
      </c>
      <c r="M88" s="472">
        <v>62814</v>
      </c>
      <c r="N88" s="472">
        <v>100890</v>
      </c>
      <c r="O88" s="473">
        <v>5.9756999999999998</v>
      </c>
      <c r="P88" s="474">
        <v>4.4954999999999998</v>
      </c>
      <c r="Q88" s="483">
        <v>1.4801999999999997</v>
      </c>
      <c r="R88" s="485">
        <f t="shared" si="196"/>
        <v>0</v>
      </c>
      <c r="S88" s="475">
        <v>0</v>
      </c>
      <c r="T88" s="475">
        <v>0</v>
      </c>
      <c r="U88" s="475">
        <v>0</v>
      </c>
      <c r="V88" s="475">
        <v>-19146</v>
      </c>
      <c r="W88" s="475">
        <v>0</v>
      </c>
      <c r="X88" s="475">
        <f t="shared" si="197"/>
        <v>-19146</v>
      </c>
      <c r="Y88" s="475">
        <v>0</v>
      </c>
      <c r="Z88" s="475">
        <v>0</v>
      </c>
      <c r="AA88" s="475">
        <v>0</v>
      </c>
      <c r="AB88" s="475">
        <f t="shared" si="198"/>
        <v>0</v>
      </c>
      <c r="AC88" s="475">
        <f t="shared" si="199"/>
        <v>-19146</v>
      </c>
      <c r="AD88" s="70">
        <f t="shared" si="200"/>
        <v>-6471</v>
      </c>
      <c r="AE88" s="70">
        <f t="shared" si="201"/>
        <v>-383</v>
      </c>
      <c r="AF88" s="475">
        <v>0</v>
      </c>
      <c r="AG88" s="475">
        <v>26000</v>
      </c>
      <c r="AH88" s="475">
        <f t="shared" si="202"/>
        <v>26000</v>
      </c>
      <c r="AI88" s="475">
        <f t="shared" si="203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 t="shared" si="204"/>
        <v>0</v>
      </c>
      <c r="AS88" s="476">
        <f t="shared" si="205"/>
        <v>0</v>
      </c>
      <c r="AT88" s="478">
        <f t="shared" si="206"/>
        <v>0</v>
      </c>
      <c r="AU88" s="484">
        <f t="shared" si="207"/>
        <v>4693797</v>
      </c>
      <c r="AV88" s="475">
        <f t="shared" si="208"/>
        <v>3121574</v>
      </c>
      <c r="AW88" s="475">
        <f t="shared" si="209"/>
        <v>245000</v>
      </c>
      <c r="AX88" s="475">
        <f t="shared" si="210"/>
        <v>1137902</v>
      </c>
      <c r="AY88" s="475">
        <f t="shared" si="210"/>
        <v>62431</v>
      </c>
      <c r="AZ88" s="475">
        <f t="shared" si="211"/>
        <v>126890</v>
      </c>
      <c r="BA88" s="476">
        <f t="shared" si="212"/>
        <v>5.9756999999999998</v>
      </c>
      <c r="BB88" s="476">
        <f t="shared" si="213"/>
        <v>4.4954999999999998</v>
      </c>
      <c r="BC88" s="478">
        <f t="shared" si="213"/>
        <v>1.4801999999999997</v>
      </c>
    </row>
    <row r="89" spans="1:55" ht="12.95" customHeight="1" x14ac:dyDescent="0.25">
      <c r="A89" s="308">
        <v>16</v>
      </c>
      <c r="B89" s="309">
        <v>4487</v>
      </c>
      <c r="C89" s="309">
        <v>600074854</v>
      </c>
      <c r="D89" s="309">
        <v>70698503</v>
      </c>
      <c r="E89" s="311" t="s">
        <v>359</v>
      </c>
      <c r="F89" s="309">
        <v>3117</v>
      </c>
      <c r="G89" s="312" t="s">
        <v>319</v>
      </c>
      <c r="H89" s="312" t="s">
        <v>278</v>
      </c>
      <c r="I89" s="477">
        <v>1304262</v>
      </c>
      <c r="J89" s="472">
        <v>959140</v>
      </c>
      <c r="K89" s="472">
        <v>0</v>
      </c>
      <c r="L89" s="472">
        <v>324189</v>
      </c>
      <c r="M89" s="472">
        <v>19183</v>
      </c>
      <c r="N89" s="472">
        <v>1750</v>
      </c>
      <c r="O89" s="473">
        <v>2.7699999999999996</v>
      </c>
      <c r="P89" s="474">
        <v>2.7699999999999996</v>
      </c>
      <c r="Q89" s="483">
        <v>0</v>
      </c>
      <c r="R89" s="485">
        <f t="shared" si="196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97"/>
        <v>0</v>
      </c>
      <c r="Y89" s="475">
        <v>0</v>
      </c>
      <c r="Z89" s="475">
        <v>0</v>
      </c>
      <c r="AA89" s="475">
        <v>0</v>
      </c>
      <c r="AB89" s="475">
        <f t="shared" si="198"/>
        <v>0</v>
      </c>
      <c r="AC89" s="475">
        <f t="shared" si="199"/>
        <v>0</v>
      </c>
      <c r="AD89" s="70">
        <f t="shared" si="200"/>
        <v>0</v>
      </c>
      <c r="AE89" s="70">
        <f t="shared" si="201"/>
        <v>0</v>
      </c>
      <c r="AF89" s="475">
        <v>0</v>
      </c>
      <c r="AG89" s="475">
        <v>0</v>
      </c>
      <c r="AH89" s="475">
        <f t="shared" si="202"/>
        <v>0</v>
      </c>
      <c r="AI89" s="475">
        <f t="shared" si="203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 t="shared" si="204"/>
        <v>0</v>
      </c>
      <c r="AS89" s="476">
        <f t="shared" si="205"/>
        <v>0</v>
      </c>
      <c r="AT89" s="478">
        <f t="shared" si="206"/>
        <v>0</v>
      </c>
      <c r="AU89" s="484">
        <f t="shared" si="207"/>
        <v>1304262</v>
      </c>
      <c r="AV89" s="475">
        <f t="shared" si="208"/>
        <v>959140</v>
      </c>
      <c r="AW89" s="475">
        <f t="shared" si="209"/>
        <v>0</v>
      </c>
      <c r="AX89" s="475">
        <f t="shared" si="210"/>
        <v>324189</v>
      </c>
      <c r="AY89" s="475">
        <f t="shared" si="210"/>
        <v>19183</v>
      </c>
      <c r="AZ89" s="475">
        <f t="shared" si="211"/>
        <v>1750</v>
      </c>
      <c r="BA89" s="476">
        <f t="shared" si="212"/>
        <v>2.7699999999999996</v>
      </c>
      <c r="BB89" s="476">
        <f t="shared" si="213"/>
        <v>2.7699999999999996</v>
      </c>
      <c r="BC89" s="478">
        <f t="shared" si="213"/>
        <v>0</v>
      </c>
    </row>
    <row r="90" spans="1:55" ht="12.95" customHeight="1" x14ac:dyDescent="0.25">
      <c r="A90" s="308">
        <v>16</v>
      </c>
      <c r="B90" s="309">
        <v>4487</v>
      </c>
      <c r="C90" s="309">
        <v>600074854</v>
      </c>
      <c r="D90" s="309">
        <v>70698503</v>
      </c>
      <c r="E90" s="311" t="s">
        <v>359</v>
      </c>
      <c r="F90" s="309">
        <v>3141</v>
      </c>
      <c r="G90" s="312" t="s">
        <v>315</v>
      </c>
      <c r="H90" s="312" t="s">
        <v>278</v>
      </c>
      <c r="I90" s="477">
        <v>1069670</v>
      </c>
      <c r="J90" s="472">
        <v>783922</v>
      </c>
      <c r="K90" s="472">
        <v>0</v>
      </c>
      <c r="L90" s="472">
        <v>264966</v>
      </c>
      <c r="M90" s="472">
        <v>15678</v>
      </c>
      <c r="N90" s="472">
        <v>5104</v>
      </c>
      <c r="O90" s="473">
        <v>2.4700000000000002</v>
      </c>
      <c r="P90" s="474">
        <v>0</v>
      </c>
      <c r="Q90" s="483">
        <v>2.4700000000000002</v>
      </c>
      <c r="R90" s="485">
        <f t="shared" si="196"/>
        <v>0</v>
      </c>
      <c r="S90" s="475">
        <v>0</v>
      </c>
      <c r="T90" s="475">
        <v>-34375</v>
      </c>
      <c r="U90" s="475">
        <v>0</v>
      </c>
      <c r="V90" s="475">
        <v>0</v>
      </c>
      <c r="W90" s="475">
        <v>0</v>
      </c>
      <c r="X90" s="475">
        <f t="shared" si="197"/>
        <v>-34375</v>
      </c>
      <c r="Y90" s="475">
        <v>0</v>
      </c>
      <c r="Z90" s="475">
        <v>0</v>
      </c>
      <c r="AA90" s="475">
        <v>0</v>
      </c>
      <c r="AB90" s="475">
        <f t="shared" si="198"/>
        <v>0</v>
      </c>
      <c r="AC90" s="475">
        <f t="shared" si="199"/>
        <v>-34375</v>
      </c>
      <c r="AD90" s="70">
        <f t="shared" si="200"/>
        <v>-11619</v>
      </c>
      <c r="AE90" s="70">
        <f t="shared" si="201"/>
        <v>-688</v>
      </c>
      <c r="AF90" s="475">
        <v>0</v>
      </c>
      <c r="AG90" s="475">
        <v>0</v>
      </c>
      <c r="AH90" s="475">
        <f t="shared" si="202"/>
        <v>0</v>
      </c>
      <c r="AI90" s="475">
        <f t="shared" si="203"/>
        <v>-46682</v>
      </c>
      <c r="AJ90" s="476">
        <v>0</v>
      </c>
      <c r="AK90" s="476">
        <v>0</v>
      </c>
      <c r="AL90" s="476">
        <v>0</v>
      </c>
      <c r="AM90" s="476">
        <v>0</v>
      </c>
      <c r="AN90" s="476">
        <v>-0.11</v>
      </c>
      <c r="AO90" s="476">
        <v>0</v>
      </c>
      <c r="AP90" s="476">
        <v>0</v>
      </c>
      <c r="AQ90" s="476">
        <v>0</v>
      </c>
      <c r="AR90" s="476">
        <f t="shared" si="204"/>
        <v>0</v>
      </c>
      <c r="AS90" s="476">
        <f t="shared" si="205"/>
        <v>-0.11</v>
      </c>
      <c r="AT90" s="478">
        <f t="shared" si="206"/>
        <v>-0.11</v>
      </c>
      <c r="AU90" s="484">
        <f t="shared" si="207"/>
        <v>1022988</v>
      </c>
      <c r="AV90" s="475">
        <f t="shared" si="208"/>
        <v>749547</v>
      </c>
      <c r="AW90" s="475">
        <f t="shared" si="209"/>
        <v>0</v>
      </c>
      <c r="AX90" s="475">
        <f t="shared" si="210"/>
        <v>253347</v>
      </c>
      <c r="AY90" s="475">
        <f t="shared" si="210"/>
        <v>14990</v>
      </c>
      <c r="AZ90" s="475">
        <f t="shared" si="211"/>
        <v>5104</v>
      </c>
      <c r="BA90" s="476">
        <f t="shared" si="212"/>
        <v>2.3600000000000003</v>
      </c>
      <c r="BB90" s="476">
        <f t="shared" si="213"/>
        <v>0</v>
      </c>
      <c r="BC90" s="478">
        <f t="shared" si="213"/>
        <v>2.3600000000000003</v>
      </c>
    </row>
    <row r="91" spans="1:55" ht="12.95" customHeight="1" x14ac:dyDescent="0.25">
      <c r="A91" s="308">
        <v>16</v>
      </c>
      <c r="B91" s="309">
        <v>4487</v>
      </c>
      <c r="C91" s="309">
        <v>600074854</v>
      </c>
      <c r="D91" s="309">
        <v>70698503</v>
      </c>
      <c r="E91" s="311" t="s">
        <v>359</v>
      </c>
      <c r="F91" s="309">
        <v>3143</v>
      </c>
      <c r="G91" s="312" t="s">
        <v>626</v>
      </c>
      <c r="H91" s="312" t="s">
        <v>277</v>
      </c>
      <c r="I91" s="477">
        <v>1118142</v>
      </c>
      <c r="J91" s="472">
        <v>823374</v>
      </c>
      <c r="K91" s="472">
        <v>0</v>
      </c>
      <c r="L91" s="472">
        <v>278300</v>
      </c>
      <c r="M91" s="472">
        <v>16468</v>
      </c>
      <c r="N91" s="472">
        <v>0</v>
      </c>
      <c r="O91" s="473">
        <v>2</v>
      </c>
      <c r="P91" s="474">
        <v>2</v>
      </c>
      <c r="Q91" s="483">
        <v>0</v>
      </c>
      <c r="R91" s="485">
        <f t="shared" si="196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97"/>
        <v>0</v>
      </c>
      <c r="Y91" s="475">
        <v>0</v>
      </c>
      <c r="Z91" s="475">
        <v>0</v>
      </c>
      <c r="AA91" s="475">
        <v>0</v>
      </c>
      <c r="AB91" s="475">
        <f t="shared" si="198"/>
        <v>0</v>
      </c>
      <c r="AC91" s="475">
        <f t="shared" si="199"/>
        <v>0</v>
      </c>
      <c r="AD91" s="70">
        <f t="shared" si="200"/>
        <v>0</v>
      </c>
      <c r="AE91" s="70">
        <f t="shared" si="201"/>
        <v>0</v>
      </c>
      <c r="AF91" s="475">
        <v>0</v>
      </c>
      <c r="AG91" s="475">
        <v>0</v>
      </c>
      <c r="AH91" s="475">
        <f t="shared" si="202"/>
        <v>0</v>
      </c>
      <c r="AI91" s="475">
        <f t="shared" si="203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 t="shared" si="204"/>
        <v>0</v>
      </c>
      <c r="AS91" s="476">
        <f t="shared" si="205"/>
        <v>0</v>
      </c>
      <c r="AT91" s="478">
        <f t="shared" si="206"/>
        <v>0</v>
      </c>
      <c r="AU91" s="484">
        <f t="shared" si="207"/>
        <v>1118142</v>
      </c>
      <c r="AV91" s="475">
        <f t="shared" si="208"/>
        <v>823374</v>
      </c>
      <c r="AW91" s="475">
        <f t="shared" si="209"/>
        <v>0</v>
      </c>
      <c r="AX91" s="475">
        <f t="shared" si="210"/>
        <v>278300</v>
      </c>
      <c r="AY91" s="475">
        <f t="shared" si="210"/>
        <v>16468</v>
      </c>
      <c r="AZ91" s="475">
        <f t="shared" si="211"/>
        <v>0</v>
      </c>
      <c r="BA91" s="476">
        <f t="shared" si="212"/>
        <v>2</v>
      </c>
      <c r="BB91" s="476">
        <f t="shared" si="213"/>
        <v>2</v>
      </c>
      <c r="BC91" s="478">
        <f t="shared" si="213"/>
        <v>0</v>
      </c>
    </row>
    <row r="92" spans="1:55" ht="12.95" customHeight="1" x14ac:dyDescent="0.25">
      <c r="A92" s="308">
        <v>16</v>
      </c>
      <c r="B92" s="309">
        <v>4487</v>
      </c>
      <c r="C92" s="309">
        <v>600074854</v>
      </c>
      <c r="D92" s="309">
        <v>70698503</v>
      </c>
      <c r="E92" s="311" t="s">
        <v>359</v>
      </c>
      <c r="F92" s="309">
        <v>3143</v>
      </c>
      <c r="G92" s="312" t="s">
        <v>627</v>
      </c>
      <c r="H92" s="312" t="s">
        <v>278</v>
      </c>
      <c r="I92" s="477">
        <v>23436</v>
      </c>
      <c r="J92" s="472">
        <v>16573</v>
      </c>
      <c r="K92" s="472">
        <v>0</v>
      </c>
      <c r="L92" s="472">
        <v>5602</v>
      </c>
      <c r="M92" s="472">
        <v>331</v>
      </c>
      <c r="N92" s="472">
        <v>930</v>
      </c>
      <c r="O92" s="473">
        <v>0.06</v>
      </c>
      <c r="P92" s="474">
        <v>0</v>
      </c>
      <c r="Q92" s="483">
        <v>0.06</v>
      </c>
      <c r="R92" s="485">
        <f t="shared" si="196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197"/>
        <v>0</v>
      </c>
      <c r="Y92" s="475">
        <v>0</v>
      </c>
      <c r="Z92" s="475">
        <v>0</v>
      </c>
      <c r="AA92" s="475">
        <v>0</v>
      </c>
      <c r="AB92" s="475">
        <f t="shared" si="198"/>
        <v>0</v>
      </c>
      <c r="AC92" s="475">
        <f t="shared" si="199"/>
        <v>0</v>
      </c>
      <c r="AD92" s="70">
        <f t="shared" si="200"/>
        <v>0</v>
      </c>
      <c r="AE92" s="70">
        <f t="shared" si="201"/>
        <v>0</v>
      </c>
      <c r="AF92" s="475">
        <v>0</v>
      </c>
      <c r="AG92" s="475">
        <v>0</v>
      </c>
      <c r="AH92" s="475">
        <f t="shared" si="202"/>
        <v>0</v>
      </c>
      <c r="AI92" s="475">
        <f t="shared" si="203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 t="shared" si="204"/>
        <v>0</v>
      </c>
      <c r="AS92" s="476">
        <f t="shared" si="205"/>
        <v>0</v>
      </c>
      <c r="AT92" s="478">
        <f t="shared" si="206"/>
        <v>0</v>
      </c>
      <c r="AU92" s="484">
        <f t="shared" si="207"/>
        <v>23436</v>
      </c>
      <c r="AV92" s="475">
        <f t="shared" si="208"/>
        <v>16573</v>
      </c>
      <c r="AW92" s="475">
        <f t="shared" si="209"/>
        <v>0</v>
      </c>
      <c r="AX92" s="475">
        <f t="shared" si="210"/>
        <v>5602</v>
      </c>
      <c r="AY92" s="475">
        <f t="shared" si="210"/>
        <v>331</v>
      </c>
      <c r="AZ92" s="475">
        <f t="shared" si="211"/>
        <v>930</v>
      </c>
      <c r="BA92" s="476">
        <f t="shared" si="212"/>
        <v>0.06</v>
      </c>
      <c r="BB92" s="476">
        <f t="shared" si="213"/>
        <v>0</v>
      </c>
      <c r="BC92" s="478">
        <f t="shared" si="213"/>
        <v>0.06</v>
      </c>
    </row>
    <row r="93" spans="1:55" ht="12.95" customHeight="1" x14ac:dyDescent="0.25">
      <c r="A93" s="301">
        <v>16</v>
      </c>
      <c r="B93" s="303">
        <v>4487</v>
      </c>
      <c r="C93" s="303">
        <v>600074854</v>
      </c>
      <c r="D93" s="303">
        <v>70698503</v>
      </c>
      <c r="E93" s="316" t="s">
        <v>360</v>
      </c>
      <c r="F93" s="319"/>
      <c r="G93" s="320"/>
      <c r="H93" s="320"/>
      <c r="I93" s="561">
        <v>10576345</v>
      </c>
      <c r="J93" s="558">
        <v>7456820</v>
      </c>
      <c r="K93" s="558">
        <v>245000</v>
      </c>
      <c r="L93" s="558">
        <v>2603215</v>
      </c>
      <c r="M93" s="558">
        <v>149136</v>
      </c>
      <c r="N93" s="558">
        <v>122174</v>
      </c>
      <c r="O93" s="559">
        <v>17.747499999999999</v>
      </c>
      <c r="P93" s="559">
        <v>12.8155</v>
      </c>
      <c r="Q93" s="563">
        <v>4.9319999999999995</v>
      </c>
      <c r="R93" s="561">
        <f t="shared" ref="R93:BC93" si="214">SUM(R87:R92)</f>
        <v>0</v>
      </c>
      <c r="S93" s="558">
        <f t="shared" si="214"/>
        <v>0</v>
      </c>
      <c r="T93" s="558">
        <f t="shared" si="214"/>
        <v>-34375</v>
      </c>
      <c r="U93" s="558">
        <f t="shared" si="214"/>
        <v>0</v>
      </c>
      <c r="V93" s="558">
        <f t="shared" si="214"/>
        <v>-19146</v>
      </c>
      <c r="W93" s="558">
        <f t="shared" si="214"/>
        <v>0</v>
      </c>
      <c r="X93" s="558">
        <f t="shared" si="214"/>
        <v>-53521</v>
      </c>
      <c r="Y93" s="558">
        <f t="shared" si="214"/>
        <v>0</v>
      </c>
      <c r="Z93" s="558">
        <f t="shared" si="214"/>
        <v>0</v>
      </c>
      <c r="AA93" s="558">
        <f t="shared" si="214"/>
        <v>0</v>
      </c>
      <c r="AB93" s="558">
        <f t="shared" si="214"/>
        <v>0</v>
      </c>
      <c r="AC93" s="558">
        <f t="shared" si="214"/>
        <v>-53521</v>
      </c>
      <c r="AD93" s="558">
        <f t="shared" si="214"/>
        <v>-18090</v>
      </c>
      <c r="AE93" s="558">
        <f t="shared" si="214"/>
        <v>-1071</v>
      </c>
      <c r="AF93" s="558">
        <f t="shared" si="214"/>
        <v>0</v>
      </c>
      <c r="AG93" s="558">
        <f t="shared" si="214"/>
        <v>26000</v>
      </c>
      <c r="AH93" s="558">
        <f t="shared" si="214"/>
        <v>26000</v>
      </c>
      <c r="AI93" s="558">
        <f t="shared" si="214"/>
        <v>-46682</v>
      </c>
      <c r="AJ93" s="559">
        <f t="shared" si="214"/>
        <v>0</v>
      </c>
      <c r="AK93" s="559">
        <f t="shared" si="214"/>
        <v>0</v>
      </c>
      <c r="AL93" s="559">
        <f t="shared" si="214"/>
        <v>0</v>
      </c>
      <c r="AM93" s="559">
        <f t="shared" si="214"/>
        <v>0</v>
      </c>
      <c r="AN93" s="559">
        <f t="shared" si="214"/>
        <v>-0.11</v>
      </c>
      <c r="AO93" s="559">
        <f t="shared" si="214"/>
        <v>0</v>
      </c>
      <c r="AP93" s="559">
        <f t="shared" si="214"/>
        <v>0</v>
      </c>
      <c r="AQ93" s="559">
        <f t="shared" si="214"/>
        <v>0</v>
      </c>
      <c r="AR93" s="559">
        <f t="shared" si="214"/>
        <v>0</v>
      </c>
      <c r="AS93" s="559">
        <f t="shared" si="214"/>
        <v>-0.11</v>
      </c>
      <c r="AT93" s="318">
        <f t="shared" si="214"/>
        <v>-0.11</v>
      </c>
      <c r="AU93" s="565">
        <f t="shared" si="214"/>
        <v>10529663</v>
      </c>
      <c r="AV93" s="558">
        <f t="shared" si="214"/>
        <v>7403299</v>
      </c>
      <c r="AW93" s="558">
        <f t="shared" si="214"/>
        <v>245000</v>
      </c>
      <c r="AX93" s="558">
        <f t="shared" si="214"/>
        <v>2585125</v>
      </c>
      <c r="AY93" s="558">
        <f t="shared" si="214"/>
        <v>148065</v>
      </c>
      <c r="AZ93" s="558">
        <f t="shared" si="214"/>
        <v>148174</v>
      </c>
      <c r="BA93" s="559">
        <f t="shared" si="214"/>
        <v>17.637499999999999</v>
      </c>
      <c r="BB93" s="559">
        <f t="shared" si="214"/>
        <v>12.8155</v>
      </c>
      <c r="BC93" s="318">
        <f t="shared" si="214"/>
        <v>4.8220000000000001</v>
      </c>
    </row>
    <row r="94" spans="1:55" ht="12.95" customHeight="1" x14ac:dyDescent="0.25">
      <c r="A94" s="308">
        <v>17</v>
      </c>
      <c r="B94" s="309">
        <v>4488</v>
      </c>
      <c r="C94" s="309">
        <v>600074803</v>
      </c>
      <c r="D94" s="309">
        <v>72742089</v>
      </c>
      <c r="E94" s="311" t="s">
        <v>361</v>
      </c>
      <c r="F94" s="309">
        <v>3111</v>
      </c>
      <c r="G94" s="312" t="s">
        <v>325</v>
      </c>
      <c r="H94" s="312" t="s">
        <v>277</v>
      </c>
      <c r="I94" s="477">
        <v>1444184</v>
      </c>
      <c r="J94" s="472">
        <v>1057499</v>
      </c>
      <c r="K94" s="472">
        <v>0</v>
      </c>
      <c r="L94" s="472">
        <v>357435</v>
      </c>
      <c r="M94" s="472">
        <v>21150</v>
      </c>
      <c r="N94" s="472">
        <v>8100</v>
      </c>
      <c r="O94" s="473">
        <v>2.4609000000000001</v>
      </c>
      <c r="P94" s="474">
        <v>2</v>
      </c>
      <c r="Q94" s="483">
        <v>0.46089999999999998</v>
      </c>
      <c r="R94" s="485">
        <f t="shared" ref="R94:R99" si="215">Y94*-1</f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ref="X94:X99" si="216">SUM(R94:W94)</f>
        <v>0</v>
      </c>
      <c r="Y94" s="475">
        <v>0</v>
      </c>
      <c r="Z94" s="475">
        <v>0</v>
      </c>
      <c r="AA94" s="475">
        <v>0</v>
      </c>
      <c r="AB94" s="475">
        <f t="shared" ref="AB94:AB99" si="217">SUM(Y94:AA94)</f>
        <v>0</v>
      </c>
      <c r="AC94" s="475">
        <f t="shared" ref="AC94:AC99" si="218">X94+AB94</f>
        <v>0</v>
      </c>
      <c r="AD94" s="70">
        <f t="shared" ref="AD94:AD99" si="219">ROUND((X94+Y94+Z94)*33.8%,0)</f>
        <v>0</v>
      </c>
      <c r="AE94" s="70">
        <f t="shared" ref="AE94:AE99" si="220">ROUND(X94*2%,0)</f>
        <v>0</v>
      </c>
      <c r="AF94" s="475">
        <v>0</v>
      </c>
      <c r="AG94" s="475">
        <v>0</v>
      </c>
      <c r="AH94" s="475">
        <f t="shared" ref="AH94:AH99" si="221">SUM(AF94:AG94)</f>
        <v>0</v>
      </c>
      <c r="AI94" s="475">
        <f t="shared" ref="AI94:AI99" si="222">AC94+AD94+AE94+AH94</f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 t="shared" ref="AR94:AR99" si="223">AJ94+AL94+AM94+AO94+AP94</f>
        <v>0</v>
      </c>
      <c r="AS94" s="476">
        <f t="shared" ref="AS94:AS99" si="224">AK94+AN94+AQ94</f>
        <v>0</v>
      </c>
      <c r="AT94" s="478">
        <f t="shared" ref="AT94:AT99" si="225">SUM(AR94:AS94)</f>
        <v>0</v>
      </c>
      <c r="AU94" s="484">
        <f t="shared" ref="AU94:AU99" si="226">I94+AI94</f>
        <v>1444184</v>
      </c>
      <c r="AV94" s="475">
        <f t="shared" ref="AV94:AV99" si="227">J94+X94</f>
        <v>1057499</v>
      </c>
      <c r="AW94" s="475">
        <f t="shared" ref="AW94:AW99" si="228">K94+AB94</f>
        <v>0</v>
      </c>
      <c r="AX94" s="475">
        <f t="shared" ref="AX94:AY99" si="229">L94+AD94</f>
        <v>357435</v>
      </c>
      <c r="AY94" s="475">
        <f t="shared" si="229"/>
        <v>21150</v>
      </c>
      <c r="AZ94" s="475">
        <f t="shared" ref="AZ94:AZ99" si="230">N94+AH94</f>
        <v>8100</v>
      </c>
      <c r="BA94" s="476">
        <f t="shared" ref="BA94:BA99" si="231">O94+AT94</f>
        <v>2.4609000000000001</v>
      </c>
      <c r="BB94" s="476">
        <f t="shared" ref="BB94:BC99" si="232">P94+AR94</f>
        <v>2</v>
      </c>
      <c r="BC94" s="478">
        <f t="shared" si="232"/>
        <v>0.46089999999999998</v>
      </c>
    </row>
    <row r="95" spans="1:55" ht="12.95" customHeight="1" x14ac:dyDescent="0.25">
      <c r="A95" s="308">
        <v>17</v>
      </c>
      <c r="B95" s="309">
        <v>4488</v>
      </c>
      <c r="C95" s="309">
        <v>600074803</v>
      </c>
      <c r="D95" s="309">
        <v>72742089</v>
      </c>
      <c r="E95" s="311" t="s">
        <v>361</v>
      </c>
      <c r="F95" s="309">
        <v>3117</v>
      </c>
      <c r="G95" s="312" t="s">
        <v>329</v>
      </c>
      <c r="H95" s="312" t="s">
        <v>277</v>
      </c>
      <c r="I95" s="477">
        <v>3414964</v>
      </c>
      <c r="J95" s="472">
        <v>2440320</v>
      </c>
      <c r="K95" s="472">
        <v>20000</v>
      </c>
      <c r="L95" s="472">
        <v>831588</v>
      </c>
      <c r="M95" s="472">
        <v>48806</v>
      </c>
      <c r="N95" s="472">
        <v>74250</v>
      </c>
      <c r="O95" s="473">
        <v>4.6604000000000001</v>
      </c>
      <c r="P95" s="474">
        <v>3.2726999999999999</v>
      </c>
      <c r="Q95" s="483">
        <v>1.3877000000000002</v>
      </c>
      <c r="R95" s="485">
        <f t="shared" si="215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16"/>
        <v>0</v>
      </c>
      <c r="Y95" s="475">
        <v>0</v>
      </c>
      <c r="Z95" s="475">
        <v>0</v>
      </c>
      <c r="AA95" s="475">
        <v>0</v>
      </c>
      <c r="AB95" s="475">
        <f t="shared" si="217"/>
        <v>0</v>
      </c>
      <c r="AC95" s="475">
        <f t="shared" si="218"/>
        <v>0</v>
      </c>
      <c r="AD95" s="70">
        <f t="shared" si="219"/>
        <v>0</v>
      </c>
      <c r="AE95" s="70">
        <f t="shared" si="220"/>
        <v>0</v>
      </c>
      <c r="AF95" s="475">
        <v>0</v>
      </c>
      <c r="AG95" s="475">
        <v>0</v>
      </c>
      <c r="AH95" s="475">
        <f t="shared" si="221"/>
        <v>0</v>
      </c>
      <c r="AI95" s="475">
        <f t="shared" si="222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 t="shared" si="223"/>
        <v>0</v>
      </c>
      <c r="AS95" s="476">
        <f t="shared" si="224"/>
        <v>0</v>
      </c>
      <c r="AT95" s="478">
        <f t="shared" si="225"/>
        <v>0</v>
      </c>
      <c r="AU95" s="484">
        <f t="shared" si="226"/>
        <v>3414964</v>
      </c>
      <c r="AV95" s="475">
        <f t="shared" si="227"/>
        <v>2440320</v>
      </c>
      <c r="AW95" s="475">
        <f t="shared" si="228"/>
        <v>20000</v>
      </c>
      <c r="AX95" s="475">
        <f t="shared" si="229"/>
        <v>831588</v>
      </c>
      <c r="AY95" s="475">
        <f t="shared" si="229"/>
        <v>48806</v>
      </c>
      <c r="AZ95" s="475">
        <f t="shared" si="230"/>
        <v>74250</v>
      </c>
      <c r="BA95" s="476">
        <f t="shared" si="231"/>
        <v>4.6604000000000001</v>
      </c>
      <c r="BB95" s="476">
        <f t="shared" si="232"/>
        <v>3.2726999999999999</v>
      </c>
      <c r="BC95" s="478">
        <f t="shared" si="232"/>
        <v>1.3877000000000002</v>
      </c>
    </row>
    <row r="96" spans="1:55" ht="12.95" customHeight="1" x14ac:dyDescent="0.25">
      <c r="A96" s="308">
        <v>17</v>
      </c>
      <c r="B96" s="309">
        <v>4488</v>
      </c>
      <c r="C96" s="309">
        <v>600074803</v>
      </c>
      <c r="D96" s="309">
        <v>72742089</v>
      </c>
      <c r="E96" s="311" t="s">
        <v>361</v>
      </c>
      <c r="F96" s="309">
        <v>3117</v>
      </c>
      <c r="G96" s="312" t="s">
        <v>319</v>
      </c>
      <c r="H96" s="312" t="s">
        <v>278</v>
      </c>
      <c r="I96" s="477">
        <v>525348</v>
      </c>
      <c r="J96" s="472">
        <v>386854</v>
      </c>
      <c r="K96" s="472">
        <v>0</v>
      </c>
      <c r="L96" s="472">
        <v>130757</v>
      </c>
      <c r="M96" s="472">
        <v>7737</v>
      </c>
      <c r="N96" s="472">
        <v>0</v>
      </c>
      <c r="O96" s="473">
        <v>1.25</v>
      </c>
      <c r="P96" s="474">
        <v>1.25</v>
      </c>
      <c r="Q96" s="483">
        <v>0</v>
      </c>
      <c r="R96" s="485">
        <f t="shared" si="215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16"/>
        <v>0</v>
      </c>
      <c r="Y96" s="475">
        <v>0</v>
      </c>
      <c r="Z96" s="475">
        <v>0</v>
      </c>
      <c r="AA96" s="475">
        <v>0</v>
      </c>
      <c r="AB96" s="475">
        <f t="shared" si="217"/>
        <v>0</v>
      </c>
      <c r="AC96" s="475">
        <f t="shared" si="218"/>
        <v>0</v>
      </c>
      <c r="AD96" s="70">
        <f t="shared" si="219"/>
        <v>0</v>
      </c>
      <c r="AE96" s="70">
        <f t="shared" si="220"/>
        <v>0</v>
      </c>
      <c r="AF96" s="475">
        <v>0</v>
      </c>
      <c r="AG96" s="475">
        <v>0</v>
      </c>
      <c r="AH96" s="475">
        <f t="shared" si="221"/>
        <v>0</v>
      </c>
      <c r="AI96" s="475">
        <f t="shared" si="222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 t="shared" si="223"/>
        <v>0</v>
      </c>
      <c r="AS96" s="476">
        <f t="shared" si="224"/>
        <v>0</v>
      </c>
      <c r="AT96" s="478">
        <f t="shared" si="225"/>
        <v>0</v>
      </c>
      <c r="AU96" s="484">
        <f t="shared" si="226"/>
        <v>525348</v>
      </c>
      <c r="AV96" s="475">
        <f t="shared" si="227"/>
        <v>386854</v>
      </c>
      <c r="AW96" s="475">
        <f t="shared" si="228"/>
        <v>0</v>
      </c>
      <c r="AX96" s="475">
        <f t="shared" si="229"/>
        <v>130757</v>
      </c>
      <c r="AY96" s="475">
        <f t="shared" si="229"/>
        <v>7737</v>
      </c>
      <c r="AZ96" s="475">
        <f t="shared" si="230"/>
        <v>0</v>
      </c>
      <c r="BA96" s="476">
        <f t="shared" si="231"/>
        <v>1.25</v>
      </c>
      <c r="BB96" s="476">
        <f t="shared" si="232"/>
        <v>1.25</v>
      </c>
      <c r="BC96" s="478">
        <f t="shared" si="232"/>
        <v>0</v>
      </c>
    </row>
    <row r="97" spans="1:55" ht="12.95" customHeight="1" x14ac:dyDescent="0.25">
      <c r="A97" s="308">
        <v>17</v>
      </c>
      <c r="B97" s="309">
        <v>4488</v>
      </c>
      <c r="C97" s="309">
        <v>600074803</v>
      </c>
      <c r="D97" s="309">
        <v>72742089</v>
      </c>
      <c r="E97" s="311" t="s">
        <v>361</v>
      </c>
      <c r="F97" s="309">
        <v>3141</v>
      </c>
      <c r="G97" s="312" t="s">
        <v>315</v>
      </c>
      <c r="H97" s="312" t="s">
        <v>278</v>
      </c>
      <c r="I97" s="477">
        <v>250767</v>
      </c>
      <c r="J97" s="472">
        <v>183456</v>
      </c>
      <c r="K97" s="472">
        <v>0</v>
      </c>
      <c r="L97" s="472">
        <v>62008</v>
      </c>
      <c r="M97" s="472">
        <v>3669</v>
      </c>
      <c r="N97" s="472">
        <v>1634</v>
      </c>
      <c r="O97" s="473">
        <v>0.57999999999999996</v>
      </c>
      <c r="P97" s="474">
        <v>0</v>
      </c>
      <c r="Q97" s="483">
        <v>0.57999999999999996</v>
      </c>
      <c r="R97" s="485">
        <f t="shared" si="215"/>
        <v>0</v>
      </c>
      <c r="S97" s="475">
        <v>0</v>
      </c>
      <c r="T97" s="475">
        <v>6492</v>
      </c>
      <c r="U97" s="475">
        <v>0</v>
      </c>
      <c r="V97" s="475">
        <v>0</v>
      </c>
      <c r="W97" s="475">
        <v>0</v>
      </c>
      <c r="X97" s="475">
        <f t="shared" si="216"/>
        <v>6492</v>
      </c>
      <c r="Y97" s="475">
        <v>0</v>
      </c>
      <c r="Z97" s="475">
        <v>0</v>
      </c>
      <c r="AA97" s="475">
        <v>0</v>
      </c>
      <c r="AB97" s="475">
        <f t="shared" si="217"/>
        <v>0</v>
      </c>
      <c r="AC97" s="475">
        <f t="shared" si="218"/>
        <v>6492</v>
      </c>
      <c r="AD97" s="70">
        <f t="shared" si="219"/>
        <v>2194</v>
      </c>
      <c r="AE97" s="70">
        <f t="shared" si="220"/>
        <v>130</v>
      </c>
      <c r="AF97" s="475">
        <v>0</v>
      </c>
      <c r="AG97" s="475">
        <v>0</v>
      </c>
      <c r="AH97" s="475">
        <f t="shared" si="221"/>
        <v>0</v>
      </c>
      <c r="AI97" s="475">
        <f t="shared" si="222"/>
        <v>8816</v>
      </c>
      <c r="AJ97" s="476">
        <v>0</v>
      </c>
      <c r="AK97" s="476">
        <v>0</v>
      </c>
      <c r="AL97" s="476">
        <v>0</v>
      </c>
      <c r="AM97" s="476">
        <v>0</v>
      </c>
      <c r="AN97" s="476">
        <v>0.02</v>
      </c>
      <c r="AO97" s="476">
        <v>0</v>
      </c>
      <c r="AP97" s="476">
        <v>0</v>
      </c>
      <c r="AQ97" s="476">
        <v>0</v>
      </c>
      <c r="AR97" s="476">
        <f t="shared" si="223"/>
        <v>0</v>
      </c>
      <c r="AS97" s="476">
        <f t="shared" si="224"/>
        <v>0.02</v>
      </c>
      <c r="AT97" s="478">
        <f t="shared" si="225"/>
        <v>0.02</v>
      </c>
      <c r="AU97" s="484">
        <f t="shared" si="226"/>
        <v>259583</v>
      </c>
      <c r="AV97" s="475">
        <f t="shared" si="227"/>
        <v>189948</v>
      </c>
      <c r="AW97" s="475">
        <f t="shared" si="228"/>
        <v>0</v>
      </c>
      <c r="AX97" s="475">
        <f t="shared" si="229"/>
        <v>64202</v>
      </c>
      <c r="AY97" s="475">
        <f t="shared" si="229"/>
        <v>3799</v>
      </c>
      <c r="AZ97" s="475">
        <f t="shared" si="230"/>
        <v>1634</v>
      </c>
      <c r="BA97" s="476">
        <f t="shared" si="231"/>
        <v>0.6</v>
      </c>
      <c r="BB97" s="476">
        <f t="shared" si="232"/>
        <v>0</v>
      </c>
      <c r="BC97" s="478">
        <f t="shared" si="232"/>
        <v>0.6</v>
      </c>
    </row>
    <row r="98" spans="1:55" ht="12.95" customHeight="1" x14ac:dyDescent="0.25">
      <c r="A98" s="308">
        <v>17</v>
      </c>
      <c r="B98" s="309">
        <v>4488</v>
      </c>
      <c r="C98" s="309">
        <v>600074803</v>
      </c>
      <c r="D98" s="309">
        <v>72742089</v>
      </c>
      <c r="E98" s="311" t="s">
        <v>361</v>
      </c>
      <c r="F98" s="309">
        <v>3143</v>
      </c>
      <c r="G98" s="312" t="s">
        <v>626</v>
      </c>
      <c r="H98" s="312" t="s">
        <v>277</v>
      </c>
      <c r="I98" s="477">
        <v>588840</v>
      </c>
      <c r="J98" s="472">
        <v>433608</v>
      </c>
      <c r="K98" s="472">
        <v>0</v>
      </c>
      <c r="L98" s="472">
        <v>146560</v>
      </c>
      <c r="M98" s="472">
        <v>8672</v>
      </c>
      <c r="N98" s="472">
        <v>0</v>
      </c>
      <c r="O98" s="473">
        <v>0.86209999999999998</v>
      </c>
      <c r="P98" s="474">
        <v>0.86209999999999998</v>
      </c>
      <c r="Q98" s="483">
        <v>0</v>
      </c>
      <c r="R98" s="485">
        <f t="shared" si="215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216"/>
        <v>0</v>
      </c>
      <c r="Y98" s="475">
        <v>0</v>
      </c>
      <c r="Z98" s="475">
        <v>0</v>
      </c>
      <c r="AA98" s="475">
        <v>0</v>
      </c>
      <c r="AB98" s="475">
        <f t="shared" si="217"/>
        <v>0</v>
      </c>
      <c r="AC98" s="475">
        <f t="shared" si="218"/>
        <v>0</v>
      </c>
      <c r="AD98" s="70">
        <f t="shared" si="219"/>
        <v>0</v>
      </c>
      <c r="AE98" s="70">
        <f t="shared" si="220"/>
        <v>0</v>
      </c>
      <c r="AF98" s="475">
        <v>0</v>
      </c>
      <c r="AG98" s="475">
        <v>0</v>
      </c>
      <c r="AH98" s="475">
        <f t="shared" si="221"/>
        <v>0</v>
      </c>
      <c r="AI98" s="475">
        <f t="shared" si="222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 t="shared" si="223"/>
        <v>0</v>
      </c>
      <c r="AS98" s="476">
        <f t="shared" si="224"/>
        <v>0</v>
      </c>
      <c r="AT98" s="478">
        <f t="shared" si="225"/>
        <v>0</v>
      </c>
      <c r="AU98" s="484">
        <f t="shared" si="226"/>
        <v>588840</v>
      </c>
      <c r="AV98" s="475">
        <f t="shared" si="227"/>
        <v>433608</v>
      </c>
      <c r="AW98" s="475">
        <f t="shared" si="228"/>
        <v>0</v>
      </c>
      <c r="AX98" s="475">
        <f t="shared" si="229"/>
        <v>146560</v>
      </c>
      <c r="AY98" s="475">
        <f t="shared" si="229"/>
        <v>8672</v>
      </c>
      <c r="AZ98" s="475">
        <f t="shared" si="230"/>
        <v>0</v>
      </c>
      <c r="BA98" s="476">
        <f t="shared" si="231"/>
        <v>0.86209999999999998</v>
      </c>
      <c r="BB98" s="476">
        <f t="shared" si="232"/>
        <v>0.86209999999999998</v>
      </c>
      <c r="BC98" s="478">
        <f t="shared" si="232"/>
        <v>0</v>
      </c>
    </row>
    <row r="99" spans="1:55" ht="12.95" customHeight="1" x14ac:dyDescent="0.25">
      <c r="A99" s="308">
        <v>17</v>
      </c>
      <c r="B99" s="309">
        <v>4488</v>
      </c>
      <c r="C99" s="309">
        <v>600074803</v>
      </c>
      <c r="D99" s="309">
        <v>72742089</v>
      </c>
      <c r="E99" s="311" t="s">
        <v>361</v>
      </c>
      <c r="F99" s="309">
        <v>3143</v>
      </c>
      <c r="G99" s="312" t="s">
        <v>627</v>
      </c>
      <c r="H99" s="312" t="s">
        <v>278</v>
      </c>
      <c r="I99" s="477">
        <v>18145</v>
      </c>
      <c r="J99" s="472">
        <v>12831</v>
      </c>
      <c r="K99" s="472">
        <v>0</v>
      </c>
      <c r="L99" s="472">
        <v>4337</v>
      </c>
      <c r="M99" s="472">
        <v>257</v>
      </c>
      <c r="N99" s="472">
        <v>720</v>
      </c>
      <c r="O99" s="473">
        <v>0.05</v>
      </c>
      <c r="P99" s="474">
        <v>0</v>
      </c>
      <c r="Q99" s="483">
        <v>0.05</v>
      </c>
      <c r="R99" s="485">
        <f t="shared" si="215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216"/>
        <v>0</v>
      </c>
      <c r="Y99" s="475">
        <v>0</v>
      </c>
      <c r="Z99" s="475">
        <v>0</v>
      </c>
      <c r="AA99" s="475">
        <v>0</v>
      </c>
      <c r="AB99" s="475">
        <f t="shared" si="217"/>
        <v>0</v>
      </c>
      <c r="AC99" s="475">
        <f t="shared" si="218"/>
        <v>0</v>
      </c>
      <c r="AD99" s="70">
        <f t="shared" si="219"/>
        <v>0</v>
      </c>
      <c r="AE99" s="70">
        <f t="shared" si="220"/>
        <v>0</v>
      </c>
      <c r="AF99" s="475">
        <v>0</v>
      </c>
      <c r="AG99" s="475">
        <v>0</v>
      </c>
      <c r="AH99" s="475">
        <f t="shared" si="221"/>
        <v>0</v>
      </c>
      <c r="AI99" s="475">
        <f t="shared" si="222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 t="shared" si="223"/>
        <v>0</v>
      </c>
      <c r="AS99" s="476">
        <f t="shared" si="224"/>
        <v>0</v>
      </c>
      <c r="AT99" s="478">
        <f t="shared" si="225"/>
        <v>0</v>
      </c>
      <c r="AU99" s="484">
        <f t="shared" si="226"/>
        <v>18145</v>
      </c>
      <c r="AV99" s="475">
        <f t="shared" si="227"/>
        <v>12831</v>
      </c>
      <c r="AW99" s="475">
        <f t="shared" si="228"/>
        <v>0</v>
      </c>
      <c r="AX99" s="475">
        <f t="shared" si="229"/>
        <v>4337</v>
      </c>
      <c r="AY99" s="475">
        <f t="shared" si="229"/>
        <v>257</v>
      </c>
      <c r="AZ99" s="475">
        <f t="shared" si="230"/>
        <v>720</v>
      </c>
      <c r="BA99" s="476">
        <f t="shared" si="231"/>
        <v>0.05</v>
      </c>
      <c r="BB99" s="476">
        <f t="shared" si="232"/>
        <v>0</v>
      </c>
      <c r="BC99" s="478">
        <f t="shared" si="232"/>
        <v>0.05</v>
      </c>
    </row>
    <row r="100" spans="1:55" ht="12.95" customHeight="1" x14ac:dyDescent="0.25">
      <c r="A100" s="301">
        <v>17</v>
      </c>
      <c r="B100" s="303">
        <v>4488</v>
      </c>
      <c r="C100" s="303">
        <v>600074803</v>
      </c>
      <c r="D100" s="303">
        <v>72742089</v>
      </c>
      <c r="E100" s="316" t="s">
        <v>362</v>
      </c>
      <c r="F100" s="319"/>
      <c r="G100" s="320"/>
      <c r="H100" s="320"/>
      <c r="I100" s="561">
        <v>6242248</v>
      </c>
      <c r="J100" s="558">
        <v>4514568</v>
      </c>
      <c r="K100" s="558">
        <v>20000</v>
      </c>
      <c r="L100" s="558">
        <v>1532685</v>
      </c>
      <c r="M100" s="558">
        <v>90291</v>
      </c>
      <c r="N100" s="558">
        <v>84704</v>
      </c>
      <c r="O100" s="559">
        <v>9.8634000000000004</v>
      </c>
      <c r="P100" s="559">
        <v>7.3848000000000003</v>
      </c>
      <c r="Q100" s="563">
        <v>2.4786000000000001</v>
      </c>
      <c r="R100" s="561">
        <f t="shared" ref="R100:BC100" si="233">SUM(R94:R99)</f>
        <v>0</v>
      </c>
      <c r="S100" s="558">
        <f t="shared" si="233"/>
        <v>0</v>
      </c>
      <c r="T100" s="558">
        <f t="shared" si="233"/>
        <v>6492</v>
      </c>
      <c r="U100" s="558">
        <f t="shared" si="233"/>
        <v>0</v>
      </c>
      <c r="V100" s="558">
        <f t="shared" si="233"/>
        <v>0</v>
      </c>
      <c r="W100" s="558">
        <f t="shared" si="233"/>
        <v>0</v>
      </c>
      <c r="X100" s="558">
        <f t="shared" si="233"/>
        <v>6492</v>
      </c>
      <c r="Y100" s="558">
        <f t="shared" si="233"/>
        <v>0</v>
      </c>
      <c r="Z100" s="558">
        <f t="shared" si="233"/>
        <v>0</v>
      </c>
      <c r="AA100" s="558">
        <f t="shared" si="233"/>
        <v>0</v>
      </c>
      <c r="AB100" s="558">
        <f t="shared" si="233"/>
        <v>0</v>
      </c>
      <c r="AC100" s="558">
        <f t="shared" si="233"/>
        <v>6492</v>
      </c>
      <c r="AD100" s="558">
        <f t="shared" si="233"/>
        <v>2194</v>
      </c>
      <c r="AE100" s="558">
        <f t="shared" si="233"/>
        <v>130</v>
      </c>
      <c r="AF100" s="558">
        <f t="shared" si="233"/>
        <v>0</v>
      </c>
      <c r="AG100" s="558">
        <f t="shared" si="233"/>
        <v>0</v>
      </c>
      <c r="AH100" s="558">
        <f t="shared" si="233"/>
        <v>0</v>
      </c>
      <c r="AI100" s="558">
        <f t="shared" si="233"/>
        <v>8816</v>
      </c>
      <c r="AJ100" s="559">
        <f t="shared" si="233"/>
        <v>0</v>
      </c>
      <c r="AK100" s="559">
        <f t="shared" si="233"/>
        <v>0</v>
      </c>
      <c r="AL100" s="559">
        <f t="shared" si="233"/>
        <v>0</v>
      </c>
      <c r="AM100" s="559">
        <f t="shared" si="233"/>
        <v>0</v>
      </c>
      <c r="AN100" s="559">
        <f t="shared" si="233"/>
        <v>0.02</v>
      </c>
      <c r="AO100" s="559">
        <f t="shared" si="233"/>
        <v>0</v>
      </c>
      <c r="AP100" s="559">
        <f t="shared" si="233"/>
        <v>0</v>
      </c>
      <c r="AQ100" s="559">
        <f t="shared" si="233"/>
        <v>0</v>
      </c>
      <c r="AR100" s="559">
        <f t="shared" si="233"/>
        <v>0</v>
      </c>
      <c r="AS100" s="559">
        <f t="shared" si="233"/>
        <v>0.02</v>
      </c>
      <c r="AT100" s="318">
        <f t="shared" si="233"/>
        <v>0.02</v>
      </c>
      <c r="AU100" s="565">
        <f t="shared" si="233"/>
        <v>6251064</v>
      </c>
      <c r="AV100" s="558">
        <f t="shared" si="233"/>
        <v>4521060</v>
      </c>
      <c r="AW100" s="558">
        <f t="shared" si="233"/>
        <v>20000</v>
      </c>
      <c r="AX100" s="558">
        <f t="shared" si="233"/>
        <v>1534879</v>
      </c>
      <c r="AY100" s="558">
        <f t="shared" si="233"/>
        <v>90421</v>
      </c>
      <c r="AZ100" s="558">
        <f t="shared" si="233"/>
        <v>84704</v>
      </c>
      <c r="BA100" s="559">
        <f t="shared" si="233"/>
        <v>9.8834</v>
      </c>
      <c r="BB100" s="559">
        <f t="shared" si="233"/>
        <v>7.3848000000000003</v>
      </c>
      <c r="BC100" s="318">
        <f t="shared" si="233"/>
        <v>2.4986000000000002</v>
      </c>
    </row>
    <row r="101" spans="1:55" ht="12.95" customHeight="1" x14ac:dyDescent="0.25">
      <c r="A101" s="308">
        <v>18</v>
      </c>
      <c r="B101" s="309">
        <v>4434</v>
      </c>
      <c r="C101" s="309">
        <v>650025768</v>
      </c>
      <c r="D101" s="309">
        <v>72744481</v>
      </c>
      <c r="E101" s="311" t="s">
        <v>363</v>
      </c>
      <c r="F101" s="309">
        <v>3111</v>
      </c>
      <c r="G101" s="312" t="s">
        <v>325</v>
      </c>
      <c r="H101" s="312" t="s">
        <v>277</v>
      </c>
      <c r="I101" s="477">
        <v>3285274</v>
      </c>
      <c r="J101" s="472">
        <v>2386868</v>
      </c>
      <c r="K101" s="472">
        <v>16000</v>
      </c>
      <c r="L101" s="472">
        <v>812169</v>
      </c>
      <c r="M101" s="472">
        <v>47737</v>
      </c>
      <c r="N101" s="472">
        <v>22500</v>
      </c>
      <c r="O101" s="473">
        <v>5.0217999999999998</v>
      </c>
      <c r="P101" s="474">
        <v>4</v>
      </c>
      <c r="Q101" s="483">
        <v>1.0218</v>
      </c>
      <c r="R101" s="485">
        <f t="shared" ref="R101:R106" si="234">Y101*-1</f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ref="X101:X106" si="235">SUM(R101:W101)</f>
        <v>0</v>
      </c>
      <c r="Y101" s="475">
        <v>0</v>
      </c>
      <c r="Z101" s="475">
        <v>0</v>
      </c>
      <c r="AA101" s="475">
        <v>0</v>
      </c>
      <c r="AB101" s="475">
        <f t="shared" ref="AB101:AB106" si="236">SUM(Y101:AA101)</f>
        <v>0</v>
      </c>
      <c r="AC101" s="475">
        <f t="shared" ref="AC101:AC106" si="237">X101+AB101</f>
        <v>0</v>
      </c>
      <c r="AD101" s="70">
        <f t="shared" ref="AD101:AD106" si="238">ROUND((X101+Y101+Z101)*33.8%,0)</f>
        <v>0</v>
      </c>
      <c r="AE101" s="70">
        <f t="shared" ref="AE101:AE106" si="239">ROUND(X101*2%,0)</f>
        <v>0</v>
      </c>
      <c r="AF101" s="475">
        <v>0</v>
      </c>
      <c r="AG101" s="475">
        <v>0</v>
      </c>
      <c r="AH101" s="475">
        <f t="shared" ref="AH101:AH106" si="240">SUM(AF101:AG101)</f>
        <v>0</v>
      </c>
      <c r="AI101" s="475">
        <f t="shared" ref="AI101:AI106" si="241">AC101+AD101+AE101+AH101</f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 t="shared" ref="AR101:AR106" si="242">AJ101+AL101+AM101+AO101+AP101</f>
        <v>0</v>
      </c>
      <c r="AS101" s="476">
        <f t="shared" ref="AS101:AS106" si="243">AK101+AN101+AQ101</f>
        <v>0</v>
      </c>
      <c r="AT101" s="478">
        <f t="shared" ref="AT101:AT106" si="244">SUM(AR101:AS101)</f>
        <v>0</v>
      </c>
      <c r="AU101" s="484">
        <f t="shared" ref="AU101:AU106" si="245">I101+AI101</f>
        <v>3285274</v>
      </c>
      <c r="AV101" s="475">
        <f t="shared" ref="AV101:AV106" si="246">J101+X101</f>
        <v>2386868</v>
      </c>
      <c r="AW101" s="475">
        <f t="shared" ref="AW101:AW106" si="247">K101+AB101</f>
        <v>16000</v>
      </c>
      <c r="AX101" s="475">
        <f t="shared" ref="AX101:AY106" si="248">L101+AD101</f>
        <v>812169</v>
      </c>
      <c r="AY101" s="475">
        <f t="shared" si="248"/>
        <v>47737</v>
      </c>
      <c r="AZ101" s="475">
        <f t="shared" ref="AZ101:AZ106" si="249">N101+AH101</f>
        <v>22500</v>
      </c>
      <c r="BA101" s="476">
        <f t="shared" ref="BA101:BA106" si="250">O101+AT101</f>
        <v>5.0217999999999998</v>
      </c>
      <c r="BB101" s="476">
        <f t="shared" ref="BB101:BC106" si="251">P101+AR101</f>
        <v>4</v>
      </c>
      <c r="BC101" s="478">
        <f t="shared" si="251"/>
        <v>1.0218</v>
      </c>
    </row>
    <row r="102" spans="1:55" ht="12.95" customHeight="1" x14ac:dyDescent="0.25">
      <c r="A102" s="308">
        <v>18</v>
      </c>
      <c r="B102" s="309">
        <v>4434</v>
      </c>
      <c r="C102" s="309">
        <v>650025768</v>
      </c>
      <c r="D102" s="309">
        <v>72744481</v>
      </c>
      <c r="E102" s="311" t="s">
        <v>363</v>
      </c>
      <c r="F102" s="309">
        <v>3113</v>
      </c>
      <c r="G102" s="312" t="s">
        <v>329</v>
      </c>
      <c r="H102" s="312" t="s">
        <v>277</v>
      </c>
      <c r="I102" s="477">
        <v>12985297</v>
      </c>
      <c r="J102" s="472">
        <v>9276108</v>
      </c>
      <c r="K102" s="472">
        <v>104090</v>
      </c>
      <c r="L102" s="472">
        <v>3170507</v>
      </c>
      <c r="M102" s="472">
        <v>185522</v>
      </c>
      <c r="N102" s="472">
        <v>249070</v>
      </c>
      <c r="O102" s="473">
        <v>17.760199999999998</v>
      </c>
      <c r="P102" s="474">
        <v>12.98</v>
      </c>
      <c r="Q102" s="483">
        <v>4.7801999999999998</v>
      </c>
      <c r="R102" s="485">
        <f t="shared" si="234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35"/>
        <v>0</v>
      </c>
      <c r="Y102" s="475">
        <v>0</v>
      </c>
      <c r="Z102" s="475">
        <v>0</v>
      </c>
      <c r="AA102" s="475">
        <v>0</v>
      </c>
      <c r="AB102" s="475">
        <f t="shared" si="236"/>
        <v>0</v>
      </c>
      <c r="AC102" s="475">
        <f t="shared" si="237"/>
        <v>0</v>
      </c>
      <c r="AD102" s="70">
        <f t="shared" si="238"/>
        <v>0</v>
      </c>
      <c r="AE102" s="70">
        <f t="shared" si="239"/>
        <v>0</v>
      </c>
      <c r="AF102" s="475">
        <v>0</v>
      </c>
      <c r="AG102" s="475">
        <v>0</v>
      </c>
      <c r="AH102" s="475">
        <f t="shared" si="240"/>
        <v>0</v>
      </c>
      <c r="AI102" s="475">
        <f t="shared" si="241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 t="shared" si="242"/>
        <v>0</v>
      </c>
      <c r="AS102" s="476">
        <f t="shared" si="243"/>
        <v>0</v>
      </c>
      <c r="AT102" s="478">
        <f t="shared" si="244"/>
        <v>0</v>
      </c>
      <c r="AU102" s="484">
        <f t="shared" si="245"/>
        <v>12985297</v>
      </c>
      <c r="AV102" s="475">
        <f t="shared" si="246"/>
        <v>9276108</v>
      </c>
      <c r="AW102" s="475">
        <f t="shared" si="247"/>
        <v>104090</v>
      </c>
      <c r="AX102" s="475">
        <f t="shared" si="248"/>
        <v>3170507</v>
      </c>
      <c r="AY102" s="475">
        <f t="shared" si="248"/>
        <v>185522</v>
      </c>
      <c r="AZ102" s="475">
        <f t="shared" si="249"/>
        <v>249070</v>
      </c>
      <c r="BA102" s="476">
        <f t="shared" si="250"/>
        <v>17.760199999999998</v>
      </c>
      <c r="BB102" s="476">
        <f t="shared" si="251"/>
        <v>12.98</v>
      </c>
      <c r="BC102" s="478">
        <f t="shared" si="251"/>
        <v>4.7801999999999998</v>
      </c>
    </row>
    <row r="103" spans="1:55" ht="12.95" customHeight="1" x14ac:dyDescent="0.25">
      <c r="A103" s="308">
        <v>18</v>
      </c>
      <c r="B103" s="309">
        <v>4434</v>
      </c>
      <c r="C103" s="309">
        <v>650025768</v>
      </c>
      <c r="D103" s="309">
        <v>72744481</v>
      </c>
      <c r="E103" s="311" t="s">
        <v>363</v>
      </c>
      <c r="F103" s="309">
        <v>3113</v>
      </c>
      <c r="G103" s="312" t="s">
        <v>319</v>
      </c>
      <c r="H103" s="312" t="s">
        <v>278</v>
      </c>
      <c r="I103" s="477">
        <v>2394167</v>
      </c>
      <c r="J103" s="472">
        <v>1763010</v>
      </c>
      <c r="K103" s="472">
        <v>0</v>
      </c>
      <c r="L103" s="472">
        <v>595897</v>
      </c>
      <c r="M103" s="472">
        <v>35260</v>
      </c>
      <c r="N103" s="472">
        <v>0</v>
      </c>
      <c r="O103" s="473">
        <v>5.22</v>
      </c>
      <c r="P103" s="474">
        <v>5.22</v>
      </c>
      <c r="Q103" s="483">
        <v>0</v>
      </c>
      <c r="R103" s="485">
        <f t="shared" si="234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35"/>
        <v>0</v>
      </c>
      <c r="Y103" s="475">
        <v>0</v>
      </c>
      <c r="Z103" s="475">
        <v>0</v>
      </c>
      <c r="AA103" s="475">
        <v>0</v>
      </c>
      <c r="AB103" s="475">
        <f t="shared" si="236"/>
        <v>0</v>
      </c>
      <c r="AC103" s="475">
        <f t="shared" si="237"/>
        <v>0</v>
      </c>
      <c r="AD103" s="70">
        <f t="shared" si="238"/>
        <v>0</v>
      </c>
      <c r="AE103" s="70">
        <f t="shared" si="239"/>
        <v>0</v>
      </c>
      <c r="AF103" s="475">
        <v>0</v>
      </c>
      <c r="AG103" s="475">
        <v>0</v>
      </c>
      <c r="AH103" s="475">
        <f t="shared" si="240"/>
        <v>0</v>
      </c>
      <c r="AI103" s="475">
        <f t="shared" si="241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 t="shared" si="242"/>
        <v>0</v>
      </c>
      <c r="AS103" s="476">
        <f t="shared" si="243"/>
        <v>0</v>
      </c>
      <c r="AT103" s="478">
        <f t="shared" si="244"/>
        <v>0</v>
      </c>
      <c r="AU103" s="484">
        <f t="shared" si="245"/>
        <v>2394167</v>
      </c>
      <c r="AV103" s="475">
        <f t="shared" si="246"/>
        <v>1763010</v>
      </c>
      <c r="AW103" s="475">
        <f t="shared" si="247"/>
        <v>0</v>
      </c>
      <c r="AX103" s="475">
        <f t="shared" si="248"/>
        <v>595897</v>
      </c>
      <c r="AY103" s="475">
        <f t="shared" si="248"/>
        <v>35260</v>
      </c>
      <c r="AZ103" s="475">
        <f t="shared" si="249"/>
        <v>0</v>
      </c>
      <c r="BA103" s="476">
        <f t="shared" si="250"/>
        <v>5.22</v>
      </c>
      <c r="BB103" s="476">
        <f t="shared" si="251"/>
        <v>5.22</v>
      </c>
      <c r="BC103" s="478">
        <f t="shared" si="251"/>
        <v>0</v>
      </c>
    </row>
    <row r="104" spans="1:55" ht="12.95" customHeight="1" x14ac:dyDescent="0.25">
      <c r="A104" s="308">
        <v>18</v>
      </c>
      <c r="B104" s="309">
        <v>4434</v>
      </c>
      <c r="C104" s="309">
        <v>650025768</v>
      </c>
      <c r="D104" s="309">
        <v>72744481</v>
      </c>
      <c r="E104" s="311" t="s">
        <v>363</v>
      </c>
      <c r="F104" s="309">
        <v>3141</v>
      </c>
      <c r="G104" s="312" t="s">
        <v>315</v>
      </c>
      <c r="H104" s="312" t="s">
        <v>278</v>
      </c>
      <c r="I104" s="477">
        <v>1784300</v>
      </c>
      <c r="J104" s="472">
        <v>1277085</v>
      </c>
      <c r="K104" s="472">
        <v>29450</v>
      </c>
      <c r="L104" s="472">
        <v>441609</v>
      </c>
      <c r="M104" s="472">
        <v>25542</v>
      </c>
      <c r="N104" s="472">
        <v>10614</v>
      </c>
      <c r="O104" s="473">
        <v>4.12</v>
      </c>
      <c r="P104" s="474">
        <v>0</v>
      </c>
      <c r="Q104" s="483">
        <v>4.12</v>
      </c>
      <c r="R104" s="485">
        <f t="shared" si="234"/>
        <v>0</v>
      </c>
      <c r="S104" s="475">
        <v>0</v>
      </c>
      <c r="T104" s="475">
        <v>-9360</v>
      </c>
      <c r="U104" s="475">
        <v>0</v>
      </c>
      <c r="V104" s="475">
        <v>0</v>
      </c>
      <c r="W104" s="475">
        <v>0</v>
      </c>
      <c r="X104" s="475">
        <f t="shared" si="235"/>
        <v>-9360</v>
      </c>
      <c r="Y104" s="475">
        <v>0</v>
      </c>
      <c r="Z104" s="475">
        <v>0</v>
      </c>
      <c r="AA104" s="475">
        <v>0</v>
      </c>
      <c r="AB104" s="475">
        <f t="shared" si="236"/>
        <v>0</v>
      </c>
      <c r="AC104" s="475">
        <f t="shared" si="237"/>
        <v>-9360</v>
      </c>
      <c r="AD104" s="70">
        <f t="shared" si="238"/>
        <v>-3164</v>
      </c>
      <c r="AE104" s="70">
        <f t="shared" si="239"/>
        <v>-187</v>
      </c>
      <c r="AF104" s="475">
        <v>0</v>
      </c>
      <c r="AG104" s="475">
        <v>0</v>
      </c>
      <c r="AH104" s="475">
        <f t="shared" si="240"/>
        <v>0</v>
      </c>
      <c r="AI104" s="475">
        <f t="shared" si="241"/>
        <v>-12711</v>
      </c>
      <c r="AJ104" s="476">
        <v>0</v>
      </c>
      <c r="AK104" s="476">
        <v>0</v>
      </c>
      <c r="AL104" s="476">
        <v>0</v>
      </c>
      <c r="AM104" s="476">
        <v>0</v>
      </c>
      <c r="AN104" s="476">
        <v>-0.03</v>
      </c>
      <c r="AO104" s="476">
        <v>0</v>
      </c>
      <c r="AP104" s="476">
        <v>0</v>
      </c>
      <c r="AQ104" s="476">
        <v>0</v>
      </c>
      <c r="AR104" s="476">
        <f t="shared" si="242"/>
        <v>0</v>
      </c>
      <c r="AS104" s="476">
        <f t="shared" si="243"/>
        <v>-0.03</v>
      </c>
      <c r="AT104" s="478">
        <f t="shared" si="244"/>
        <v>-0.03</v>
      </c>
      <c r="AU104" s="484">
        <f t="shared" si="245"/>
        <v>1771589</v>
      </c>
      <c r="AV104" s="475">
        <f t="shared" si="246"/>
        <v>1267725</v>
      </c>
      <c r="AW104" s="475">
        <f t="shared" si="247"/>
        <v>29450</v>
      </c>
      <c r="AX104" s="475">
        <f t="shared" si="248"/>
        <v>438445</v>
      </c>
      <c r="AY104" s="475">
        <f t="shared" si="248"/>
        <v>25355</v>
      </c>
      <c r="AZ104" s="475">
        <f t="shared" si="249"/>
        <v>10614</v>
      </c>
      <c r="BA104" s="476">
        <f t="shared" si="250"/>
        <v>4.09</v>
      </c>
      <c r="BB104" s="476">
        <f t="shared" si="251"/>
        <v>0</v>
      </c>
      <c r="BC104" s="478">
        <f t="shared" si="251"/>
        <v>4.09</v>
      </c>
    </row>
    <row r="105" spans="1:55" ht="12.95" customHeight="1" x14ac:dyDescent="0.25">
      <c r="A105" s="308">
        <v>18</v>
      </c>
      <c r="B105" s="309">
        <v>4434</v>
      </c>
      <c r="C105" s="309">
        <v>650025768</v>
      </c>
      <c r="D105" s="309">
        <v>72744481</v>
      </c>
      <c r="E105" s="311" t="s">
        <v>363</v>
      </c>
      <c r="F105" s="309">
        <v>3143</v>
      </c>
      <c r="G105" s="312" t="s">
        <v>626</v>
      </c>
      <c r="H105" s="312" t="s">
        <v>277</v>
      </c>
      <c r="I105" s="477">
        <v>1358307</v>
      </c>
      <c r="J105" s="472">
        <v>982097</v>
      </c>
      <c r="K105" s="472">
        <v>18400</v>
      </c>
      <c r="L105" s="472">
        <v>338168</v>
      </c>
      <c r="M105" s="472">
        <v>19642</v>
      </c>
      <c r="N105" s="472">
        <v>0</v>
      </c>
      <c r="O105" s="473">
        <v>1.97</v>
      </c>
      <c r="P105" s="474">
        <v>2</v>
      </c>
      <c r="Q105" s="483">
        <v>-0.03</v>
      </c>
      <c r="R105" s="485">
        <f t="shared" si="234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35"/>
        <v>0</v>
      </c>
      <c r="Y105" s="475">
        <v>0</v>
      </c>
      <c r="Z105" s="475">
        <v>0</v>
      </c>
      <c r="AA105" s="475">
        <v>0</v>
      </c>
      <c r="AB105" s="475">
        <f t="shared" si="236"/>
        <v>0</v>
      </c>
      <c r="AC105" s="475">
        <f t="shared" si="237"/>
        <v>0</v>
      </c>
      <c r="AD105" s="70">
        <f t="shared" si="238"/>
        <v>0</v>
      </c>
      <c r="AE105" s="70">
        <f t="shared" si="239"/>
        <v>0</v>
      </c>
      <c r="AF105" s="475">
        <v>0</v>
      </c>
      <c r="AG105" s="475">
        <v>0</v>
      </c>
      <c r="AH105" s="475">
        <f t="shared" si="240"/>
        <v>0</v>
      </c>
      <c r="AI105" s="475">
        <f t="shared" si="241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476">
        <f t="shared" si="242"/>
        <v>0</v>
      </c>
      <c r="AS105" s="476">
        <f t="shared" si="243"/>
        <v>0</v>
      </c>
      <c r="AT105" s="478">
        <f t="shared" si="244"/>
        <v>0</v>
      </c>
      <c r="AU105" s="484">
        <f t="shared" si="245"/>
        <v>1358307</v>
      </c>
      <c r="AV105" s="475">
        <f t="shared" si="246"/>
        <v>982097</v>
      </c>
      <c r="AW105" s="475">
        <f t="shared" si="247"/>
        <v>18400</v>
      </c>
      <c r="AX105" s="475">
        <f t="shared" si="248"/>
        <v>338168</v>
      </c>
      <c r="AY105" s="475">
        <f t="shared" si="248"/>
        <v>19642</v>
      </c>
      <c r="AZ105" s="475">
        <f t="shared" si="249"/>
        <v>0</v>
      </c>
      <c r="BA105" s="476">
        <f t="shared" si="250"/>
        <v>1.97</v>
      </c>
      <c r="BB105" s="476">
        <f t="shared" si="251"/>
        <v>2</v>
      </c>
      <c r="BC105" s="478">
        <f t="shared" si="251"/>
        <v>-0.03</v>
      </c>
    </row>
    <row r="106" spans="1:55" ht="12.95" customHeight="1" x14ac:dyDescent="0.25">
      <c r="A106" s="308">
        <v>18</v>
      </c>
      <c r="B106" s="309">
        <v>4434</v>
      </c>
      <c r="C106" s="309">
        <v>650025768</v>
      </c>
      <c r="D106" s="309">
        <v>72744481</v>
      </c>
      <c r="E106" s="311" t="s">
        <v>363</v>
      </c>
      <c r="F106" s="309">
        <v>3143</v>
      </c>
      <c r="G106" s="312" t="s">
        <v>627</v>
      </c>
      <c r="H106" s="312" t="s">
        <v>278</v>
      </c>
      <c r="I106" s="477">
        <v>32364</v>
      </c>
      <c r="J106" s="472">
        <v>15788</v>
      </c>
      <c r="K106" s="472">
        <v>7200</v>
      </c>
      <c r="L106" s="472">
        <v>7770</v>
      </c>
      <c r="M106" s="472">
        <v>316</v>
      </c>
      <c r="N106" s="472">
        <v>1290</v>
      </c>
      <c r="O106" s="473">
        <v>0.12</v>
      </c>
      <c r="P106" s="474">
        <v>0</v>
      </c>
      <c r="Q106" s="483">
        <v>0.12</v>
      </c>
      <c r="R106" s="485">
        <f t="shared" si="234"/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235"/>
        <v>0</v>
      </c>
      <c r="Y106" s="475">
        <v>0</v>
      </c>
      <c r="Z106" s="475">
        <v>0</v>
      </c>
      <c r="AA106" s="475">
        <v>0</v>
      </c>
      <c r="AB106" s="475">
        <f t="shared" si="236"/>
        <v>0</v>
      </c>
      <c r="AC106" s="475">
        <f t="shared" si="237"/>
        <v>0</v>
      </c>
      <c r="AD106" s="70">
        <f t="shared" si="238"/>
        <v>0</v>
      </c>
      <c r="AE106" s="70">
        <f t="shared" si="239"/>
        <v>0</v>
      </c>
      <c r="AF106" s="475">
        <v>0</v>
      </c>
      <c r="AG106" s="475">
        <v>0</v>
      </c>
      <c r="AH106" s="475">
        <f t="shared" si="240"/>
        <v>0</v>
      </c>
      <c r="AI106" s="475">
        <f t="shared" si="241"/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 t="shared" si="242"/>
        <v>0</v>
      </c>
      <c r="AS106" s="476">
        <f t="shared" si="243"/>
        <v>0</v>
      </c>
      <c r="AT106" s="478">
        <f t="shared" si="244"/>
        <v>0</v>
      </c>
      <c r="AU106" s="484">
        <f t="shared" si="245"/>
        <v>32364</v>
      </c>
      <c r="AV106" s="475">
        <f t="shared" si="246"/>
        <v>15788</v>
      </c>
      <c r="AW106" s="475">
        <f t="shared" si="247"/>
        <v>7200</v>
      </c>
      <c r="AX106" s="475">
        <f t="shared" si="248"/>
        <v>7770</v>
      </c>
      <c r="AY106" s="475">
        <f t="shared" si="248"/>
        <v>316</v>
      </c>
      <c r="AZ106" s="475">
        <f t="shared" si="249"/>
        <v>1290</v>
      </c>
      <c r="BA106" s="476">
        <f t="shared" si="250"/>
        <v>0.12</v>
      </c>
      <c r="BB106" s="476">
        <f t="shared" si="251"/>
        <v>0</v>
      </c>
      <c r="BC106" s="478">
        <f t="shared" si="251"/>
        <v>0.12</v>
      </c>
    </row>
    <row r="107" spans="1:55" ht="12.95" customHeight="1" x14ac:dyDescent="0.25">
      <c r="A107" s="301">
        <v>18</v>
      </c>
      <c r="B107" s="303">
        <v>4434</v>
      </c>
      <c r="C107" s="303">
        <v>650025768</v>
      </c>
      <c r="D107" s="303">
        <v>72744481</v>
      </c>
      <c r="E107" s="322" t="s">
        <v>364</v>
      </c>
      <c r="F107" s="323"/>
      <c r="G107" s="324"/>
      <c r="H107" s="324"/>
      <c r="I107" s="561">
        <v>21839709</v>
      </c>
      <c r="J107" s="558">
        <v>15700956</v>
      </c>
      <c r="K107" s="558">
        <v>175140</v>
      </c>
      <c r="L107" s="558">
        <v>5366120</v>
      </c>
      <c r="M107" s="558">
        <v>314019</v>
      </c>
      <c r="N107" s="558">
        <v>283474</v>
      </c>
      <c r="O107" s="559">
        <v>34.211999999999989</v>
      </c>
      <c r="P107" s="559">
        <v>24.2</v>
      </c>
      <c r="Q107" s="563">
        <v>10.012</v>
      </c>
      <c r="R107" s="561">
        <f t="shared" ref="R107:BC107" si="252">SUM(R101:R106)</f>
        <v>0</v>
      </c>
      <c r="S107" s="558">
        <f t="shared" si="252"/>
        <v>0</v>
      </c>
      <c r="T107" s="558">
        <f t="shared" si="252"/>
        <v>-9360</v>
      </c>
      <c r="U107" s="558">
        <f t="shared" si="252"/>
        <v>0</v>
      </c>
      <c r="V107" s="558">
        <f t="shared" si="252"/>
        <v>0</v>
      </c>
      <c r="W107" s="558">
        <f t="shared" si="252"/>
        <v>0</v>
      </c>
      <c r="X107" s="558">
        <f t="shared" si="252"/>
        <v>-9360</v>
      </c>
      <c r="Y107" s="558">
        <f t="shared" si="252"/>
        <v>0</v>
      </c>
      <c r="Z107" s="558">
        <f t="shared" si="252"/>
        <v>0</v>
      </c>
      <c r="AA107" s="558">
        <f t="shared" si="252"/>
        <v>0</v>
      </c>
      <c r="AB107" s="558">
        <f t="shared" si="252"/>
        <v>0</v>
      </c>
      <c r="AC107" s="558">
        <f t="shared" si="252"/>
        <v>-9360</v>
      </c>
      <c r="AD107" s="558">
        <f t="shared" si="252"/>
        <v>-3164</v>
      </c>
      <c r="AE107" s="558">
        <f t="shared" si="252"/>
        <v>-187</v>
      </c>
      <c r="AF107" s="558">
        <f t="shared" si="252"/>
        <v>0</v>
      </c>
      <c r="AG107" s="558">
        <f t="shared" si="252"/>
        <v>0</v>
      </c>
      <c r="AH107" s="558">
        <f t="shared" si="252"/>
        <v>0</v>
      </c>
      <c r="AI107" s="558">
        <f t="shared" si="252"/>
        <v>-12711</v>
      </c>
      <c r="AJ107" s="559">
        <f t="shared" si="252"/>
        <v>0</v>
      </c>
      <c r="AK107" s="559">
        <f t="shared" si="252"/>
        <v>0</v>
      </c>
      <c r="AL107" s="559">
        <f t="shared" si="252"/>
        <v>0</v>
      </c>
      <c r="AM107" s="559">
        <f t="shared" si="252"/>
        <v>0</v>
      </c>
      <c r="AN107" s="559">
        <f t="shared" si="252"/>
        <v>-0.03</v>
      </c>
      <c r="AO107" s="559">
        <f t="shared" si="252"/>
        <v>0</v>
      </c>
      <c r="AP107" s="559">
        <f t="shared" si="252"/>
        <v>0</v>
      </c>
      <c r="AQ107" s="559">
        <f t="shared" si="252"/>
        <v>0</v>
      </c>
      <c r="AR107" s="559">
        <f t="shared" si="252"/>
        <v>0</v>
      </c>
      <c r="AS107" s="559">
        <f t="shared" si="252"/>
        <v>-0.03</v>
      </c>
      <c r="AT107" s="318">
        <f t="shared" si="252"/>
        <v>-0.03</v>
      </c>
      <c r="AU107" s="565">
        <f t="shared" si="252"/>
        <v>21826998</v>
      </c>
      <c r="AV107" s="558">
        <f t="shared" si="252"/>
        <v>15691596</v>
      </c>
      <c r="AW107" s="558">
        <f t="shared" si="252"/>
        <v>175140</v>
      </c>
      <c r="AX107" s="558">
        <f t="shared" si="252"/>
        <v>5362956</v>
      </c>
      <c r="AY107" s="558">
        <f t="shared" si="252"/>
        <v>313832</v>
      </c>
      <c r="AZ107" s="558">
        <f t="shared" si="252"/>
        <v>283474</v>
      </c>
      <c r="BA107" s="559">
        <f t="shared" si="252"/>
        <v>34.181999999999995</v>
      </c>
      <c r="BB107" s="559">
        <f t="shared" si="252"/>
        <v>24.2</v>
      </c>
      <c r="BC107" s="318">
        <f t="shared" si="252"/>
        <v>9.9819999999999993</v>
      </c>
    </row>
    <row r="108" spans="1:55" ht="12.95" customHeight="1" x14ac:dyDescent="0.25">
      <c r="A108" s="308">
        <v>19</v>
      </c>
      <c r="B108" s="309">
        <v>4441</v>
      </c>
      <c r="C108" s="309">
        <v>600074668</v>
      </c>
      <c r="D108" s="309">
        <v>46750495</v>
      </c>
      <c r="E108" s="325" t="s">
        <v>365</v>
      </c>
      <c r="F108" s="326">
        <v>3111</v>
      </c>
      <c r="G108" s="312" t="s">
        <v>325</v>
      </c>
      <c r="H108" s="312" t="s">
        <v>277</v>
      </c>
      <c r="I108" s="477">
        <v>3987933</v>
      </c>
      <c r="J108" s="472">
        <v>2917072</v>
      </c>
      <c r="K108" s="472">
        <v>0</v>
      </c>
      <c r="L108" s="472">
        <v>985970</v>
      </c>
      <c r="M108" s="472">
        <v>58341</v>
      </c>
      <c r="N108" s="472">
        <v>26550</v>
      </c>
      <c r="O108" s="473">
        <v>6.8666999999999998</v>
      </c>
      <c r="P108" s="474">
        <v>5.4839000000000002</v>
      </c>
      <c r="Q108" s="483">
        <v>1.3828</v>
      </c>
      <c r="R108" s="485">
        <f t="shared" ref="R108:R113" si="253">Y108*-1</f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ref="X108:X113" si="254">SUM(R108:W108)</f>
        <v>0</v>
      </c>
      <c r="Y108" s="475">
        <v>0</v>
      </c>
      <c r="Z108" s="475">
        <v>0</v>
      </c>
      <c r="AA108" s="475">
        <v>0</v>
      </c>
      <c r="AB108" s="475">
        <f t="shared" ref="AB108:AB113" si="255">SUM(Y108:AA108)</f>
        <v>0</v>
      </c>
      <c r="AC108" s="475">
        <f t="shared" ref="AC108:AC113" si="256">X108+AB108</f>
        <v>0</v>
      </c>
      <c r="AD108" s="70">
        <f t="shared" ref="AD108:AD113" si="257">ROUND((X108+Y108+Z108)*33.8%,0)</f>
        <v>0</v>
      </c>
      <c r="AE108" s="70">
        <f t="shared" ref="AE108:AE113" si="258">ROUND(X108*2%,0)</f>
        <v>0</v>
      </c>
      <c r="AF108" s="475">
        <v>0</v>
      </c>
      <c r="AG108" s="475">
        <v>0</v>
      </c>
      <c r="AH108" s="475">
        <f t="shared" ref="AH108:AH113" si="259">SUM(AF108:AG108)</f>
        <v>0</v>
      </c>
      <c r="AI108" s="475">
        <f t="shared" ref="AI108:AI113" si="260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 t="shared" ref="AR108:AR113" si="261">AJ108+AL108+AM108+AO108+AP108</f>
        <v>0</v>
      </c>
      <c r="AS108" s="476">
        <f t="shared" ref="AS108:AS113" si="262">AK108+AN108+AQ108</f>
        <v>0</v>
      </c>
      <c r="AT108" s="478">
        <f t="shared" ref="AT108:AT113" si="263">SUM(AR108:AS108)</f>
        <v>0</v>
      </c>
      <c r="AU108" s="484">
        <f t="shared" ref="AU108:AU113" si="264">I108+AI108</f>
        <v>3987933</v>
      </c>
      <c r="AV108" s="475">
        <f t="shared" ref="AV108:AV113" si="265">J108+X108</f>
        <v>2917072</v>
      </c>
      <c r="AW108" s="475">
        <f t="shared" ref="AW108:AW113" si="266">K108+AB108</f>
        <v>0</v>
      </c>
      <c r="AX108" s="475">
        <f t="shared" ref="AX108:AY113" si="267">L108+AD108</f>
        <v>985970</v>
      </c>
      <c r="AY108" s="475">
        <f t="shared" si="267"/>
        <v>58341</v>
      </c>
      <c r="AZ108" s="475">
        <f t="shared" ref="AZ108:AZ113" si="268">N108+AH108</f>
        <v>26550</v>
      </c>
      <c r="BA108" s="476">
        <f t="shared" ref="BA108:BA113" si="269">O108+AT108</f>
        <v>6.8666999999999998</v>
      </c>
      <c r="BB108" s="476">
        <f t="shared" ref="BB108:BC113" si="270">P108+AR108</f>
        <v>5.4839000000000002</v>
      </c>
      <c r="BC108" s="478">
        <f t="shared" si="270"/>
        <v>1.3828</v>
      </c>
    </row>
    <row r="109" spans="1:55" ht="12.95" customHeight="1" x14ac:dyDescent="0.25">
      <c r="A109" s="308">
        <v>19</v>
      </c>
      <c r="B109" s="309">
        <v>4441</v>
      </c>
      <c r="C109" s="309">
        <v>600074668</v>
      </c>
      <c r="D109" s="309">
        <v>46750495</v>
      </c>
      <c r="E109" s="325" t="s">
        <v>365</v>
      </c>
      <c r="F109" s="326">
        <v>3117</v>
      </c>
      <c r="G109" s="312" t="s">
        <v>329</v>
      </c>
      <c r="H109" s="312" t="s">
        <v>277</v>
      </c>
      <c r="I109" s="477">
        <v>4372159</v>
      </c>
      <c r="J109" s="472">
        <v>3101795</v>
      </c>
      <c r="K109" s="472">
        <v>49230</v>
      </c>
      <c r="L109" s="472">
        <v>1065047</v>
      </c>
      <c r="M109" s="472">
        <v>62037</v>
      </c>
      <c r="N109" s="472">
        <v>94050</v>
      </c>
      <c r="O109" s="473">
        <v>6.2082000000000006</v>
      </c>
      <c r="P109" s="474">
        <v>4.1872000000000007</v>
      </c>
      <c r="Q109" s="483">
        <v>2.0210000000000004</v>
      </c>
      <c r="R109" s="485">
        <f t="shared" si="253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54"/>
        <v>0</v>
      </c>
      <c r="Y109" s="475">
        <v>0</v>
      </c>
      <c r="Z109" s="475">
        <v>0</v>
      </c>
      <c r="AA109" s="475">
        <v>0</v>
      </c>
      <c r="AB109" s="475">
        <f t="shared" si="255"/>
        <v>0</v>
      </c>
      <c r="AC109" s="475">
        <f t="shared" si="256"/>
        <v>0</v>
      </c>
      <c r="AD109" s="70">
        <f t="shared" si="257"/>
        <v>0</v>
      </c>
      <c r="AE109" s="70">
        <f t="shared" si="258"/>
        <v>0</v>
      </c>
      <c r="AF109" s="475">
        <v>0</v>
      </c>
      <c r="AG109" s="475">
        <v>0</v>
      </c>
      <c r="AH109" s="475">
        <f t="shared" si="259"/>
        <v>0</v>
      </c>
      <c r="AI109" s="475">
        <f t="shared" si="260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 t="shared" si="261"/>
        <v>0</v>
      </c>
      <c r="AS109" s="476">
        <f t="shared" si="262"/>
        <v>0</v>
      </c>
      <c r="AT109" s="478">
        <f t="shared" si="263"/>
        <v>0</v>
      </c>
      <c r="AU109" s="484">
        <f t="shared" si="264"/>
        <v>4372159</v>
      </c>
      <c r="AV109" s="475">
        <f t="shared" si="265"/>
        <v>3101795</v>
      </c>
      <c r="AW109" s="475">
        <f t="shared" si="266"/>
        <v>49230</v>
      </c>
      <c r="AX109" s="475">
        <f t="shared" si="267"/>
        <v>1065047</v>
      </c>
      <c r="AY109" s="475">
        <f t="shared" si="267"/>
        <v>62037</v>
      </c>
      <c r="AZ109" s="475">
        <f t="shared" si="268"/>
        <v>94050</v>
      </c>
      <c r="BA109" s="476">
        <f t="shared" si="269"/>
        <v>6.2082000000000006</v>
      </c>
      <c r="BB109" s="476">
        <f t="shared" si="270"/>
        <v>4.1872000000000007</v>
      </c>
      <c r="BC109" s="478">
        <f t="shared" si="270"/>
        <v>2.0210000000000004</v>
      </c>
    </row>
    <row r="110" spans="1:55" ht="12.95" customHeight="1" x14ac:dyDescent="0.25">
      <c r="A110" s="308">
        <v>19</v>
      </c>
      <c r="B110" s="309">
        <v>4441</v>
      </c>
      <c r="C110" s="309">
        <v>600074668</v>
      </c>
      <c r="D110" s="309">
        <v>46750495</v>
      </c>
      <c r="E110" s="325" t="s">
        <v>365</v>
      </c>
      <c r="F110" s="326">
        <v>3117</v>
      </c>
      <c r="G110" s="312" t="s">
        <v>319</v>
      </c>
      <c r="H110" s="312" t="s">
        <v>278</v>
      </c>
      <c r="I110" s="477">
        <v>632150</v>
      </c>
      <c r="J110" s="472">
        <v>444190</v>
      </c>
      <c r="K110" s="472">
        <v>21630</v>
      </c>
      <c r="L110" s="472">
        <v>157447</v>
      </c>
      <c r="M110" s="472">
        <v>8883</v>
      </c>
      <c r="N110" s="472">
        <v>0</v>
      </c>
      <c r="O110" s="473">
        <v>1.26</v>
      </c>
      <c r="P110" s="474">
        <v>1.32</v>
      </c>
      <c r="Q110" s="483">
        <v>-0.06</v>
      </c>
      <c r="R110" s="485">
        <f t="shared" si="253"/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54"/>
        <v>0</v>
      </c>
      <c r="Y110" s="475">
        <v>0</v>
      </c>
      <c r="Z110" s="475">
        <v>0</v>
      </c>
      <c r="AA110" s="475">
        <v>0</v>
      </c>
      <c r="AB110" s="475">
        <f t="shared" si="255"/>
        <v>0</v>
      </c>
      <c r="AC110" s="475">
        <f t="shared" si="256"/>
        <v>0</v>
      </c>
      <c r="AD110" s="70">
        <f t="shared" si="257"/>
        <v>0</v>
      </c>
      <c r="AE110" s="70">
        <f t="shared" si="258"/>
        <v>0</v>
      </c>
      <c r="AF110" s="475">
        <v>0</v>
      </c>
      <c r="AG110" s="475">
        <v>0</v>
      </c>
      <c r="AH110" s="475">
        <f t="shared" si="259"/>
        <v>0</v>
      </c>
      <c r="AI110" s="475">
        <f t="shared" si="260"/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 t="shared" si="261"/>
        <v>0</v>
      </c>
      <c r="AS110" s="476">
        <f t="shared" si="262"/>
        <v>0</v>
      </c>
      <c r="AT110" s="478">
        <f t="shared" si="263"/>
        <v>0</v>
      </c>
      <c r="AU110" s="484">
        <f t="shared" si="264"/>
        <v>632150</v>
      </c>
      <c r="AV110" s="475">
        <f t="shared" si="265"/>
        <v>444190</v>
      </c>
      <c r="AW110" s="475">
        <f t="shared" si="266"/>
        <v>21630</v>
      </c>
      <c r="AX110" s="475">
        <f t="shared" si="267"/>
        <v>157447</v>
      </c>
      <c r="AY110" s="475">
        <f t="shared" si="267"/>
        <v>8883</v>
      </c>
      <c r="AZ110" s="475">
        <f t="shared" si="268"/>
        <v>0</v>
      </c>
      <c r="BA110" s="476">
        <f t="shared" si="269"/>
        <v>1.26</v>
      </c>
      <c r="BB110" s="476">
        <f t="shared" si="270"/>
        <v>1.32</v>
      </c>
      <c r="BC110" s="478">
        <f t="shared" si="270"/>
        <v>-0.06</v>
      </c>
    </row>
    <row r="111" spans="1:55" ht="12.95" customHeight="1" x14ac:dyDescent="0.25">
      <c r="A111" s="308">
        <v>19</v>
      </c>
      <c r="B111" s="309">
        <v>4441</v>
      </c>
      <c r="C111" s="309">
        <v>600074668</v>
      </c>
      <c r="D111" s="309">
        <v>46750495</v>
      </c>
      <c r="E111" s="325" t="s">
        <v>365</v>
      </c>
      <c r="F111" s="326">
        <v>3141</v>
      </c>
      <c r="G111" s="312" t="s">
        <v>315</v>
      </c>
      <c r="H111" s="312" t="s">
        <v>278</v>
      </c>
      <c r="I111" s="477">
        <v>1286892</v>
      </c>
      <c r="J111" s="472">
        <v>943025</v>
      </c>
      <c r="K111" s="472">
        <v>0</v>
      </c>
      <c r="L111" s="472">
        <v>318742</v>
      </c>
      <c r="M111" s="472">
        <v>18861</v>
      </c>
      <c r="N111" s="472">
        <v>6264</v>
      </c>
      <c r="O111" s="473">
        <v>2.97</v>
      </c>
      <c r="P111" s="474">
        <v>0</v>
      </c>
      <c r="Q111" s="483">
        <v>2.97</v>
      </c>
      <c r="R111" s="485">
        <f t="shared" si="253"/>
        <v>0</v>
      </c>
      <c r="S111" s="475">
        <v>0</v>
      </c>
      <c r="T111" s="475">
        <v>-5054</v>
      </c>
      <c r="U111" s="475">
        <v>0</v>
      </c>
      <c r="V111" s="475">
        <v>0</v>
      </c>
      <c r="W111" s="475">
        <v>0</v>
      </c>
      <c r="X111" s="475">
        <f t="shared" si="254"/>
        <v>-5054</v>
      </c>
      <c r="Y111" s="475">
        <v>0</v>
      </c>
      <c r="Z111" s="475">
        <v>0</v>
      </c>
      <c r="AA111" s="475">
        <v>0</v>
      </c>
      <c r="AB111" s="475">
        <f t="shared" si="255"/>
        <v>0</v>
      </c>
      <c r="AC111" s="475">
        <f t="shared" si="256"/>
        <v>-5054</v>
      </c>
      <c r="AD111" s="70">
        <f t="shared" si="257"/>
        <v>-1708</v>
      </c>
      <c r="AE111" s="70">
        <f t="shared" si="258"/>
        <v>-101</v>
      </c>
      <c r="AF111" s="475">
        <v>0</v>
      </c>
      <c r="AG111" s="475">
        <v>0</v>
      </c>
      <c r="AH111" s="475">
        <f t="shared" si="259"/>
        <v>0</v>
      </c>
      <c r="AI111" s="475">
        <f t="shared" si="260"/>
        <v>-6863</v>
      </c>
      <c r="AJ111" s="476">
        <v>0</v>
      </c>
      <c r="AK111" s="476">
        <v>0</v>
      </c>
      <c r="AL111" s="476">
        <v>0</v>
      </c>
      <c r="AM111" s="476">
        <v>0</v>
      </c>
      <c r="AN111" s="476">
        <v>-0.02</v>
      </c>
      <c r="AO111" s="476">
        <v>0</v>
      </c>
      <c r="AP111" s="476">
        <v>0</v>
      </c>
      <c r="AQ111" s="476">
        <v>0</v>
      </c>
      <c r="AR111" s="476">
        <f t="shared" si="261"/>
        <v>0</v>
      </c>
      <c r="AS111" s="476">
        <f t="shared" si="262"/>
        <v>-0.02</v>
      </c>
      <c r="AT111" s="478">
        <f t="shared" si="263"/>
        <v>-0.02</v>
      </c>
      <c r="AU111" s="484">
        <f t="shared" si="264"/>
        <v>1280029</v>
      </c>
      <c r="AV111" s="475">
        <f t="shared" si="265"/>
        <v>937971</v>
      </c>
      <c r="AW111" s="475">
        <f t="shared" si="266"/>
        <v>0</v>
      </c>
      <c r="AX111" s="475">
        <f t="shared" si="267"/>
        <v>317034</v>
      </c>
      <c r="AY111" s="475">
        <f t="shared" si="267"/>
        <v>18760</v>
      </c>
      <c r="AZ111" s="475">
        <f t="shared" si="268"/>
        <v>6264</v>
      </c>
      <c r="BA111" s="476">
        <f t="shared" si="269"/>
        <v>2.95</v>
      </c>
      <c r="BB111" s="476">
        <f t="shared" si="270"/>
        <v>0</v>
      </c>
      <c r="BC111" s="478">
        <f t="shared" si="270"/>
        <v>2.95</v>
      </c>
    </row>
    <row r="112" spans="1:55" ht="12.95" customHeight="1" x14ac:dyDescent="0.25">
      <c r="A112" s="308">
        <v>19</v>
      </c>
      <c r="B112" s="309">
        <v>4441</v>
      </c>
      <c r="C112" s="309">
        <v>600074668</v>
      </c>
      <c r="D112" s="309">
        <v>46750495</v>
      </c>
      <c r="E112" s="325" t="s">
        <v>365</v>
      </c>
      <c r="F112" s="326">
        <v>3143</v>
      </c>
      <c r="G112" s="312" t="s">
        <v>626</v>
      </c>
      <c r="H112" s="312" t="s">
        <v>277</v>
      </c>
      <c r="I112" s="477">
        <v>738679</v>
      </c>
      <c r="J112" s="472">
        <v>543946</v>
      </c>
      <c r="K112" s="472">
        <v>0</v>
      </c>
      <c r="L112" s="472">
        <v>183854</v>
      </c>
      <c r="M112" s="472">
        <v>10879</v>
      </c>
      <c r="N112" s="472">
        <v>0</v>
      </c>
      <c r="O112" s="473">
        <v>1.0536000000000001</v>
      </c>
      <c r="P112" s="474">
        <v>1.0536000000000001</v>
      </c>
      <c r="Q112" s="483">
        <v>0</v>
      </c>
      <c r="R112" s="485">
        <f t="shared" si="253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54"/>
        <v>0</v>
      </c>
      <c r="Y112" s="475">
        <v>0</v>
      </c>
      <c r="Z112" s="475">
        <v>0</v>
      </c>
      <c r="AA112" s="475">
        <v>0</v>
      </c>
      <c r="AB112" s="475">
        <f t="shared" si="255"/>
        <v>0</v>
      </c>
      <c r="AC112" s="475">
        <f t="shared" si="256"/>
        <v>0</v>
      </c>
      <c r="AD112" s="70">
        <f t="shared" si="257"/>
        <v>0</v>
      </c>
      <c r="AE112" s="70">
        <f t="shared" si="258"/>
        <v>0</v>
      </c>
      <c r="AF112" s="475">
        <v>0</v>
      </c>
      <c r="AG112" s="475">
        <v>0</v>
      </c>
      <c r="AH112" s="475">
        <f t="shared" si="259"/>
        <v>0</v>
      </c>
      <c r="AI112" s="475">
        <f t="shared" si="260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 t="shared" si="261"/>
        <v>0</v>
      </c>
      <c r="AS112" s="476">
        <f t="shared" si="262"/>
        <v>0</v>
      </c>
      <c r="AT112" s="478">
        <f t="shared" si="263"/>
        <v>0</v>
      </c>
      <c r="AU112" s="484">
        <f t="shared" si="264"/>
        <v>738679</v>
      </c>
      <c r="AV112" s="475">
        <f t="shared" si="265"/>
        <v>543946</v>
      </c>
      <c r="AW112" s="475">
        <f t="shared" si="266"/>
        <v>0</v>
      </c>
      <c r="AX112" s="475">
        <f t="shared" si="267"/>
        <v>183854</v>
      </c>
      <c r="AY112" s="475">
        <f t="shared" si="267"/>
        <v>10879</v>
      </c>
      <c r="AZ112" s="475">
        <f t="shared" si="268"/>
        <v>0</v>
      </c>
      <c r="BA112" s="476">
        <f t="shared" si="269"/>
        <v>1.0536000000000001</v>
      </c>
      <c r="BB112" s="476">
        <f t="shared" si="270"/>
        <v>1.0536000000000001</v>
      </c>
      <c r="BC112" s="478">
        <f t="shared" si="270"/>
        <v>0</v>
      </c>
    </row>
    <row r="113" spans="1:55" ht="12.95" customHeight="1" x14ac:dyDescent="0.25">
      <c r="A113" s="308">
        <v>19</v>
      </c>
      <c r="B113" s="309">
        <v>4441</v>
      </c>
      <c r="C113" s="309">
        <v>600074668</v>
      </c>
      <c r="D113" s="309">
        <v>46750495</v>
      </c>
      <c r="E113" s="325" t="s">
        <v>365</v>
      </c>
      <c r="F113" s="326">
        <v>3143</v>
      </c>
      <c r="G113" s="312" t="s">
        <v>627</v>
      </c>
      <c r="H113" s="312" t="s">
        <v>278</v>
      </c>
      <c r="I113" s="477">
        <v>22680</v>
      </c>
      <c r="J113" s="472">
        <v>16038</v>
      </c>
      <c r="K113" s="472">
        <v>0</v>
      </c>
      <c r="L113" s="472">
        <v>5421</v>
      </c>
      <c r="M113" s="472">
        <v>321</v>
      </c>
      <c r="N113" s="472">
        <v>900</v>
      </c>
      <c r="O113" s="473">
        <v>0.06</v>
      </c>
      <c r="P113" s="474">
        <v>0</v>
      </c>
      <c r="Q113" s="483">
        <v>0.06</v>
      </c>
      <c r="R113" s="485">
        <f t="shared" si="253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54"/>
        <v>0</v>
      </c>
      <c r="Y113" s="475">
        <v>0</v>
      </c>
      <c r="Z113" s="475">
        <v>0</v>
      </c>
      <c r="AA113" s="475">
        <v>0</v>
      </c>
      <c r="AB113" s="475">
        <f t="shared" si="255"/>
        <v>0</v>
      </c>
      <c r="AC113" s="475">
        <f t="shared" si="256"/>
        <v>0</v>
      </c>
      <c r="AD113" s="70">
        <f t="shared" si="257"/>
        <v>0</v>
      </c>
      <c r="AE113" s="70">
        <f t="shared" si="258"/>
        <v>0</v>
      </c>
      <c r="AF113" s="475">
        <v>0</v>
      </c>
      <c r="AG113" s="475">
        <v>0</v>
      </c>
      <c r="AH113" s="475">
        <f t="shared" si="259"/>
        <v>0</v>
      </c>
      <c r="AI113" s="475">
        <f t="shared" si="260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476">
        <f t="shared" si="261"/>
        <v>0</v>
      </c>
      <c r="AS113" s="476">
        <f t="shared" si="262"/>
        <v>0</v>
      </c>
      <c r="AT113" s="478">
        <f t="shared" si="263"/>
        <v>0</v>
      </c>
      <c r="AU113" s="484">
        <f t="shared" si="264"/>
        <v>22680</v>
      </c>
      <c r="AV113" s="475">
        <f t="shared" si="265"/>
        <v>16038</v>
      </c>
      <c r="AW113" s="475">
        <f t="shared" si="266"/>
        <v>0</v>
      </c>
      <c r="AX113" s="475">
        <f t="shared" si="267"/>
        <v>5421</v>
      </c>
      <c r="AY113" s="475">
        <f t="shared" si="267"/>
        <v>321</v>
      </c>
      <c r="AZ113" s="475">
        <f t="shared" si="268"/>
        <v>900</v>
      </c>
      <c r="BA113" s="476">
        <f t="shared" si="269"/>
        <v>0.06</v>
      </c>
      <c r="BB113" s="476">
        <f t="shared" si="270"/>
        <v>0</v>
      </c>
      <c r="BC113" s="478">
        <f t="shared" si="270"/>
        <v>0.06</v>
      </c>
    </row>
    <row r="114" spans="1:55" ht="12.95" customHeight="1" x14ac:dyDescent="0.25">
      <c r="A114" s="301">
        <v>19</v>
      </c>
      <c r="B114" s="303">
        <v>4441</v>
      </c>
      <c r="C114" s="303">
        <v>600074668</v>
      </c>
      <c r="D114" s="303">
        <v>46750495</v>
      </c>
      <c r="E114" s="322" t="s">
        <v>366</v>
      </c>
      <c r="F114" s="323"/>
      <c r="G114" s="324"/>
      <c r="H114" s="324"/>
      <c r="I114" s="561">
        <v>11040493</v>
      </c>
      <c r="J114" s="558">
        <v>7966066</v>
      </c>
      <c r="K114" s="558">
        <v>70860</v>
      </c>
      <c r="L114" s="558">
        <v>2716481</v>
      </c>
      <c r="M114" s="558">
        <v>159322</v>
      </c>
      <c r="N114" s="558">
        <v>127764</v>
      </c>
      <c r="O114" s="559">
        <v>18.418499999999998</v>
      </c>
      <c r="P114" s="559">
        <v>12.044700000000001</v>
      </c>
      <c r="Q114" s="563">
        <v>6.3738000000000001</v>
      </c>
      <c r="R114" s="561">
        <f t="shared" ref="R114:BC114" si="271">SUM(R108:R113)</f>
        <v>0</v>
      </c>
      <c r="S114" s="558">
        <f t="shared" si="271"/>
        <v>0</v>
      </c>
      <c r="T114" s="558">
        <f t="shared" si="271"/>
        <v>-5054</v>
      </c>
      <c r="U114" s="558">
        <f t="shared" si="271"/>
        <v>0</v>
      </c>
      <c r="V114" s="558">
        <f t="shared" si="271"/>
        <v>0</v>
      </c>
      <c r="W114" s="558">
        <f t="shared" si="271"/>
        <v>0</v>
      </c>
      <c r="X114" s="558">
        <f t="shared" si="271"/>
        <v>-5054</v>
      </c>
      <c r="Y114" s="558">
        <f t="shared" si="271"/>
        <v>0</v>
      </c>
      <c r="Z114" s="558">
        <f t="shared" si="271"/>
        <v>0</v>
      </c>
      <c r="AA114" s="558">
        <f t="shared" si="271"/>
        <v>0</v>
      </c>
      <c r="AB114" s="558">
        <f t="shared" si="271"/>
        <v>0</v>
      </c>
      <c r="AC114" s="558">
        <f t="shared" si="271"/>
        <v>-5054</v>
      </c>
      <c r="AD114" s="558">
        <f t="shared" si="271"/>
        <v>-1708</v>
      </c>
      <c r="AE114" s="558">
        <f t="shared" si="271"/>
        <v>-101</v>
      </c>
      <c r="AF114" s="558">
        <f t="shared" si="271"/>
        <v>0</v>
      </c>
      <c r="AG114" s="558">
        <f t="shared" si="271"/>
        <v>0</v>
      </c>
      <c r="AH114" s="558">
        <f t="shared" si="271"/>
        <v>0</v>
      </c>
      <c r="AI114" s="558">
        <f t="shared" si="271"/>
        <v>-6863</v>
      </c>
      <c r="AJ114" s="559">
        <f t="shared" si="271"/>
        <v>0</v>
      </c>
      <c r="AK114" s="559">
        <f t="shared" si="271"/>
        <v>0</v>
      </c>
      <c r="AL114" s="559">
        <f t="shared" si="271"/>
        <v>0</v>
      </c>
      <c r="AM114" s="559">
        <f t="shared" si="271"/>
        <v>0</v>
      </c>
      <c r="AN114" s="559">
        <f t="shared" si="271"/>
        <v>-0.02</v>
      </c>
      <c r="AO114" s="559">
        <f t="shared" si="271"/>
        <v>0</v>
      </c>
      <c r="AP114" s="559">
        <f t="shared" si="271"/>
        <v>0</v>
      </c>
      <c r="AQ114" s="559">
        <f t="shared" si="271"/>
        <v>0</v>
      </c>
      <c r="AR114" s="559">
        <f t="shared" si="271"/>
        <v>0</v>
      </c>
      <c r="AS114" s="559">
        <f t="shared" si="271"/>
        <v>-0.02</v>
      </c>
      <c r="AT114" s="318">
        <f t="shared" si="271"/>
        <v>-0.02</v>
      </c>
      <c r="AU114" s="565">
        <f t="shared" si="271"/>
        <v>11033630</v>
      </c>
      <c r="AV114" s="558">
        <f t="shared" si="271"/>
        <v>7961012</v>
      </c>
      <c r="AW114" s="558">
        <f t="shared" si="271"/>
        <v>70860</v>
      </c>
      <c r="AX114" s="558">
        <f t="shared" si="271"/>
        <v>2714773</v>
      </c>
      <c r="AY114" s="558">
        <f t="shared" si="271"/>
        <v>159221</v>
      </c>
      <c r="AZ114" s="558">
        <f t="shared" si="271"/>
        <v>127764</v>
      </c>
      <c r="BA114" s="559">
        <f t="shared" si="271"/>
        <v>18.398499999999999</v>
      </c>
      <c r="BB114" s="559">
        <f t="shared" si="271"/>
        <v>12.044700000000001</v>
      </c>
      <c r="BC114" s="318">
        <f t="shared" si="271"/>
        <v>6.3538000000000006</v>
      </c>
    </row>
    <row r="115" spans="1:55" ht="12.95" customHeight="1" x14ac:dyDescent="0.25">
      <c r="A115" s="308">
        <v>20</v>
      </c>
      <c r="B115" s="309">
        <v>4428</v>
      </c>
      <c r="C115" s="309">
        <v>600074242</v>
      </c>
      <c r="D115" s="309">
        <v>71010513</v>
      </c>
      <c r="E115" s="325" t="s">
        <v>367</v>
      </c>
      <c r="F115" s="326">
        <v>3111</v>
      </c>
      <c r="G115" s="312" t="s">
        <v>325</v>
      </c>
      <c r="H115" s="312" t="s">
        <v>277</v>
      </c>
      <c r="I115" s="477">
        <v>1749876</v>
      </c>
      <c r="J115" s="472">
        <v>1281278</v>
      </c>
      <c r="K115" s="472">
        <v>0</v>
      </c>
      <c r="L115" s="472">
        <v>433072</v>
      </c>
      <c r="M115" s="472">
        <v>25626</v>
      </c>
      <c r="N115" s="472">
        <v>9900</v>
      </c>
      <c r="O115" s="473">
        <v>2.83</v>
      </c>
      <c r="P115" s="474">
        <v>2</v>
      </c>
      <c r="Q115" s="483">
        <v>0.83</v>
      </c>
      <c r="R115" s="485">
        <f t="shared" ref="R115:R116" si="272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ref="AB115:AB116" si="273">SUM(Y115:AA115)</f>
        <v>0</v>
      </c>
      <c r="AC115" s="475">
        <f t="shared" ref="AC115:AC116" si="274">X115+AB115</f>
        <v>0</v>
      </c>
      <c r="AD115" s="70">
        <f t="shared" ref="AD115:AD116" si="275">ROUND((X115+Y115+Z115)*33.8%,0)</f>
        <v>0</v>
      </c>
      <c r="AE115" s="70">
        <f t="shared" ref="AE115:AE116" si="276">ROUND(X115*2%,0)</f>
        <v>0</v>
      </c>
      <c r="AF115" s="475">
        <v>0</v>
      </c>
      <c r="AG115" s="475">
        <v>0</v>
      </c>
      <c r="AH115" s="475">
        <f t="shared" ref="AH115:AH116" si="277">SUM(AF115:AG115)</f>
        <v>0</v>
      </c>
      <c r="AI115" s="475">
        <f t="shared" ref="AI115:AI116" si="278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ref="AT115:AT116" si="279">SUM(AR115:AS115)</f>
        <v>0</v>
      </c>
      <c r="AU115" s="484">
        <f>I115+AI115</f>
        <v>1749876</v>
      </c>
      <c r="AV115" s="475">
        <f>J115+X115</f>
        <v>1281278</v>
      </c>
      <c r="AW115" s="475">
        <f t="shared" ref="AW115:AW116" si="280">K115+AB115</f>
        <v>0</v>
      </c>
      <c r="AX115" s="475">
        <f>L115+AD115</f>
        <v>433072</v>
      </c>
      <c r="AY115" s="475">
        <f>M115+AE115</f>
        <v>25626</v>
      </c>
      <c r="AZ115" s="475">
        <f>N115+AH115</f>
        <v>9900</v>
      </c>
      <c r="BA115" s="476">
        <f>O115+AT115</f>
        <v>2.83</v>
      </c>
      <c r="BB115" s="476">
        <f>P115+AR115</f>
        <v>2</v>
      </c>
      <c r="BC115" s="478">
        <f>Q115+AS115</f>
        <v>0.83</v>
      </c>
    </row>
    <row r="116" spans="1:55" ht="12.95" customHeight="1" x14ac:dyDescent="0.25">
      <c r="A116" s="308">
        <v>20</v>
      </c>
      <c r="B116" s="309">
        <v>4428</v>
      </c>
      <c r="C116" s="309">
        <v>600074242</v>
      </c>
      <c r="D116" s="309">
        <v>71010513</v>
      </c>
      <c r="E116" s="325" t="s">
        <v>367</v>
      </c>
      <c r="F116" s="326">
        <v>3141</v>
      </c>
      <c r="G116" s="327" t="s">
        <v>315</v>
      </c>
      <c r="H116" s="312" t="s">
        <v>278</v>
      </c>
      <c r="I116" s="477">
        <v>705281</v>
      </c>
      <c r="J116" s="472">
        <v>517260</v>
      </c>
      <c r="K116" s="472">
        <v>0</v>
      </c>
      <c r="L116" s="472">
        <v>174834</v>
      </c>
      <c r="M116" s="472">
        <v>10345</v>
      </c>
      <c r="N116" s="472">
        <v>2842</v>
      </c>
      <c r="O116" s="473">
        <v>1.63</v>
      </c>
      <c r="P116" s="474">
        <v>0</v>
      </c>
      <c r="Q116" s="483">
        <v>1.63</v>
      </c>
      <c r="R116" s="485">
        <f t="shared" si="272"/>
        <v>0</v>
      </c>
      <c r="S116" s="475">
        <v>0</v>
      </c>
      <c r="T116" s="475">
        <v>-6269</v>
      </c>
      <c r="U116" s="475">
        <v>0</v>
      </c>
      <c r="V116" s="475">
        <v>0</v>
      </c>
      <c r="W116" s="475">
        <v>0</v>
      </c>
      <c r="X116" s="475">
        <f>SUM(R116:W116)</f>
        <v>-6269</v>
      </c>
      <c r="Y116" s="475">
        <v>0</v>
      </c>
      <c r="Z116" s="475">
        <v>0</v>
      </c>
      <c r="AA116" s="475">
        <v>0</v>
      </c>
      <c r="AB116" s="475">
        <f t="shared" si="273"/>
        <v>0</v>
      </c>
      <c r="AC116" s="475">
        <f t="shared" si="274"/>
        <v>-6269</v>
      </c>
      <c r="AD116" s="70">
        <f t="shared" si="275"/>
        <v>-2119</v>
      </c>
      <c r="AE116" s="70">
        <f t="shared" si="276"/>
        <v>-125</v>
      </c>
      <c r="AF116" s="475">
        <v>0</v>
      </c>
      <c r="AG116" s="475">
        <v>0</v>
      </c>
      <c r="AH116" s="475">
        <f t="shared" si="277"/>
        <v>0</v>
      </c>
      <c r="AI116" s="475">
        <f t="shared" si="278"/>
        <v>-8513</v>
      </c>
      <c r="AJ116" s="476">
        <v>0</v>
      </c>
      <c r="AK116" s="476">
        <v>0</v>
      </c>
      <c r="AL116" s="476">
        <v>0</v>
      </c>
      <c r="AM116" s="476">
        <v>0</v>
      </c>
      <c r="AN116" s="476">
        <v>-0.02</v>
      </c>
      <c r="AO116" s="476">
        <v>0</v>
      </c>
      <c r="AP116" s="476">
        <v>0</v>
      </c>
      <c r="AQ116" s="476">
        <v>0</v>
      </c>
      <c r="AR116" s="476">
        <f>AJ116+AL116+AM116+AO116+AP116</f>
        <v>0</v>
      </c>
      <c r="AS116" s="476">
        <f>AK116+AN116+AQ116</f>
        <v>-0.02</v>
      </c>
      <c r="AT116" s="478">
        <f t="shared" si="279"/>
        <v>-0.02</v>
      </c>
      <c r="AU116" s="484">
        <f>I116+AI116</f>
        <v>696768</v>
      </c>
      <c r="AV116" s="475">
        <f>J116+X116</f>
        <v>510991</v>
      </c>
      <c r="AW116" s="475">
        <f t="shared" si="280"/>
        <v>0</v>
      </c>
      <c r="AX116" s="475">
        <f>L116+AD116</f>
        <v>172715</v>
      </c>
      <c r="AY116" s="475">
        <f>M116+AE116</f>
        <v>10220</v>
      </c>
      <c r="AZ116" s="475">
        <f>N116+AH116</f>
        <v>2842</v>
      </c>
      <c r="BA116" s="476">
        <f>O116+AT116</f>
        <v>1.6099999999999999</v>
      </c>
      <c r="BB116" s="476">
        <f>P116+AR116</f>
        <v>0</v>
      </c>
      <c r="BC116" s="478">
        <f>Q116+AS116</f>
        <v>1.6099999999999999</v>
      </c>
    </row>
    <row r="117" spans="1:55" ht="12.95" customHeight="1" x14ac:dyDescent="0.25">
      <c r="A117" s="301">
        <v>20</v>
      </c>
      <c r="B117" s="303">
        <v>4428</v>
      </c>
      <c r="C117" s="303">
        <v>600074242</v>
      </c>
      <c r="D117" s="303">
        <v>71010513</v>
      </c>
      <c r="E117" s="322" t="s">
        <v>368</v>
      </c>
      <c r="F117" s="323"/>
      <c r="G117" s="324"/>
      <c r="H117" s="324"/>
      <c r="I117" s="561">
        <v>2455157</v>
      </c>
      <c r="J117" s="558">
        <v>1798538</v>
      </c>
      <c r="K117" s="558">
        <v>0</v>
      </c>
      <c r="L117" s="558">
        <v>607906</v>
      </c>
      <c r="M117" s="558">
        <v>35971</v>
      </c>
      <c r="N117" s="558">
        <v>12742</v>
      </c>
      <c r="O117" s="559">
        <v>4.46</v>
      </c>
      <c r="P117" s="559">
        <v>2</v>
      </c>
      <c r="Q117" s="563">
        <v>2.46</v>
      </c>
      <c r="R117" s="561">
        <f t="shared" ref="R117:BC117" si="281">SUM(R115:R116)</f>
        <v>0</v>
      </c>
      <c r="S117" s="558">
        <f t="shared" si="281"/>
        <v>0</v>
      </c>
      <c r="T117" s="558">
        <f t="shared" si="281"/>
        <v>-6269</v>
      </c>
      <c r="U117" s="558">
        <f t="shared" si="281"/>
        <v>0</v>
      </c>
      <c r="V117" s="558">
        <f t="shared" si="281"/>
        <v>0</v>
      </c>
      <c r="W117" s="558">
        <f t="shared" si="281"/>
        <v>0</v>
      </c>
      <c r="X117" s="558">
        <f t="shared" si="281"/>
        <v>-6269</v>
      </c>
      <c r="Y117" s="558">
        <f t="shared" si="281"/>
        <v>0</v>
      </c>
      <c r="Z117" s="558">
        <f t="shared" si="281"/>
        <v>0</v>
      </c>
      <c r="AA117" s="558">
        <f t="shared" si="281"/>
        <v>0</v>
      </c>
      <c r="AB117" s="558">
        <f t="shared" si="281"/>
        <v>0</v>
      </c>
      <c r="AC117" s="558">
        <f t="shared" si="281"/>
        <v>-6269</v>
      </c>
      <c r="AD117" s="558">
        <f t="shared" si="281"/>
        <v>-2119</v>
      </c>
      <c r="AE117" s="558">
        <f t="shared" si="281"/>
        <v>-125</v>
      </c>
      <c r="AF117" s="558">
        <f t="shared" si="281"/>
        <v>0</v>
      </c>
      <c r="AG117" s="558">
        <f t="shared" si="281"/>
        <v>0</v>
      </c>
      <c r="AH117" s="558">
        <f t="shared" si="281"/>
        <v>0</v>
      </c>
      <c r="AI117" s="558">
        <f t="shared" si="281"/>
        <v>-8513</v>
      </c>
      <c r="AJ117" s="559">
        <f t="shared" si="281"/>
        <v>0</v>
      </c>
      <c r="AK117" s="559">
        <f t="shared" si="281"/>
        <v>0</v>
      </c>
      <c r="AL117" s="559">
        <f t="shared" si="281"/>
        <v>0</v>
      </c>
      <c r="AM117" s="559">
        <f t="shared" si="281"/>
        <v>0</v>
      </c>
      <c r="AN117" s="559">
        <f t="shared" si="281"/>
        <v>-0.02</v>
      </c>
      <c r="AO117" s="559">
        <f t="shared" si="281"/>
        <v>0</v>
      </c>
      <c r="AP117" s="559">
        <f t="shared" si="281"/>
        <v>0</v>
      </c>
      <c r="AQ117" s="559">
        <f t="shared" si="281"/>
        <v>0</v>
      </c>
      <c r="AR117" s="559">
        <f t="shared" si="281"/>
        <v>0</v>
      </c>
      <c r="AS117" s="559">
        <f t="shared" si="281"/>
        <v>-0.02</v>
      </c>
      <c r="AT117" s="318">
        <f t="shared" si="281"/>
        <v>-0.02</v>
      </c>
      <c r="AU117" s="565">
        <f t="shared" si="281"/>
        <v>2446644</v>
      </c>
      <c r="AV117" s="558">
        <f t="shared" si="281"/>
        <v>1792269</v>
      </c>
      <c r="AW117" s="558">
        <f t="shared" si="281"/>
        <v>0</v>
      </c>
      <c r="AX117" s="558">
        <f t="shared" si="281"/>
        <v>605787</v>
      </c>
      <c r="AY117" s="558">
        <f t="shared" si="281"/>
        <v>35846</v>
      </c>
      <c r="AZ117" s="558">
        <f t="shared" si="281"/>
        <v>12742</v>
      </c>
      <c r="BA117" s="559">
        <f t="shared" si="281"/>
        <v>4.4399999999999995</v>
      </c>
      <c r="BB117" s="559">
        <f t="shared" si="281"/>
        <v>2</v>
      </c>
      <c r="BC117" s="318">
        <f t="shared" si="281"/>
        <v>2.44</v>
      </c>
    </row>
    <row r="118" spans="1:55" ht="12.95" customHeight="1" x14ac:dyDescent="0.25">
      <c r="A118" s="308">
        <v>21</v>
      </c>
      <c r="B118" s="309">
        <v>4463</v>
      </c>
      <c r="C118" s="309">
        <v>600074684</v>
      </c>
      <c r="D118" s="309">
        <v>71010467</v>
      </c>
      <c r="E118" s="325" t="s">
        <v>369</v>
      </c>
      <c r="F118" s="326">
        <v>3117</v>
      </c>
      <c r="G118" s="327" t="s">
        <v>329</v>
      </c>
      <c r="H118" s="312" t="s">
        <v>277</v>
      </c>
      <c r="I118" s="477">
        <v>2872595</v>
      </c>
      <c r="J118" s="472">
        <v>2081315</v>
      </c>
      <c r="K118" s="472">
        <v>0</v>
      </c>
      <c r="L118" s="472">
        <v>703484</v>
      </c>
      <c r="M118" s="472">
        <v>41626</v>
      </c>
      <c r="N118" s="472">
        <v>46170</v>
      </c>
      <c r="O118" s="473">
        <v>3.5754000000000001</v>
      </c>
      <c r="P118" s="474">
        <v>2.6364000000000001</v>
      </c>
      <c r="Q118" s="483">
        <v>0.93900000000000006</v>
      </c>
      <c r="R118" s="485">
        <f t="shared" ref="R118:R121" si="282">Y118*-1</f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>SUM(R118:W118)</f>
        <v>0</v>
      </c>
      <c r="Y118" s="475">
        <v>0</v>
      </c>
      <c r="Z118" s="475">
        <v>0</v>
      </c>
      <c r="AA118" s="475">
        <v>0</v>
      </c>
      <c r="AB118" s="475">
        <f t="shared" ref="AB118:AB121" si="283">SUM(Y118:AA118)</f>
        <v>0</v>
      </c>
      <c r="AC118" s="475">
        <f t="shared" ref="AC118:AC121" si="284">X118+AB118</f>
        <v>0</v>
      </c>
      <c r="AD118" s="70">
        <f t="shared" ref="AD118:AD121" si="285">ROUND((X118+Y118+Z118)*33.8%,0)</f>
        <v>0</v>
      </c>
      <c r="AE118" s="70">
        <f t="shared" ref="AE118:AE121" si="286">ROUND(X118*2%,0)</f>
        <v>0</v>
      </c>
      <c r="AF118" s="475">
        <v>0</v>
      </c>
      <c r="AG118" s="475">
        <v>0</v>
      </c>
      <c r="AH118" s="475">
        <f t="shared" ref="AH118:AH121" si="287">SUM(AF118:AG118)</f>
        <v>0</v>
      </c>
      <c r="AI118" s="475">
        <f t="shared" ref="AI118:AI121" si="288">AC118+AD118+AE118+AH118</f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</v>
      </c>
      <c r="AS118" s="476">
        <f>AK118+AN118+AQ118</f>
        <v>0</v>
      </c>
      <c r="AT118" s="478">
        <f t="shared" ref="AT118:AT121" si="289">SUM(AR118:AS118)</f>
        <v>0</v>
      </c>
      <c r="AU118" s="484">
        <f>I118+AI118</f>
        <v>2872595</v>
      </c>
      <c r="AV118" s="475">
        <f>J118+X118</f>
        <v>2081315</v>
      </c>
      <c r="AW118" s="475">
        <f t="shared" ref="AW118:AW121" si="290">K118+AB118</f>
        <v>0</v>
      </c>
      <c r="AX118" s="475">
        <f t="shared" ref="AX118:AY121" si="291">L118+AD118</f>
        <v>703484</v>
      </c>
      <c r="AY118" s="475">
        <f t="shared" si="291"/>
        <v>41626</v>
      </c>
      <c r="AZ118" s="475">
        <f>N118+AH118</f>
        <v>46170</v>
      </c>
      <c r="BA118" s="476">
        <f>O118+AT118</f>
        <v>3.5754000000000001</v>
      </c>
      <c r="BB118" s="476">
        <f t="shared" ref="BB118:BC121" si="292">P118+AR118</f>
        <v>2.6364000000000001</v>
      </c>
      <c r="BC118" s="478">
        <f t="shared" si="292"/>
        <v>0.93900000000000006</v>
      </c>
    </row>
    <row r="119" spans="1:55" ht="12.95" customHeight="1" x14ac:dyDescent="0.25">
      <c r="A119" s="308">
        <v>21</v>
      </c>
      <c r="B119" s="309">
        <v>4463</v>
      </c>
      <c r="C119" s="309">
        <v>600074684</v>
      </c>
      <c r="D119" s="309">
        <v>71010467</v>
      </c>
      <c r="E119" s="325" t="s">
        <v>369</v>
      </c>
      <c r="F119" s="326">
        <v>3117</v>
      </c>
      <c r="G119" s="312" t="s">
        <v>319</v>
      </c>
      <c r="H119" s="312" t="s">
        <v>278</v>
      </c>
      <c r="I119" s="477">
        <v>0</v>
      </c>
      <c r="J119" s="472">
        <v>0</v>
      </c>
      <c r="K119" s="472">
        <v>0</v>
      </c>
      <c r="L119" s="472">
        <v>0</v>
      </c>
      <c r="M119" s="472">
        <v>0</v>
      </c>
      <c r="N119" s="472">
        <v>0</v>
      </c>
      <c r="O119" s="473">
        <v>0</v>
      </c>
      <c r="P119" s="474">
        <v>0</v>
      </c>
      <c r="Q119" s="483">
        <v>0</v>
      </c>
      <c r="R119" s="485">
        <f t="shared" si="282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si="283"/>
        <v>0</v>
      </c>
      <c r="AC119" s="475">
        <f t="shared" si="284"/>
        <v>0</v>
      </c>
      <c r="AD119" s="70">
        <f t="shared" si="285"/>
        <v>0</v>
      </c>
      <c r="AE119" s="70">
        <f t="shared" si="286"/>
        <v>0</v>
      </c>
      <c r="AF119" s="475">
        <v>0</v>
      </c>
      <c r="AG119" s="475">
        <v>0</v>
      </c>
      <c r="AH119" s="475">
        <f t="shared" si="287"/>
        <v>0</v>
      </c>
      <c r="AI119" s="475">
        <f t="shared" si="288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289"/>
        <v>0</v>
      </c>
      <c r="AU119" s="484">
        <f>I119+AI119</f>
        <v>0</v>
      </c>
      <c r="AV119" s="475">
        <f>J119+X119</f>
        <v>0</v>
      </c>
      <c r="AW119" s="475">
        <f t="shared" si="290"/>
        <v>0</v>
      </c>
      <c r="AX119" s="475">
        <f t="shared" si="291"/>
        <v>0</v>
      </c>
      <c r="AY119" s="475">
        <f t="shared" si="291"/>
        <v>0</v>
      </c>
      <c r="AZ119" s="475">
        <f>N119+AH119</f>
        <v>0</v>
      </c>
      <c r="BA119" s="476">
        <f>O119+AT119</f>
        <v>0</v>
      </c>
      <c r="BB119" s="476">
        <f t="shared" si="292"/>
        <v>0</v>
      </c>
      <c r="BC119" s="478">
        <f t="shared" si="292"/>
        <v>0</v>
      </c>
    </row>
    <row r="120" spans="1:55" ht="12.95" customHeight="1" x14ac:dyDescent="0.25">
      <c r="A120" s="308">
        <v>21</v>
      </c>
      <c r="B120" s="309">
        <v>4463</v>
      </c>
      <c r="C120" s="309">
        <v>600074684</v>
      </c>
      <c r="D120" s="309">
        <v>71010467</v>
      </c>
      <c r="E120" s="325" t="s">
        <v>369</v>
      </c>
      <c r="F120" s="326">
        <v>3143</v>
      </c>
      <c r="G120" s="312" t="s">
        <v>626</v>
      </c>
      <c r="H120" s="312" t="s">
        <v>277</v>
      </c>
      <c r="I120" s="477">
        <v>602112</v>
      </c>
      <c r="J120" s="472">
        <v>443381</v>
      </c>
      <c r="K120" s="472">
        <v>0</v>
      </c>
      <c r="L120" s="472">
        <v>149863</v>
      </c>
      <c r="M120" s="472">
        <v>8868</v>
      </c>
      <c r="N120" s="472">
        <v>0</v>
      </c>
      <c r="O120" s="473">
        <v>0.86</v>
      </c>
      <c r="P120" s="474">
        <v>0.86</v>
      </c>
      <c r="Q120" s="483">
        <v>0</v>
      </c>
      <c r="R120" s="485">
        <f t="shared" si="282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>SUM(R120:W120)</f>
        <v>0</v>
      </c>
      <c r="Y120" s="475">
        <v>0</v>
      </c>
      <c r="Z120" s="475">
        <v>0</v>
      </c>
      <c r="AA120" s="475">
        <v>0</v>
      </c>
      <c r="AB120" s="475">
        <f t="shared" si="283"/>
        <v>0</v>
      </c>
      <c r="AC120" s="475">
        <f t="shared" si="284"/>
        <v>0</v>
      </c>
      <c r="AD120" s="70">
        <f t="shared" si="285"/>
        <v>0</v>
      </c>
      <c r="AE120" s="70">
        <f t="shared" si="286"/>
        <v>0</v>
      </c>
      <c r="AF120" s="475">
        <v>0</v>
      </c>
      <c r="AG120" s="475">
        <v>0</v>
      </c>
      <c r="AH120" s="475">
        <f t="shared" si="287"/>
        <v>0</v>
      </c>
      <c r="AI120" s="475">
        <f t="shared" si="288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89"/>
        <v>0</v>
      </c>
      <c r="AU120" s="484">
        <f>I120+AI120</f>
        <v>602112</v>
      </c>
      <c r="AV120" s="475">
        <f>J120+X120</f>
        <v>443381</v>
      </c>
      <c r="AW120" s="475">
        <f t="shared" si="290"/>
        <v>0</v>
      </c>
      <c r="AX120" s="475">
        <f t="shared" si="291"/>
        <v>149863</v>
      </c>
      <c r="AY120" s="475">
        <f t="shared" si="291"/>
        <v>8868</v>
      </c>
      <c r="AZ120" s="475">
        <f>N120+AH120</f>
        <v>0</v>
      </c>
      <c r="BA120" s="476">
        <f>O120+AT120</f>
        <v>0.86</v>
      </c>
      <c r="BB120" s="476">
        <f t="shared" si="292"/>
        <v>0.86</v>
      </c>
      <c r="BC120" s="478">
        <f t="shared" si="292"/>
        <v>0</v>
      </c>
    </row>
    <row r="121" spans="1:55" ht="12.95" customHeight="1" x14ac:dyDescent="0.25">
      <c r="A121" s="308">
        <v>21</v>
      </c>
      <c r="B121" s="309">
        <v>4463</v>
      </c>
      <c r="C121" s="309">
        <v>600074684</v>
      </c>
      <c r="D121" s="309">
        <v>71010467</v>
      </c>
      <c r="E121" s="325" t="s">
        <v>369</v>
      </c>
      <c r="F121" s="326">
        <v>3143</v>
      </c>
      <c r="G121" s="312" t="s">
        <v>627</v>
      </c>
      <c r="H121" s="312" t="s">
        <v>278</v>
      </c>
      <c r="I121" s="477">
        <v>18899</v>
      </c>
      <c r="J121" s="472">
        <v>13365</v>
      </c>
      <c r="K121" s="472">
        <v>0</v>
      </c>
      <c r="L121" s="472">
        <v>4517</v>
      </c>
      <c r="M121" s="472">
        <v>267</v>
      </c>
      <c r="N121" s="472">
        <v>750</v>
      </c>
      <c r="O121" s="473">
        <v>0.05</v>
      </c>
      <c r="P121" s="474">
        <v>0</v>
      </c>
      <c r="Q121" s="483">
        <v>0.05</v>
      </c>
      <c r="R121" s="485">
        <f t="shared" si="282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>SUM(R121:W121)</f>
        <v>0</v>
      </c>
      <c r="Y121" s="475">
        <v>0</v>
      </c>
      <c r="Z121" s="475">
        <v>0</v>
      </c>
      <c r="AA121" s="475">
        <v>0</v>
      </c>
      <c r="AB121" s="475">
        <f t="shared" si="283"/>
        <v>0</v>
      </c>
      <c r="AC121" s="475">
        <f t="shared" si="284"/>
        <v>0</v>
      </c>
      <c r="AD121" s="70">
        <f t="shared" si="285"/>
        <v>0</v>
      </c>
      <c r="AE121" s="70">
        <f t="shared" si="286"/>
        <v>0</v>
      </c>
      <c r="AF121" s="475">
        <v>0</v>
      </c>
      <c r="AG121" s="475">
        <v>0</v>
      </c>
      <c r="AH121" s="475">
        <f t="shared" si="287"/>
        <v>0</v>
      </c>
      <c r="AI121" s="475">
        <f t="shared" si="288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289"/>
        <v>0</v>
      </c>
      <c r="AU121" s="484">
        <f>I121+AI121</f>
        <v>18899</v>
      </c>
      <c r="AV121" s="475">
        <f>J121+X121</f>
        <v>13365</v>
      </c>
      <c r="AW121" s="475">
        <f t="shared" si="290"/>
        <v>0</v>
      </c>
      <c r="AX121" s="475">
        <f t="shared" si="291"/>
        <v>4517</v>
      </c>
      <c r="AY121" s="475">
        <f t="shared" si="291"/>
        <v>267</v>
      </c>
      <c r="AZ121" s="475">
        <f>N121+AH121</f>
        <v>750</v>
      </c>
      <c r="BA121" s="476">
        <f>O121+AT121</f>
        <v>0.05</v>
      </c>
      <c r="BB121" s="476">
        <f t="shared" si="292"/>
        <v>0</v>
      </c>
      <c r="BC121" s="478">
        <f t="shared" si="292"/>
        <v>0.05</v>
      </c>
    </row>
    <row r="122" spans="1:55" ht="12.95" customHeight="1" thickBot="1" x14ac:dyDescent="0.3">
      <c r="A122" s="328">
        <v>21</v>
      </c>
      <c r="B122" s="329">
        <v>4463</v>
      </c>
      <c r="C122" s="329">
        <v>600074684</v>
      </c>
      <c r="D122" s="329">
        <v>71010467</v>
      </c>
      <c r="E122" s="322" t="s">
        <v>370</v>
      </c>
      <c r="F122" s="323"/>
      <c r="G122" s="324"/>
      <c r="H122" s="324"/>
      <c r="I122" s="658">
        <v>3493606</v>
      </c>
      <c r="J122" s="659">
        <v>2538061</v>
      </c>
      <c r="K122" s="659">
        <v>0</v>
      </c>
      <c r="L122" s="659">
        <v>857864</v>
      </c>
      <c r="M122" s="659">
        <v>50761</v>
      </c>
      <c r="N122" s="659">
        <v>46920</v>
      </c>
      <c r="O122" s="660">
        <v>4.4854000000000003</v>
      </c>
      <c r="P122" s="660">
        <v>3.4964</v>
      </c>
      <c r="Q122" s="671">
        <v>0.9890000000000001</v>
      </c>
      <c r="R122" s="658">
        <f t="shared" ref="R122:BC122" si="293">SUM(R118:R121)</f>
        <v>0</v>
      </c>
      <c r="S122" s="659">
        <f t="shared" si="293"/>
        <v>0</v>
      </c>
      <c r="T122" s="659">
        <f t="shared" si="293"/>
        <v>0</v>
      </c>
      <c r="U122" s="659">
        <f t="shared" si="293"/>
        <v>0</v>
      </c>
      <c r="V122" s="659">
        <f t="shared" si="293"/>
        <v>0</v>
      </c>
      <c r="W122" s="659">
        <f t="shared" si="293"/>
        <v>0</v>
      </c>
      <c r="X122" s="659">
        <f t="shared" si="293"/>
        <v>0</v>
      </c>
      <c r="Y122" s="659">
        <f t="shared" si="293"/>
        <v>0</v>
      </c>
      <c r="Z122" s="659">
        <f t="shared" si="293"/>
        <v>0</v>
      </c>
      <c r="AA122" s="659">
        <f t="shared" si="293"/>
        <v>0</v>
      </c>
      <c r="AB122" s="659">
        <f t="shared" si="293"/>
        <v>0</v>
      </c>
      <c r="AC122" s="659">
        <f t="shared" si="293"/>
        <v>0</v>
      </c>
      <c r="AD122" s="659">
        <f t="shared" si="293"/>
        <v>0</v>
      </c>
      <c r="AE122" s="659">
        <f t="shared" si="293"/>
        <v>0</v>
      </c>
      <c r="AF122" s="659">
        <f t="shared" si="293"/>
        <v>0</v>
      </c>
      <c r="AG122" s="659">
        <f t="shared" si="293"/>
        <v>0</v>
      </c>
      <c r="AH122" s="659">
        <f t="shared" si="293"/>
        <v>0</v>
      </c>
      <c r="AI122" s="659">
        <f t="shared" si="293"/>
        <v>0</v>
      </c>
      <c r="AJ122" s="660">
        <f t="shared" si="293"/>
        <v>0</v>
      </c>
      <c r="AK122" s="660">
        <f t="shared" si="293"/>
        <v>0</v>
      </c>
      <c r="AL122" s="660">
        <f t="shared" si="293"/>
        <v>0</v>
      </c>
      <c r="AM122" s="660">
        <f t="shared" si="293"/>
        <v>0</v>
      </c>
      <c r="AN122" s="660">
        <f t="shared" si="293"/>
        <v>0</v>
      </c>
      <c r="AO122" s="660">
        <f t="shared" si="293"/>
        <v>0</v>
      </c>
      <c r="AP122" s="660">
        <f t="shared" si="293"/>
        <v>0</v>
      </c>
      <c r="AQ122" s="660">
        <f t="shared" si="293"/>
        <v>0</v>
      </c>
      <c r="AR122" s="660">
        <f t="shared" si="293"/>
        <v>0</v>
      </c>
      <c r="AS122" s="660">
        <f t="shared" si="293"/>
        <v>0</v>
      </c>
      <c r="AT122" s="746">
        <f t="shared" si="293"/>
        <v>0</v>
      </c>
      <c r="AU122" s="571">
        <f t="shared" si="293"/>
        <v>3493606</v>
      </c>
      <c r="AV122" s="567">
        <f t="shared" si="293"/>
        <v>2538061</v>
      </c>
      <c r="AW122" s="567">
        <f t="shared" si="293"/>
        <v>0</v>
      </c>
      <c r="AX122" s="567">
        <f t="shared" si="293"/>
        <v>857864</v>
      </c>
      <c r="AY122" s="567">
        <f t="shared" si="293"/>
        <v>50761</v>
      </c>
      <c r="AZ122" s="567">
        <f t="shared" si="293"/>
        <v>46920</v>
      </c>
      <c r="BA122" s="568">
        <f t="shared" si="293"/>
        <v>4.4854000000000003</v>
      </c>
      <c r="BB122" s="568">
        <f t="shared" si="293"/>
        <v>3.4964</v>
      </c>
      <c r="BC122" s="570">
        <f t="shared" si="293"/>
        <v>0.9890000000000001</v>
      </c>
    </row>
    <row r="123" spans="1:55" ht="14.25" customHeight="1" thickBot="1" x14ac:dyDescent="0.3">
      <c r="A123" s="330"/>
      <c r="B123" s="331"/>
      <c r="C123" s="332"/>
      <c r="D123" s="331"/>
      <c r="E123" s="333" t="s">
        <v>793</v>
      </c>
      <c r="F123" s="332"/>
      <c r="G123" s="334"/>
      <c r="H123" s="335"/>
      <c r="I123" s="654">
        <f t="shared" ref="I123:BC123" si="294">I122+I117+I114+I107+I100+I93+I86+I79+I72+I65+I58+I56+I50+I46+I44+I42+I36+I30+I24+I18+I13</f>
        <v>339438715</v>
      </c>
      <c r="J123" s="655">
        <f t="shared" si="294"/>
        <v>244764209</v>
      </c>
      <c r="K123" s="655">
        <f t="shared" si="294"/>
        <v>1885500</v>
      </c>
      <c r="L123" s="655">
        <f t="shared" si="294"/>
        <v>83367600</v>
      </c>
      <c r="M123" s="655">
        <f t="shared" si="294"/>
        <v>4895281</v>
      </c>
      <c r="N123" s="655">
        <f t="shared" si="294"/>
        <v>4526125</v>
      </c>
      <c r="O123" s="656">
        <f t="shared" si="294"/>
        <v>515.35739999999998</v>
      </c>
      <c r="P123" s="656">
        <f t="shared" si="294"/>
        <v>363.58749999999998</v>
      </c>
      <c r="Q123" s="657">
        <f t="shared" si="294"/>
        <v>151.76990000000004</v>
      </c>
      <c r="R123" s="654">
        <f t="shared" si="294"/>
        <v>0</v>
      </c>
      <c r="S123" s="655">
        <f t="shared" si="294"/>
        <v>43306</v>
      </c>
      <c r="T123" s="655">
        <f t="shared" si="294"/>
        <v>-1504033</v>
      </c>
      <c r="U123" s="655">
        <f t="shared" si="294"/>
        <v>0</v>
      </c>
      <c r="V123" s="655">
        <f t="shared" si="294"/>
        <v>-370105</v>
      </c>
      <c r="W123" s="655">
        <f t="shared" si="294"/>
        <v>0</v>
      </c>
      <c r="X123" s="655">
        <f t="shared" si="294"/>
        <v>-1830832</v>
      </c>
      <c r="Y123" s="655">
        <f t="shared" si="294"/>
        <v>0</v>
      </c>
      <c r="Z123" s="655">
        <f t="shared" si="294"/>
        <v>0</v>
      </c>
      <c r="AA123" s="655">
        <f t="shared" si="294"/>
        <v>0</v>
      </c>
      <c r="AB123" s="655">
        <f t="shared" si="294"/>
        <v>0</v>
      </c>
      <c r="AC123" s="655">
        <f t="shared" si="294"/>
        <v>-1830832</v>
      </c>
      <c r="AD123" s="655">
        <f t="shared" si="294"/>
        <v>-618823</v>
      </c>
      <c r="AE123" s="655">
        <f t="shared" si="294"/>
        <v>-36617</v>
      </c>
      <c r="AF123" s="655">
        <f t="shared" si="294"/>
        <v>3000</v>
      </c>
      <c r="AG123" s="655">
        <f t="shared" si="294"/>
        <v>502604</v>
      </c>
      <c r="AH123" s="655">
        <f t="shared" si="294"/>
        <v>505604</v>
      </c>
      <c r="AI123" s="655">
        <f t="shared" si="294"/>
        <v>-1980668</v>
      </c>
      <c r="AJ123" s="656">
        <f t="shared" si="294"/>
        <v>0</v>
      </c>
      <c r="AK123" s="656">
        <f t="shared" si="294"/>
        <v>0</v>
      </c>
      <c r="AL123" s="656">
        <f t="shared" si="294"/>
        <v>0.13</v>
      </c>
      <c r="AM123" s="656">
        <f t="shared" si="294"/>
        <v>-2.29</v>
      </c>
      <c r="AN123" s="656">
        <f t="shared" si="294"/>
        <v>-0.5</v>
      </c>
      <c r="AO123" s="656">
        <f t="shared" si="294"/>
        <v>0</v>
      </c>
      <c r="AP123" s="656">
        <f t="shared" si="294"/>
        <v>0</v>
      </c>
      <c r="AQ123" s="656">
        <f t="shared" si="294"/>
        <v>0</v>
      </c>
      <c r="AR123" s="656">
        <f t="shared" si="294"/>
        <v>-2.16</v>
      </c>
      <c r="AS123" s="656">
        <f t="shared" si="294"/>
        <v>-0.5</v>
      </c>
      <c r="AT123" s="745">
        <f t="shared" si="294"/>
        <v>-2.66</v>
      </c>
      <c r="AU123" s="577">
        <f t="shared" si="294"/>
        <v>337458047</v>
      </c>
      <c r="AV123" s="573">
        <f t="shared" si="294"/>
        <v>242933377</v>
      </c>
      <c r="AW123" s="573">
        <f t="shared" si="294"/>
        <v>1885500</v>
      </c>
      <c r="AX123" s="573">
        <f t="shared" si="294"/>
        <v>82748777</v>
      </c>
      <c r="AY123" s="573">
        <f t="shared" si="294"/>
        <v>4858664</v>
      </c>
      <c r="AZ123" s="573">
        <f t="shared" si="294"/>
        <v>5031729</v>
      </c>
      <c r="BA123" s="574">
        <f t="shared" si="294"/>
        <v>512.69740000000002</v>
      </c>
      <c r="BB123" s="574">
        <f t="shared" si="294"/>
        <v>361.42750000000001</v>
      </c>
      <c r="BC123" s="576">
        <f t="shared" si="294"/>
        <v>151.26989999999998</v>
      </c>
    </row>
    <row r="124" spans="1:55" ht="12.75" customHeight="1" x14ac:dyDescent="0.25">
      <c r="B124" s="337"/>
      <c r="D124" s="337"/>
      <c r="E124" s="338"/>
      <c r="I124" s="490">
        <f>SUM(J123:N123)</f>
        <v>339438715</v>
      </c>
      <c r="J124" s="490"/>
      <c r="K124" s="490"/>
      <c r="L124" s="490"/>
      <c r="M124" s="490"/>
      <c r="N124" s="490"/>
      <c r="O124" s="491">
        <f>SUM(P123:Q123)</f>
        <v>515.35739999999998</v>
      </c>
      <c r="P124" s="491"/>
      <c r="Q124" s="491"/>
      <c r="R124" s="490">
        <f>Y123</f>
        <v>0</v>
      </c>
      <c r="S124" s="491"/>
      <c r="T124" s="491"/>
      <c r="U124" s="491"/>
      <c r="V124" s="491"/>
      <c r="W124" s="491"/>
      <c r="X124" s="497">
        <f>SUM(R123:W123)</f>
        <v>-1830832</v>
      </c>
      <c r="Y124" s="497">
        <f>R123</f>
        <v>0</v>
      </c>
      <c r="Z124" s="498"/>
      <c r="AA124" s="498"/>
      <c r="AB124" s="497">
        <f>SUM(Y123:AA123)</f>
        <v>0</v>
      </c>
      <c r="AC124" s="497">
        <f>X123+AB123</f>
        <v>-1830832</v>
      </c>
      <c r="AD124" s="499"/>
      <c r="AE124" s="499"/>
      <c r="AF124" s="498"/>
      <c r="AG124" s="498"/>
      <c r="AH124" s="497">
        <f>SUM(AF123:AG123)</f>
        <v>505604</v>
      </c>
      <c r="AI124" s="497">
        <f>AC123+AD123+AE123+AH123</f>
        <v>-1980668</v>
      </c>
      <c r="AJ124" s="500"/>
      <c r="AK124" s="500"/>
      <c r="AL124" s="500"/>
      <c r="AM124" s="500"/>
      <c r="AN124" s="500"/>
      <c r="AO124" s="500"/>
      <c r="AP124" s="500"/>
      <c r="AQ124" s="500"/>
      <c r="AR124" s="706">
        <f>AJ123+AL123+AM123+AO123+AP123</f>
        <v>-2.16</v>
      </c>
      <c r="AS124" s="706">
        <f>AK123+AN123+AQ123</f>
        <v>-0.5</v>
      </c>
      <c r="AT124" s="706">
        <f>SUM(AR123:AS123)</f>
        <v>-2.66</v>
      </c>
      <c r="AU124" s="490">
        <f>SUM(AV123:AZ123)</f>
        <v>337458047</v>
      </c>
      <c r="AV124" s="55"/>
      <c r="AW124" s="55"/>
      <c r="AX124" s="55"/>
      <c r="AY124" s="55"/>
      <c r="AZ124" s="55"/>
      <c r="BA124" s="491">
        <f>SUM(BB123:BC123)</f>
        <v>512.69740000000002</v>
      </c>
      <c r="BB124" s="93"/>
      <c r="BC124" s="93"/>
    </row>
    <row r="125" spans="1:55" ht="12.75" customHeight="1" thickBot="1" x14ac:dyDescent="0.3">
      <c r="B125" s="337"/>
      <c r="D125" s="337"/>
      <c r="E125" s="278"/>
      <c r="I125" s="91">
        <f>SUM(J126:N126)</f>
        <v>339438715</v>
      </c>
      <c r="J125" s="53"/>
      <c r="K125" s="53"/>
      <c r="L125" s="496"/>
      <c r="M125" s="496"/>
      <c r="N125" s="53"/>
      <c r="O125" s="92">
        <f>SUM(P126:Q126)</f>
        <v>515.3574000000001</v>
      </c>
      <c r="P125" s="183"/>
      <c r="Q125" s="183"/>
      <c r="R125" s="491"/>
      <c r="S125" s="491"/>
      <c r="T125" s="491"/>
      <c r="U125" s="491"/>
      <c r="V125" s="491"/>
      <c r="W125" s="491"/>
      <c r="X125" s="497">
        <f>SUM(R126:W126)</f>
        <v>-1830832</v>
      </c>
      <c r="Y125" s="498"/>
      <c r="Z125" s="498"/>
      <c r="AA125" s="498"/>
      <c r="AB125" s="497">
        <f>SUM(Y126:AA126)</f>
        <v>0</v>
      </c>
      <c r="AC125" s="497">
        <f>X126+AB126</f>
        <v>-1830832</v>
      </c>
      <c r="AD125" s="499"/>
      <c r="AE125" s="499"/>
      <c r="AF125" s="498"/>
      <c r="AG125" s="498"/>
      <c r="AH125" s="497">
        <f>SUM(AF126:AG126)</f>
        <v>505604</v>
      </c>
      <c r="AI125" s="497">
        <f>AC126+AD126+AE126+AH126</f>
        <v>-1980668</v>
      </c>
      <c r="AJ125" s="500"/>
      <c r="AK125" s="500"/>
      <c r="AL125" s="500"/>
      <c r="AM125" s="500"/>
      <c r="AN125" s="500"/>
      <c r="AO125" s="500"/>
      <c r="AP125" s="500"/>
      <c r="AQ125" s="500"/>
      <c r="AR125" s="663">
        <f>AJ126+AL126+AM126+AO126+AP126</f>
        <v>-2.16</v>
      </c>
      <c r="AS125" s="663">
        <f>AK126+AN126+AQ126</f>
        <v>-0.50000000000000011</v>
      </c>
      <c r="AT125" s="663">
        <f>SUM(AR126:AS126)</f>
        <v>-2.6599999999999997</v>
      </c>
      <c r="AU125" s="490">
        <f>SUM(AV126:AZ126)</f>
        <v>337458047</v>
      </c>
      <c r="AV125" s="55"/>
      <c r="AW125" s="55"/>
      <c r="AX125" s="55"/>
      <c r="AY125" s="55"/>
      <c r="AZ125" s="55"/>
      <c r="BA125" s="491">
        <f>SUM(BB126:BC126)</f>
        <v>512.69740000000002</v>
      </c>
      <c r="BB125" s="93"/>
      <c r="BC125" s="93"/>
    </row>
    <row r="126" spans="1:55" s="95" customFormat="1" ht="12.95" customHeight="1" thickBot="1" x14ac:dyDescent="0.3">
      <c r="D126" s="339"/>
      <c r="E126" s="340"/>
      <c r="F126" s="339"/>
      <c r="G126" s="341"/>
      <c r="H126" s="517" t="s">
        <v>0</v>
      </c>
      <c r="I126" s="146">
        <f t="shared" ref="I126:BC126" si="295">SUM(I127:I136)</f>
        <v>339438715</v>
      </c>
      <c r="J126" s="34">
        <f t="shared" si="295"/>
        <v>244764209</v>
      </c>
      <c r="K126" s="34">
        <f t="shared" si="295"/>
        <v>1885500</v>
      </c>
      <c r="L126" s="34">
        <f t="shared" si="295"/>
        <v>83367600</v>
      </c>
      <c r="M126" s="34">
        <f t="shared" si="295"/>
        <v>4895281</v>
      </c>
      <c r="N126" s="34">
        <f t="shared" si="295"/>
        <v>4526125</v>
      </c>
      <c r="O126" s="35">
        <f t="shared" si="295"/>
        <v>515.35739999999998</v>
      </c>
      <c r="P126" s="35">
        <f t="shared" si="295"/>
        <v>363.58750000000009</v>
      </c>
      <c r="Q126" s="155">
        <f t="shared" si="295"/>
        <v>151.76989999999998</v>
      </c>
      <c r="R126" s="146">
        <f t="shared" si="295"/>
        <v>0</v>
      </c>
      <c r="S126" s="34">
        <f t="shared" si="295"/>
        <v>43306</v>
      </c>
      <c r="T126" s="34">
        <f t="shared" si="295"/>
        <v>-1504033</v>
      </c>
      <c r="U126" s="34">
        <f t="shared" si="295"/>
        <v>0</v>
      </c>
      <c r="V126" s="34">
        <f t="shared" si="295"/>
        <v>-370105</v>
      </c>
      <c r="W126" s="34">
        <f t="shared" si="295"/>
        <v>0</v>
      </c>
      <c r="X126" s="34">
        <f t="shared" si="295"/>
        <v>-1830832</v>
      </c>
      <c r="Y126" s="34">
        <f t="shared" si="295"/>
        <v>0</v>
      </c>
      <c r="Z126" s="34">
        <f t="shared" si="295"/>
        <v>0</v>
      </c>
      <c r="AA126" s="34">
        <f t="shared" si="295"/>
        <v>0</v>
      </c>
      <c r="AB126" s="34">
        <f t="shared" si="295"/>
        <v>0</v>
      </c>
      <c r="AC126" s="34">
        <f t="shared" si="295"/>
        <v>-1830832</v>
      </c>
      <c r="AD126" s="34">
        <f t="shared" si="295"/>
        <v>-618823</v>
      </c>
      <c r="AE126" s="34">
        <f t="shared" si="295"/>
        <v>-36617</v>
      </c>
      <c r="AF126" s="34">
        <f t="shared" si="295"/>
        <v>3000</v>
      </c>
      <c r="AG126" s="34">
        <f t="shared" si="295"/>
        <v>502604</v>
      </c>
      <c r="AH126" s="34">
        <f t="shared" si="295"/>
        <v>505604</v>
      </c>
      <c r="AI126" s="34">
        <f t="shared" si="295"/>
        <v>-1980668</v>
      </c>
      <c r="AJ126" s="35">
        <f t="shared" si="295"/>
        <v>0</v>
      </c>
      <c r="AK126" s="35">
        <f t="shared" si="295"/>
        <v>0</v>
      </c>
      <c r="AL126" s="35">
        <f t="shared" si="295"/>
        <v>0.13</v>
      </c>
      <c r="AM126" s="35">
        <f t="shared" si="295"/>
        <v>-2.29</v>
      </c>
      <c r="AN126" s="35">
        <f t="shared" si="295"/>
        <v>-0.50000000000000011</v>
      </c>
      <c r="AO126" s="35">
        <f t="shared" si="295"/>
        <v>0</v>
      </c>
      <c r="AP126" s="35">
        <f t="shared" si="295"/>
        <v>0</v>
      </c>
      <c r="AQ126" s="35">
        <f t="shared" si="295"/>
        <v>0</v>
      </c>
      <c r="AR126" s="35">
        <f t="shared" si="295"/>
        <v>-2.1599999999999997</v>
      </c>
      <c r="AS126" s="35">
        <f t="shared" si="295"/>
        <v>-0.50000000000000011</v>
      </c>
      <c r="AT126" s="36">
        <f t="shared" si="295"/>
        <v>-2.6599999999999997</v>
      </c>
      <c r="AU126" s="156">
        <f t="shared" si="295"/>
        <v>337458047</v>
      </c>
      <c r="AV126" s="34">
        <f t="shared" si="295"/>
        <v>242933377</v>
      </c>
      <c r="AW126" s="34">
        <f t="shared" si="295"/>
        <v>1885500</v>
      </c>
      <c r="AX126" s="34">
        <f t="shared" si="295"/>
        <v>82748777</v>
      </c>
      <c r="AY126" s="34">
        <f t="shared" si="295"/>
        <v>4858664</v>
      </c>
      <c r="AZ126" s="34">
        <f t="shared" si="295"/>
        <v>5031729</v>
      </c>
      <c r="BA126" s="35">
        <f t="shared" si="295"/>
        <v>512.69740000000002</v>
      </c>
      <c r="BB126" s="35">
        <f t="shared" si="295"/>
        <v>361.42750000000007</v>
      </c>
      <c r="BC126" s="36">
        <f t="shared" si="295"/>
        <v>151.26990000000001</v>
      </c>
    </row>
    <row r="127" spans="1:55" s="95" customFormat="1" ht="12.95" customHeight="1" x14ac:dyDescent="0.25">
      <c r="D127" s="339"/>
      <c r="E127" s="340"/>
      <c r="F127" s="339"/>
      <c r="G127" s="341"/>
      <c r="H127" s="518">
        <v>3111</v>
      </c>
      <c r="I127" s="618">
        <f t="shared" ref="I127:BC127" si="296">SUMIF($F$12:$F$463,"=3111",I$12:I$463)</f>
        <v>64304065</v>
      </c>
      <c r="J127" s="619">
        <f t="shared" si="296"/>
        <v>46843805</v>
      </c>
      <c r="K127" s="619">
        <f t="shared" si="296"/>
        <v>241240</v>
      </c>
      <c r="L127" s="619">
        <f t="shared" si="296"/>
        <v>15914744</v>
      </c>
      <c r="M127" s="619">
        <f t="shared" si="296"/>
        <v>936876</v>
      </c>
      <c r="N127" s="619">
        <f t="shared" si="296"/>
        <v>367400</v>
      </c>
      <c r="O127" s="624">
        <f t="shared" si="296"/>
        <v>107.17799999999998</v>
      </c>
      <c r="P127" s="624">
        <f t="shared" si="296"/>
        <v>82.298400000000001</v>
      </c>
      <c r="Q127" s="625">
        <f t="shared" si="296"/>
        <v>24.879599999999996</v>
      </c>
      <c r="R127" s="618">
        <f t="shared" si="296"/>
        <v>0</v>
      </c>
      <c r="S127" s="619">
        <f t="shared" si="296"/>
        <v>0</v>
      </c>
      <c r="T127" s="619">
        <f t="shared" si="296"/>
        <v>-293774</v>
      </c>
      <c r="U127" s="619">
        <f t="shared" si="296"/>
        <v>0</v>
      </c>
      <c r="V127" s="619">
        <f t="shared" si="296"/>
        <v>0</v>
      </c>
      <c r="W127" s="619">
        <f t="shared" si="296"/>
        <v>0</v>
      </c>
      <c r="X127" s="619">
        <f t="shared" si="296"/>
        <v>-293774</v>
      </c>
      <c r="Y127" s="619">
        <f t="shared" si="296"/>
        <v>0</v>
      </c>
      <c r="Z127" s="619">
        <f t="shared" si="296"/>
        <v>0</v>
      </c>
      <c r="AA127" s="619">
        <f t="shared" si="296"/>
        <v>0</v>
      </c>
      <c r="AB127" s="619">
        <f t="shared" si="296"/>
        <v>0</v>
      </c>
      <c r="AC127" s="619">
        <f t="shared" si="296"/>
        <v>-293774</v>
      </c>
      <c r="AD127" s="619">
        <f t="shared" si="296"/>
        <v>-99296</v>
      </c>
      <c r="AE127" s="619">
        <f t="shared" si="296"/>
        <v>-5875</v>
      </c>
      <c r="AF127" s="619">
        <f t="shared" si="296"/>
        <v>0</v>
      </c>
      <c r="AG127" s="619">
        <f t="shared" si="296"/>
        <v>0</v>
      </c>
      <c r="AH127" s="619">
        <f t="shared" si="296"/>
        <v>0</v>
      </c>
      <c r="AI127" s="619">
        <f t="shared" si="296"/>
        <v>-398945</v>
      </c>
      <c r="AJ127" s="624">
        <f t="shared" si="296"/>
        <v>0</v>
      </c>
      <c r="AK127" s="624">
        <f t="shared" si="296"/>
        <v>0</v>
      </c>
      <c r="AL127" s="624">
        <f t="shared" si="296"/>
        <v>0</v>
      </c>
      <c r="AM127" s="624">
        <f t="shared" si="296"/>
        <v>-0.59</v>
      </c>
      <c r="AN127" s="624">
        <f t="shared" si="296"/>
        <v>0</v>
      </c>
      <c r="AO127" s="624">
        <f t="shared" si="296"/>
        <v>0</v>
      </c>
      <c r="AP127" s="624">
        <f t="shared" si="296"/>
        <v>0</v>
      </c>
      <c r="AQ127" s="624">
        <f t="shared" si="296"/>
        <v>0</v>
      </c>
      <c r="AR127" s="624">
        <f t="shared" si="296"/>
        <v>-0.59</v>
      </c>
      <c r="AS127" s="624">
        <f t="shared" si="296"/>
        <v>0</v>
      </c>
      <c r="AT127" s="627">
        <f t="shared" si="296"/>
        <v>-0.59</v>
      </c>
      <c r="AU127" s="620">
        <f t="shared" si="296"/>
        <v>63905120</v>
      </c>
      <c r="AV127" s="619">
        <f t="shared" si="296"/>
        <v>46550031</v>
      </c>
      <c r="AW127" s="619">
        <f t="shared" si="296"/>
        <v>241240</v>
      </c>
      <c r="AX127" s="619">
        <f t="shared" si="296"/>
        <v>15815448</v>
      </c>
      <c r="AY127" s="619">
        <f t="shared" si="296"/>
        <v>931001</v>
      </c>
      <c r="AZ127" s="619">
        <f t="shared" si="296"/>
        <v>367400</v>
      </c>
      <c r="BA127" s="624">
        <f t="shared" si="296"/>
        <v>106.58799999999998</v>
      </c>
      <c r="BB127" s="624">
        <f t="shared" si="296"/>
        <v>81.708400000000012</v>
      </c>
      <c r="BC127" s="627">
        <f t="shared" si="296"/>
        <v>24.879599999999996</v>
      </c>
    </row>
    <row r="128" spans="1:55" s="95" customFormat="1" ht="12.95" customHeight="1" x14ac:dyDescent="0.25">
      <c r="D128" s="339"/>
      <c r="E128" s="340"/>
      <c r="F128" s="339"/>
      <c r="G128" s="341"/>
      <c r="H128" s="2">
        <v>3113</v>
      </c>
      <c r="I128" s="174">
        <f t="shared" ref="I128:BC128" si="297">SUMIF($F$12:$F$463,"=3113",I$12:I$463)</f>
        <v>164349822</v>
      </c>
      <c r="J128" s="16">
        <f t="shared" si="297"/>
        <v>118278346</v>
      </c>
      <c r="K128" s="16">
        <f t="shared" si="297"/>
        <v>475790</v>
      </c>
      <c r="L128" s="16">
        <f t="shared" si="297"/>
        <v>40138899</v>
      </c>
      <c r="M128" s="16">
        <f t="shared" si="297"/>
        <v>2365567</v>
      </c>
      <c r="N128" s="16">
        <f t="shared" si="297"/>
        <v>3091220</v>
      </c>
      <c r="O128" s="13">
        <f t="shared" si="297"/>
        <v>225.0308</v>
      </c>
      <c r="P128" s="13">
        <f t="shared" si="297"/>
        <v>182.15570000000002</v>
      </c>
      <c r="Q128" s="176">
        <f t="shared" si="297"/>
        <v>42.875099999999996</v>
      </c>
      <c r="R128" s="174">
        <f t="shared" si="297"/>
        <v>0</v>
      </c>
      <c r="S128" s="16">
        <f t="shared" si="297"/>
        <v>43306</v>
      </c>
      <c r="T128" s="16">
        <f t="shared" si="297"/>
        <v>-906451</v>
      </c>
      <c r="U128" s="16">
        <f t="shared" si="297"/>
        <v>0</v>
      </c>
      <c r="V128" s="16">
        <f t="shared" si="297"/>
        <v>-270694</v>
      </c>
      <c r="W128" s="16">
        <f t="shared" si="297"/>
        <v>0</v>
      </c>
      <c r="X128" s="16">
        <f t="shared" si="297"/>
        <v>-1133839</v>
      </c>
      <c r="Y128" s="16">
        <f t="shared" si="297"/>
        <v>0</v>
      </c>
      <c r="Z128" s="16">
        <f t="shared" si="297"/>
        <v>0</v>
      </c>
      <c r="AA128" s="16">
        <f t="shared" si="297"/>
        <v>0</v>
      </c>
      <c r="AB128" s="16">
        <f t="shared" si="297"/>
        <v>0</v>
      </c>
      <c r="AC128" s="16">
        <f t="shared" si="297"/>
        <v>-1133839</v>
      </c>
      <c r="AD128" s="16">
        <f t="shared" si="297"/>
        <v>-383238</v>
      </c>
      <c r="AE128" s="16">
        <f t="shared" si="297"/>
        <v>-22677</v>
      </c>
      <c r="AF128" s="16">
        <f t="shared" si="297"/>
        <v>3000</v>
      </c>
      <c r="AG128" s="16">
        <f t="shared" si="297"/>
        <v>367603</v>
      </c>
      <c r="AH128" s="16">
        <f t="shared" si="297"/>
        <v>370603</v>
      </c>
      <c r="AI128" s="16">
        <f t="shared" si="297"/>
        <v>-1169151</v>
      </c>
      <c r="AJ128" s="13">
        <f t="shared" si="297"/>
        <v>0</v>
      </c>
      <c r="AK128" s="13">
        <f t="shared" si="297"/>
        <v>0</v>
      </c>
      <c r="AL128" s="13">
        <f t="shared" si="297"/>
        <v>0.13</v>
      </c>
      <c r="AM128" s="13">
        <f t="shared" si="297"/>
        <v>-1.4400000000000002</v>
      </c>
      <c r="AN128" s="13">
        <f t="shared" si="297"/>
        <v>0</v>
      </c>
      <c r="AO128" s="13">
        <f t="shared" si="297"/>
        <v>0</v>
      </c>
      <c r="AP128" s="13">
        <f t="shared" si="297"/>
        <v>0</v>
      </c>
      <c r="AQ128" s="13">
        <f t="shared" si="297"/>
        <v>0</v>
      </c>
      <c r="AR128" s="13">
        <f t="shared" si="297"/>
        <v>-1.31</v>
      </c>
      <c r="AS128" s="13">
        <f t="shared" si="297"/>
        <v>0</v>
      </c>
      <c r="AT128" s="17">
        <f t="shared" si="297"/>
        <v>-1.31</v>
      </c>
      <c r="AU128" s="175">
        <f t="shared" si="297"/>
        <v>163180671</v>
      </c>
      <c r="AV128" s="16">
        <f t="shared" si="297"/>
        <v>117144507</v>
      </c>
      <c r="AW128" s="16">
        <f t="shared" si="297"/>
        <v>475790</v>
      </c>
      <c r="AX128" s="16">
        <f t="shared" si="297"/>
        <v>39755661</v>
      </c>
      <c r="AY128" s="16">
        <f t="shared" si="297"/>
        <v>2342890</v>
      </c>
      <c r="AZ128" s="16">
        <f t="shared" si="297"/>
        <v>3461823</v>
      </c>
      <c r="BA128" s="13">
        <f t="shared" si="297"/>
        <v>223.72080000000003</v>
      </c>
      <c r="BB128" s="13">
        <f t="shared" si="297"/>
        <v>180.84570000000002</v>
      </c>
      <c r="BC128" s="17">
        <f t="shared" si="297"/>
        <v>42.875099999999996</v>
      </c>
    </row>
    <row r="129" spans="4:55" s="95" customFormat="1" ht="12.95" customHeight="1" x14ac:dyDescent="0.25">
      <c r="D129" s="339"/>
      <c r="E129" s="340"/>
      <c r="F129" s="339"/>
      <c r="G129" s="341"/>
      <c r="H129" s="2">
        <v>3114</v>
      </c>
      <c r="I129" s="174">
        <f t="shared" ref="I129:BC129" si="298">SUMIF($F$12:$F$463,"=3114",I$12:I$463)</f>
        <v>9457888</v>
      </c>
      <c r="J129" s="16">
        <f t="shared" si="298"/>
        <v>6794430</v>
      </c>
      <c r="K129" s="16">
        <f t="shared" si="298"/>
        <v>54000</v>
      </c>
      <c r="L129" s="16">
        <f t="shared" si="298"/>
        <v>2314769</v>
      </c>
      <c r="M129" s="16">
        <f t="shared" si="298"/>
        <v>135889</v>
      </c>
      <c r="N129" s="16">
        <f t="shared" si="298"/>
        <v>158800</v>
      </c>
      <c r="O129" s="13">
        <f t="shared" si="298"/>
        <v>12.678099999999999</v>
      </c>
      <c r="P129" s="13">
        <f t="shared" si="298"/>
        <v>9.3156999999999996</v>
      </c>
      <c r="Q129" s="176">
        <f t="shared" si="298"/>
        <v>3.3624000000000001</v>
      </c>
      <c r="R129" s="174">
        <f t="shared" si="298"/>
        <v>0</v>
      </c>
      <c r="S129" s="16">
        <f t="shared" si="298"/>
        <v>0</v>
      </c>
      <c r="T129" s="16">
        <f t="shared" si="298"/>
        <v>0</v>
      </c>
      <c r="U129" s="16">
        <f t="shared" si="298"/>
        <v>0</v>
      </c>
      <c r="V129" s="16">
        <f t="shared" si="298"/>
        <v>0</v>
      </c>
      <c r="W129" s="16">
        <f t="shared" si="298"/>
        <v>0</v>
      </c>
      <c r="X129" s="16">
        <f t="shared" si="298"/>
        <v>0</v>
      </c>
      <c r="Y129" s="16">
        <f t="shared" si="298"/>
        <v>0</v>
      </c>
      <c r="Z129" s="16">
        <f t="shared" si="298"/>
        <v>0</v>
      </c>
      <c r="AA129" s="16">
        <f t="shared" si="298"/>
        <v>0</v>
      </c>
      <c r="AB129" s="16">
        <f t="shared" si="298"/>
        <v>0</v>
      </c>
      <c r="AC129" s="16">
        <f t="shared" si="298"/>
        <v>0</v>
      </c>
      <c r="AD129" s="16">
        <f t="shared" si="298"/>
        <v>0</v>
      </c>
      <c r="AE129" s="16">
        <f t="shared" si="298"/>
        <v>0</v>
      </c>
      <c r="AF129" s="16">
        <f t="shared" si="298"/>
        <v>0</v>
      </c>
      <c r="AG129" s="16">
        <f t="shared" si="298"/>
        <v>0</v>
      </c>
      <c r="AH129" s="16">
        <f t="shared" si="298"/>
        <v>0</v>
      </c>
      <c r="AI129" s="16">
        <f t="shared" si="298"/>
        <v>0</v>
      </c>
      <c r="AJ129" s="13">
        <f t="shared" si="298"/>
        <v>0</v>
      </c>
      <c r="AK129" s="13">
        <f t="shared" si="298"/>
        <v>0</v>
      </c>
      <c r="AL129" s="13">
        <f t="shared" si="298"/>
        <v>0</v>
      </c>
      <c r="AM129" s="13">
        <f t="shared" si="298"/>
        <v>0</v>
      </c>
      <c r="AN129" s="13">
        <f t="shared" si="298"/>
        <v>0</v>
      </c>
      <c r="AO129" s="13">
        <f t="shared" si="298"/>
        <v>0</v>
      </c>
      <c r="AP129" s="13">
        <f t="shared" si="298"/>
        <v>0</v>
      </c>
      <c r="AQ129" s="13">
        <f t="shared" si="298"/>
        <v>0</v>
      </c>
      <c r="AR129" s="13">
        <f t="shared" si="298"/>
        <v>0</v>
      </c>
      <c r="AS129" s="13">
        <f t="shared" si="298"/>
        <v>0</v>
      </c>
      <c r="AT129" s="17">
        <f t="shared" si="298"/>
        <v>0</v>
      </c>
      <c r="AU129" s="175">
        <f t="shared" si="298"/>
        <v>9457888</v>
      </c>
      <c r="AV129" s="16">
        <f t="shared" si="298"/>
        <v>6794430</v>
      </c>
      <c r="AW129" s="16">
        <f t="shared" si="298"/>
        <v>54000</v>
      </c>
      <c r="AX129" s="16">
        <f t="shared" si="298"/>
        <v>2314769</v>
      </c>
      <c r="AY129" s="16">
        <f t="shared" si="298"/>
        <v>135889</v>
      </c>
      <c r="AZ129" s="16">
        <f t="shared" si="298"/>
        <v>158800</v>
      </c>
      <c r="BA129" s="13">
        <f t="shared" si="298"/>
        <v>12.678099999999999</v>
      </c>
      <c r="BB129" s="13">
        <f t="shared" si="298"/>
        <v>9.3156999999999996</v>
      </c>
      <c r="BC129" s="17">
        <f t="shared" si="298"/>
        <v>3.3624000000000001</v>
      </c>
    </row>
    <row r="130" spans="4:55" s="95" customFormat="1" ht="12.95" customHeight="1" x14ac:dyDescent="0.25">
      <c r="D130" s="339"/>
      <c r="E130" s="340"/>
      <c r="F130" s="339"/>
      <c r="G130" s="341"/>
      <c r="H130" s="2">
        <v>3117</v>
      </c>
      <c r="I130" s="174">
        <f t="shared" ref="I130:BC130" si="299">SUMIF($F$12:$F$463,"=3117",I$12:I$463)</f>
        <v>34391603</v>
      </c>
      <c r="J130" s="16">
        <f t="shared" si="299"/>
        <v>24497087</v>
      </c>
      <c r="K130" s="16">
        <f t="shared" si="299"/>
        <v>394620</v>
      </c>
      <c r="L130" s="16">
        <f t="shared" si="299"/>
        <v>8413397</v>
      </c>
      <c r="M130" s="16">
        <f t="shared" si="299"/>
        <v>489938</v>
      </c>
      <c r="N130" s="16">
        <f t="shared" si="299"/>
        <v>596561</v>
      </c>
      <c r="O130" s="13">
        <f t="shared" si="299"/>
        <v>50.187600000000003</v>
      </c>
      <c r="P130" s="13">
        <f t="shared" si="299"/>
        <v>38.389800000000008</v>
      </c>
      <c r="Q130" s="176">
        <f t="shared" si="299"/>
        <v>11.797800000000001</v>
      </c>
      <c r="R130" s="174">
        <f t="shared" si="299"/>
        <v>0</v>
      </c>
      <c r="S130" s="16">
        <f t="shared" si="299"/>
        <v>0</v>
      </c>
      <c r="T130" s="16">
        <f t="shared" si="299"/>
        <v>-92373</v>
      </c>
      <c r="U130" s="16">
        <f t="shared" si="299"/>
        <v>0</v>
      </c>
      <c r="V130" s="16">
        <f t="shared" si="299"/>
        <v>-63329</v>
      </c>
      <c r="W130" s="16">
        <f t="shared" si="299"/>
        <v>0</v>
      </c>
      <c r="X130" s="16">
        <f t="shared" si="299"/>
        <v>-155702</v>
      </c>
      <c r="Y130" s="16">
        <f t="shared" si="299"/>
        <v>0</v>
      </c>
      <c r="Z130" s="16">
        <f t="shared" si="299"/>
        <v>0</v>
      </c>
      <c r="AA130" s="16">
        <f t="shared" si="299"/>
        <v>0</v>
      </c>
      <c r="AB130" s="16">
        <f t="shared" si="299"/>
        <v>0</v>
      </c>
      <c r="AC130" s="16">
        <f t="shared" si="299"/>
        <v>-155702</v>
      </c>
      <c r="AD130" s="16">
        <f t="shared" si="299"/>
        <v>-52627</v>
      </c>
      <c r="AE130" s="16">
        <f t="shared" si="299"/>
        <v>-3114</v>
      </c>
      <c r="AF130" s="16">
        <f t="shared" si="299"/>
        <v>0</v>
      </c>
      <c r="AG130" s="16">
        <f t="shared" si="299"/>
        <v>86001</v>
      </c>
      <c r="AH130" s="16">
        <f t="shared" si="299"/>
        <v>86001</v>
      </c>
      <c r="AI130" s="16">
        <f t="shared" si="299"/>
        <v>-125442</v>
      </c>
      <c r="AJ130" s="13">
        <f t="shared" si="299"/>
        <v>0</v>
      </c>
      <c r="AK130" s="13">
        <f t="shared" si="299"/>
        <v>0</v>
      </c>
      <c r="AL130" s="13">
        <f t="shared" si="299"/>
        <v>0</v>
      </c>
      <c r="AM130" s="13">
        <f t="shared" si="299"/>
        <v>-0.15</v>
      </c>
      <c r="AN130" s="13">
        <f t="shared" si="299"/>
        <v>0</v>
      </c>
      <c r="AO130" s="13">
        <f t="shared" si="299"/>
        <v>0</v>
      </c>
      <c r="AP130" s="13">
        <f t="shared" si="299"/>
        <v>0</v>
      </c>
      <c r="AQ130" s="13">
        <f t="shared" si="299"/>
        <v>0</v>
      </c>
      <c r="AR130" s="13">
        <f t="shared" si="299"/>
        <v>-0.15</v>
      </c>
      <c r="AS130" s="13">
        <f t="shared" si="299"/>
        <v>0</v>
      </c>
      <c r="AT130" s="17">
        <f t="shared" si="299"/>
        <v>-0.15</v>
      </c>
      <c r="AU130" s="175">
        <f t="shared" si="299"/>
        <v>34266161</v>
      </c>
      <c r="AV130" s="16">
        <f t="shared" si="299"/>
        <v>24341385</v>
      </c>
      <c r="AW130" s="16">
        <f t="shared" si="299"/>
        <v>394620</v>
      </c>
      <c r="AX130" s="16">
        <f t="shared" si="299"/>
        <v>8360770</v>
      </c>
      <c r="AY130" s="16">
        <f t="shared" si="299"/>
        <v>486824</v>
      </c>
      <c r="AZ130" s="16">
        <f t="shared" si="299"/>
        <v>682562</v>
      </c>
      <c r="BA130" s="13">
        <f t="shared" si="299"/>
        <v>50.037599999999998</v>
      </c>
      <c r="BB130" s="13">
        <f t="shared" si="299"/>
        <v>38.239800000000002</v>
      </c>
      <c r="BC130" s="17">
        <f t="shared" si="299"/>
        <v>11.797800000000001</v>
      </c>
    </row>
    <row r="131" spans="4:55" s="95" customFormat="1" ht="12.95" customHeight="1" x14ac:dyDescent="0.25">
      <c r="D131" s="339"/>
      <c r="E131" s="340"/>
      <c r="F131" s="339"/>
      <c r="G131" s="341"/>
      <c r="H131" s="2">
        <v>3122</v>
      </c>
      <c r="I131" s="174">
        <f t="shared" ref="I131:BC131" si="300">SUMIF($F$12:$F$463,"=3122",I$12:I$463)</f>
        <v>0</v>
      </c>
      <c r="J131" s="16">
        <f t="shared" si="300"/>
        <v>0</v>
      </c>
      <c r="K131" s="16">
        <f t="shared" si="300"/>
        <v>0</v>
      </c>
      <c r="L131" s="16">
        <f t="shared" si="300"/>
        <v>0</v>
      </c>
      <c r="M131" s="16">
        <f t="shared" si="300"/>
        <v>0</v>
      </c>
      <c r="N131" s="16">
        <f t="shared" si="300"/>
        <v>0</v>
      </c>
      <c r="O131" s="13">
        <f t="shared" si="300"/>
        <v>0</v>
      </c>
      <c r="P131" s="13">
        <f t="shared" si="300"/>
        <v>0</v>
      </c>
      <c r="Q131" s="176">
        <f t="shared" si="300"/>
        <v>0</v>
      </c>
      <c r="R131" s="174">
        <f t="shared" si="300"/>
        <v>0</v>
      </c>
      <c r="S131" s="16">
        <f t="shared" si="300"/>
        <v>0</v>
      </c>
      <c r="T131" s="16">
        <f t="shared" si="300"/>
        <v>0</v>
      </c>
      <c r="U131" s="16">
        <f t="shared" si="300"/>
        <v>0</v>
      </c>
      <c r="V131" s="16">
        <f t="shared" si="300"/>
        <v>0</v>
      </c>
      <c r="W131" s="16">
        <f t="shared" si="300"/>
        <v>0</v>
      </c>
      <c r="X131" s="16">
        <f t="shared" si="300"/>
        <v>0</v>
      </c>
      <c r="Y131" s="16">
        <f t="shared" si="300"/>
        <v>0</v>
      </c>
      <c r="Z131" s="16">
        <f t="shared" si="300"/>
        <v>0</v>
      </c>
      <c r="AA131" s="16">
        <f t="shared" si="300"/>
        <v>0</v>
      </c>
      <c r="AB131" s="16">
        <f t="shared" si="300"/>
        <v>0</v>
      </c>
      <c r="AC131" s="16">
        <f t="shared" si="300"/>
        <v>0</v>
      </c>
      <c r="AD131" s="16">
        <f t="shared" si="300"/>
        <v>0</v>
      </c>
      <c r="AE131" s="16">
        <f t="shared" si="300"/>
        <v>0</v>
      </c>
      <c r="AF131" s="16">
        <f t="shared" si="300"/>
        <v>0</v>
      </c>
      <c r="AG131" s="16">
        <f t="shared" si="300"/>
        <v>0</v>
      </c>
      <c r="AH131" s="16">
        <f t="shared" si="300"/>
        <v>0</v>
      </c>
      <c r="AI131" s="16">
        <f t="shared" si="300"/>
        <v>0</v>
      </c>
      <c r="AJ131" s="13">
        <f t="shared" si="300"/>
        <v>0</v>
      </c>
      <c r="AK131" s="13">
        <f t="shared" si="300"/>
        <v>0</v>
      </c>
      <c r="AL131" s="13">
        <f t="shared" si="300"/>
        <v>0</v>
      </c>
      <c r="AM131" s="13">
        <f t="shared" si="300"/>
        <v>0</v>
      </c>
      <c r="AN131" s="13">
        <f t="shared" si="300"/>
        <v>0</v>
      </c>
      <c r="AO131" s="13">
        <f t="shared" si="300"/>
        <v>0</v>
      </c>
      <c r="AP131" s="13">
        <f t="shared" si="300"/>
        <v>0</v>
      </c>
      <c r="AQ131" s="13">
        <f t="shared" si="300"/>
        <v>0</v>
      </c>
      <c r="AR131" s="13">
        <f t="shared" si="300"/>
        <v>0</v>
      </c>
      <c r="AS131" s="13">
        <f t="shared" si="300"/>
        <v>0</v>
      </c>
      <c r="AT131" s="17">
        <f t="shared" si="300"/>
        <v>0</v>
      </c>
      <c r="AU131" s="175">
        <f t="shared" si="300"/>
        <v>0</v>
      </c>
      <c r="AV131" s="16">
        <f t="shared" si="300"/>
        <v>0</v>
      </c>
      <c r="AW131" s="16">
        <f t="shared" si="300"/>
        <v>0</v>
      </c>
      <c r="AX131" s="16">
        <f t="shared" si="300"/>
        <v>0</v>
      </c>
      <c r="AY131" s="16">
        <f t="shared" si="300"/>
        <v>0</v>
      </c>
      <c r="AZ131" s="16">
        <f t="shared" si="300"/>
        <v>0</v>
      </c>
      <c r="BA131" s="13">
        <f t="shared" si="300"/>
        <v>0</v>
      </c>
      <c r="BB131" s="13">
        <f t="shared" si="300"/>
        <v>0</v>
      </c>
      <c r="BC131" s="17">
        <f t="shared" si="300"/>
        <v>0</v>
      </c>
    </row>
    <row r="132" spans="4:55" s="95" customFormat="1" ht="12.95" customHeight="1" x14ac:dyDescent="0.25">
      <c r="D132" s="339"/>
      <c r="E132" s="340"/>
      <c r="F132" s="339"/>
      <c r="G132" s="341"/>
      <c r="H132" s="2">
        <v>3124</v>
      </c>
      <c r="I132" s="174">
        <f t="shared" ref="I132:BC132" si="301">SUMIF($F$12:$F$463,"=3124",I$12:I$463)</f>
        <v>0</v>
      </c>
      <c r="J132" s="16">
        <f t="shared" si="301"/>
        <v>0</v>
      </c>
      <c r="K132" s="16">
        <f t="shared" si="301"/>
        <v>0</v>
      </c>
      <c r="L132" s="16">
        <f t="shared" si="301"/>
        <v>0</v>
      </c>
      <c r="M132" s="16">
        <f t="shared" si="301"/>
        <v>0</v>
      </c>
      <c r="N132" s="16">
        <f t="shared" si="301"/>
        <v>0</v>
      </c>
      <c r="O132" s="13">
        <f t="shared" si="301"/>
        <v>0</v>
      </c>
      <c r="P132" s="13">
        <f t="shared" si="301"/>
        <v>0</v>
      </c>
      <c r="Q132" s="176">
        <f t="shared" si="301"/>
        <v>0</v>
      </c>
      <c r="R132" s="174">
        <f t="shared" si="301"/>
        <v>0</v>
      </c>
      <c r="S132" s="16">
        <f t="shared" si="301"/>
        <v>0</v>
      </c>
      <c r="T132" s="16">
        <f t="shared" si="301"/>
        <v>0</v>
      </c>
      <c r="U132" s="16">
        <f t="shared" si="301"/>
        <v>0</v>
      </c>
      <c r="V132" s="16">
        <f t="shared" si="301"/>
        <v>0</v>
      </c>
      <c r="W132" s="16">
        <f t="shared" si="301"/>
        <v>0</v>
      </c>
      <c r="X132" s="16">
        <f t="shared" si="301"/>
        <v>0</v>
      </c>
      <c r="Y132" s="16">
        <f t="shared" si="301"/>
        <v>0</v>
      </c>
      <c r="Z132" s="16">
        <f t="shared" si="301"/>
        <v>0</v>
      </c>
      <c r="AA132" s="16">
        <f t="shared" si="301"/>
        <v>0</v>
      </c>
      <c r="AB132" s="16">
        <f t="shared" si="301"/>
        <v>0</v>
      </c>
      <c r="AC132" s="16">
        <f t="shared" si="301"/>
        <v>0</v>
      </c>
      <c r="AD132" s="16">
        <f t="shared" si="301"/>
        <v>0</v>
      </c>
      <c r="AE132" s="16">
        <f t="shared" si="301"/>
        <v>0</v>
      </c>
      <c r="AF132" s="16">
        <f t="shared" si="301"/>
        <v>0</v>
      </c>
      <c r="AG132" s="16">
        <f t="shared" si="301"/>
        <v>0</v>
      </c>
      <c r="AH132" s="16">
        <f t="shared" si="301"/>
        <v>0</v>
      </c>
      <c r="AI132" s="16">
        <f t="shared" si="301"/>
        <v>0</v>
      </c>
      <c r="AJ132" s="13">
        <f t="shared" si="301"/>
        <v>0</v>
      </c>
      <c r="AK132" s="13">
        <f t="shared" si="301"/>
        <v>0</v>
      </c>
      <c r="AL132" s="13">
        <f t="shared" si="301"/>
        <v>0</v>
      </c>
      <c r="AM132" s="13">
        <f t="shared" si="301"/>
        <v>0</v>
      </c>
      <c r="AN132" s="13">
        <f t="shared" si="301"/>
        <v>0</v>
      </c>
      <c r="AO132" s="13">
        <f t="shared" si="301"/>
        <v>0</v>
      </c>
      <c r="AP132" s="13">
        <f t="shared" si="301"/>
        <v>0</v>
      </c>
      <c r="AQ132" s="13">
        <f t="shared" si="301"/>
        <v>0</v>
      </c>
      <c r="AR132" s="13">
        <f t="shared" si="301"/>
        <v>0</v>
      </c>
      <c r="AS132" s="13">
        <f t="shared" si="301"/>
        <v>0</v>
      </c>
      <c r="AT132" s="17">
        <f t="shared" si="301"/>
        <v>0</v>
      </c>
      <c r="AU132" s="175">
        <f t="shared" si="301"/>
        <v>0</v>
      </c>
      <c r="AV132" s="16">
        <f t="shared" si="301"/>
        <v>0</v>
      </c>
      <c r="AW132" s="16">
        <f t="shared" si="301"/>
        <v>0</v>
      </c>
      <c r="AX132" s="16">
        <f t="shared" si="301"/>
        <v>0</v>
      </c>
      <c r="AY132" s="16">
        <f t="shared" si="301"/>
        <v>0</v>
      </c>
      <c r="AZ132" s="16">
        <f t="shared" si="301"/>
        <v>0</v>
      </c>
      <c r="BA132" s="13">
        <f t="shared" si="301"/>
        <v>0</v>
      </c>
      <c r="BB132" s="13">
        <f t="shared" si="301"/>
        <v>0</v>
      </c>
      <c r="BC132" s="17">
        <f t="shared" si="301"/>
        <v>0</v>
      </c>
    </row>
    <row r="133" spans="4:55" s="95" customFormat="1" ht="12.95" customHeight="1" x14ac:dyDescent="0.25">
      <c r="D133" s="339"/>
      <c r="E133" s="340"/>
      <c r="F133" s="339"/>
      <c r="G133" s="341"/>
      <c r="H133" s="2">
        <v>3141</v>
      </c>
      <c r="I133" s="174">
        <f t="shared" ref="I133:BC133" si="302">SUMIF($F$12:$F$463,"=3141",I$12:I$463)</f>
        <v>26137031</v>
      </c>
      <c r="J133" s="16">
        <f t="shared" si="302"/>
        <v>19013763</v>
      </c>
      <c r="K133" s="16">
        <f t="shared" si="302"/>
        <v>106950</v>
      </c>
      <c r="L133" s="16">
        <f t="shared" si="302"/>
        <v>6462800</v>
      </c>
      <c r="M133" s="16">
        <f t="shared" si="302"/>
        <v>380274</v>
      </c>
      <c r="N133" s="16">
        <f t="shared" si="302"/>
        <v>173244</v>
      </c>
      <c r="O133" s="13">
        <f t="shared" si="302"/>
        <v>60.18</v>
      </c>
      <c r="P133" s="13">
        <f t="shared" si="302"/>
        <v>0</v>
      </c>
      <c r="Q133" s="176">
        <f t="shared" si="302"/>
        <v>60.18</v>
      </c>
      <c r="R133" s="174">
        <f t="shared" si="302"/>
        <v>0</v>
      </c>
      <c r="S133" s="16">
        <f t="shared" si="302"/>
        <v>0</v>
      </c>
      <c r="T133" s="16">
        <f t="shared" si="302"/>
        <v>-157252</v>
      </c>
      <c r="U133" s="16">
        <f t="shared" si="302"/>
        <v>0</v>
      </c>
      <c r="V133" s="16">
        <f t="shared" si="302"/>
        <v>0</v>
      </c>
      <c r="W133" s="16">
        <f t="shared" si="302"/>
        <v>0</v>
      </c>
      <c r="X133" s="16">
        <f t="shared" si="302"/>
        <v>-157252</v>
      </c>
      <c r="Y133" s="16">
        <f t="shared" si="302"/>
        <v>0</v>
      </c>
      <c r="Z133" s="16">
        <f t="shared" si="302"/>
        <v>0</v>
      </c>
      <c r="AA133" s="16">
        <f t="shared" si="302"/>
        <v>0</v>
      </c>
      <c r="AB133" s="16">
        <f t="shared" si="302"/>
        <v>0</v>
      </c>
      <c r="AC133" s="16">
        <f t="shared" si="302"/>
        <v>-157252</v>
      </c>
      <c r="AD133" s="16">
        <f t="shared" si="302"/>
        <v>-53152</v>
      </c>
      <c r="AE133" s="16">
        <f t="shared" si="302"/>
        <v>-3145</v>
      </c>
      <c r="AF133" s="16">
        <f t="shared" si="302"/>
        <v>0</v>
      </c>
      <c r="AG133" s="16">
        <f t="shared" si="302"/>
        <v>0</v>
      </c>
      <c r="AH133" s="16">
        <f t="shared" si="302"/>
        <v>0</v>
      </c>
      <c r="AI133" s="16">
        <f t="shared" si="302"/>
        <v>-213549</v>
      </c>
      <c r="AJ133" s="13">
        <f t="shared" si="302"/>
        <v>0</v>
      </c>
      <c r="AK133" s="13">
        <f t="shared" si="302"/>
        <v>0</v>
      </c>
      <c r="AL133" s="13">
        <f t="shared" si="302"/>
        <v>0</v>
      </c>
      <c r="AM133" s="13">
        <f t="shared" si="302"/>
        <v>0</v>
      </c>
      <c r="AN133" s="13">
        <f t="shared" si="302"/>
        <v>-0.50000000000000011</v>
      </c>
      <c r="AO133" s="13">
        <f t="shared" si="302"/>
        <v>0</v>
      </c>
      <c r="AP133" s="13">
        <f t="shared" si="302"/>
        <v>0</v>
      </c>
      <c r="AQ133" s="13">
        <f t="shared" si="302"/>
        <v>0</v>
      </c>
      <c r="AR133" s="13">
        <f t="shared" si="302"/>
        <v>0</v>
      </c>
      <c r="AS133" s="13">
        <f t="shared" si="302"/>
        <v>-0.50000000000000011</v>
      </c>
      <c r="AT133" s="17">
        <f t="shared" si="302"/>
        <v>-0.50000000000000011</v>
      </c>
      <c r="AU133" s="175">
        <f t="shared" si="302"/>
        <v>25923482</v>
      </c>
      <c r="AV133" s="16">
        <f t="shared" si="302"/>
        <v>18856511</v>
      </c>
      <c r="AW133" s="16">
        <f t="shared" si="302"/>
        <v>106950</v>
      </c>
      <c r="AX133" s="16">
        <f t="shared" si="302"/>
        <v>6409648</v>
      </c>
      <c r="AY133" s="16">
        <f t="shared" si="302"/>
        <v>377129</v>
      </c>
      <c r="AZ133" s="16">
        <f t="shared" si="302"/>
        <v>173244</v>
      </c>
      <c r="BA133" s="13">
        <f t="shared" si="302"/>
        <v>59.680000000000007</v>
      </c>
      <c r="BB133" s="13">
        <f t="shared" si="302"/>
        <v>0</v>
      </c>
      <c r="BC133" s="17">
        <f t="shared" si="302"/>
        <v>59.680000000000007</v>
      </c>
    </row>
    <row r="134" spans="4:55" s="95" customFormat="1" ht="12.95" customHeight="1" x14ac:dyDescent="0.25">
      <c r="D134" s="339"/>
      <c r="E134" s="340"/>
      <c r="F134" s="339"/>
      <c r="G134" s="341"/>
      <c r="H134" s="2">
        <v>3143</v>
      </c>
      <c r="I134" s="174">
        <f t="shared" ref="I134:BC134" si="303">SUMIF($F$12:$F$463,"=3143",I$12:I$463)</f>
        <v>18725556</v>
      </c>
      <c r="J134" s="16">
        <f t="shared" si="303"/>
        <v>13641315</v>
      </c>
      <c r="K134" s="16">
        <f t="shared" si="303"/>
        <v>132900</v>
      </c>
      <c r="L134" s="16">
        <f t="shared" si="303"/>
        <v>4655684</v>
      </c>
      <c r="M134" s="16">
        <f t="shared" si="303"/>
        <v>272827</v>
      </c>
      <c r="N134" s="16">
        <f t="shared" si="303"/>
        <v>22830</v>
      </c>
      <c r="O134" s="13">
        <f t="shared" si="303"/>
        <v>28.700399999999998</v>
      </c>
      <c r="P134" s="13">
        <f t="shared" si="303"/>
        <v>27.120399999999997</v>
      </c>
      <c r="Q134" s="176">
        <f t="shared" si="303"/>
        <v>1.5800000000000003</v>
      </c>
      <c r="R134" s="174">
        <f t="shared" si="303"/>
        <v>0</v>
      </c>
      <c r="S134" s="16">
        <f t="shared" si="303"/>
        <v>0</v>
      </c>
      <c r="T134" s="16">
        <f t="shared" si="303"/>
        <v>-54183</v>
      </c>
      <c r="U134" s="16">
        <f t="shared" si="303"/>
        <v>0</v>
      </c>
      <c r="V134" s="16">
        <f t="shared" si="303"/>
        <v>0</v>
      </c>
      <c r="W134" s="16">
        <f t="shared" si="303"/>
        <v>0</v>
      </c>
      <c r="X134" s="16">
        <f t="shared" si="303"/>
        <v>-54183</v>
      </c>
      <c r="Y134" s="16">
        <f t="shared" si="303"/>
        <v>0</v>
      </c>
      <c r="Z134" s="16">
        <f t="shared" si="303"/>
        <v>0</v>
      </c>
      <c r="AA134" s="16">
        <f t="shared" si="303"/>
        <v>0</v>
      </c>
      <c r="AB134" s="16">
        <f t="shared" si="303"/>
        <v>0</v>
      </c>
      <c r="AC134" s="16">
        <f t="shared" si="303"/>
        <v>-54183</v>
      </c>
      <c r="AD134" s="16">
        <f t="shared" si="303"/>
        <v>-18314</v>
      </c>
      <c r="AE134" s="16">
        <f t="shared" si="303"/>
        <v>-1084</v>
      </c>
      <c r="AF134" s="16">
        <f t="shared" si="303"/>
        <v>0</v>
      </c>
      <c r="AG134" s="16">
        <f t="shared" si="303"/>
        <v>0</v>
      </c>
      <c r="AH134" s="16">
        <f t="shared" si="303"/>
        <v>0</v>
      </c>
      <c r="AI134" s="16">
        <f t="shared" si="303"/>
        <v>-73581</v>
      </c>
      <c r="AJ134" s="13">
        <f t="shared" si="303"/>
        <v>0</v>
      </c>
      <c r="AK134" s="13">
        <f t="shared" si="303"/>
        <v>0</v>
      </c>
      <c r="AL134" s="13">
        <f t="shared" si="303"/>
        <v>0</v>
      </c>
      <c r="AM134" s="13">
        <f t="shared" si="303"/>
        <v>-0.11</v>
      </c>
      <c r="AN134" s="13">
        <f t="shared" si="303"/>
        <v>0</v>
      </c>
      <c r="AO134" s="13">
        <f t="shared" si="303"/>
        <v>0</v>
      </c>
      <c r="AP134" s="13">
        <f t="shared" si="303"/>
        <v>0</v>
      </c>
      <c r="AQ134" s="13">
        <f t="shared" si="303"/>
        <v>0</v>
      </c>
      <c r="AR134" s="13">
        <f t="shared" si="303"/>
        <v>-0.11</v>
      </c>
      <c r="AS134" s="13">
        <f t="shared" si="303"/>
        <v>0</v>
      </c>
      <c r="AT134" s="17">
        <f t="shared" si="303"/>
        <v>-0.11</v>
      </c>
      <c r="AU134" s="175">
        <f t="shared" si="303"/>
        <v>18651975</v>
      </c>
      <c r="AV134" s="16">
        <f t="shared" si="303"/>
        <v>13587132</v>
      </c>
      <c r="AW134" s="16">
        <f t="shared" si="303"/>
        <v>132900</v>
      </c>
      <c r="AX134" s="16">
        <f t="shared" si="303"/>
        <v>4637370</v>
      </c>
      <c r="AY134" s="16">
        <f t="shared" si="303"/>
        <v>271743</v>
      </c>
      <c r="AZ134" s="16">
        <f t="shared" si="303"/>
        <v>22830</v>
      </c>
      <c r="BA134" s="13">
        <f t="shared" si="303"/>
        <v>28.590399999999995</v>
      </c>
      <c r="BB134" s="13">
        <f t="shared" si="303"/>
        <v>27.010399999999997</v>
      </c>
      <c r="BC134" s="17">
        <f t="shared" si="303"/>
        <v>1.5800000000000003</v>
      </c>
    </row>
    <row r="135" spans="4:55" s="95" customFormat="1" ht="12.95" customHeight="1" x14ac:dyDescent="0.25">
      <c r="D135" s="339"/>
      <c r="E135" s="340"/>
      <c r="F135" s="339"/>
      <c r="G135" s="341"/>
      <c r="H135" s="2">
        <v>3231</v>
      </c>
      <c r="I135" s="174">
        <f t="shared" ref="I135:BC135" si="304">SUMIF($F$12:$F$463,"=3231",I$12:I$463)</f>
        <v>13341842</v>
      </c>
      <c r="J135" s="16">
        <f t="shared" si="304"/>
        <v>9762207</v>
      </c>
      <c r="K135" s="16">
        <f t="shared" si="304"/>
        <v>30000</v>
      </c>
      <c r="L135" s="16">
        <f t="shared" si="304"/>
        <v>3309766</v>
      </c>
      <c r="M135" s="16">
        <f t="shared" si="304"/>
        <v>195244</v>
      </c>
      <c r="N135" s="16">
        <f t="shared" si="304"/>
        <v>44625</v>
      </c>
      <c r="O135" s="13">
        <f t="shared" si="304"/>
        <v>18.122500000000002</v>
      </c>
      <c r="P135" s="13">
        <f t="shared" si="304"/>
        <v>16.1175</v>
      </c>
      <c r="Q135" s="176">
        <f t="shared" si="304"/>
        <v>2.0049999999999999</v>
      </c>
      <c r="R135" s="174">
        <f t="shared" si="304"/>
        <v>0</v>
      </c>
      <c r="S135" s="16">
        <f t="shared" si="304"/>
        <v>0</v>
      </c>
      <c r="T135" s="16">
        <f t="shared" si="304"/>
        <v>0</v>
      </c>
      <c r="U135" s="16">
        <f t="shared" si="304"/>
        <v>0</v>
      </c>
      <c r="V135" s="16">
        <f t="shared" si="304"/>
        <v>-36082</v>
      </c>
      <c r="W135" s="16">
        <f t="shared" si="304"/>
        <v>0</v>
      </c>
      <c r="X135" s="16">
        <f t="shared" si="304"/>
        <v>-36082</v>
      </c>
      <c r="Y135" s="16">
        <f t="shared" si="304"/>
        <v>0</v>
      </c>
      <c r="Z135" s="16">
        <f t="shared" si="304"/>
        <v>0</v>
      </c>
      <c r="AA135" s="16">
        <f t="shared" si="304"/>
        <v>0</v>
      </c>
      <c r="AB135" s="16">
        <f t="shared" si="304"/>
        <v>0</v>
      </c>
      <c r="AC135" s="16">
        <f t="shared" si="304"/>
        <v>-36082</v>
      </c>
      <c r="AD135" s="16">
        <f t="shared" si="304"/>
        <v>-12196</v>
      </c>
      <c r="AE135" s="16">
        <f t="shared" si="304"/>
        <v>-722</v>
      </c>
      <c r="AF135" s="16">
        <f t="shared" si="304"/>
        <v>0</v>
      </c>
      <c r="AG135" s="16">
        <f t="shared" si="304"/>
        <v>49000</v>
      </c>
      <c r="AH135" s="16">
        <f t="shared" si="304"/>
        <v>49000</v>
      </c>
      <c r="AI135" s="16">
        <f t="shared" si="304"/>
        <v>0</v>
      </c>
      <c r="AJ135" s="13">
        <f t="shared" si="304"/>
        <v>0</v>
      </c>
      <c r="AK135" s="13">
        <f t="shared" si="304"/>
        <v>0</v>
      </c>
      <c r="AL135" s="13">
        <f t="shared" si="304"/>
        <v>0</v>
      </c>
      <c r="AM135" s="13">
        <f t="shared" si="304"/>
        <v>0</v>
      </c>
      <c r="AN135" s="13">
        <f t="shared" si="304"/>
        <v>0</v>
      </c>
      <c r="AO135" s="13">
        <f t="shared" si="304"/>
        <v>0</v>
      </c>
      <c r="AP135" s="13">
        <f t="shared" si="304"/>
        <v>0</v>
      </c>
      <c r="AQ135" s="13">
        <f t="shared" si="304"/>
        <v>0</v>
      </c>
      <c r="AR135" s="13">
        <f t="shared" si="304"/>
        <v>0</v>
      </c>
      <c r="AS135" s="13">
        <f t="shared" si="304"/>
        <v>0</v>
      </c>
      <c r="AT135" s="17">
        <f t="shared" si="304"/>
        <v>0</v>
      </c>
      <c r="AU135" s="175">
        <f t="shared" si="304"/>
        <v>13341842</v>
      </c>
      <c r="AV135" s="16">
        <f t="shared" si="304"/>
        <v>9726125</v>
      </c>
      <c r="AW135" s="16">
        <f t="shared" si="304"/>
        <v>30000</v>
      </c>
      <c r="AX135" s="16">
        <f t="shared" si="304"/>
        <v>3297570</v>
      </c>
      <c r="AY135" s="16">
        <f t="shared" si="304"/>
        <v>194522</v>
      </c>
      <c r="AZ135" s="16">
        <f t="shared" si="304"/>
        <v>93625</v>
      </c>
      <c r="BA135" s="13">
        <f t="shared" si="304"/>
        <v>18.122500000000002</v>
      </c>
      <c r="BB135" s="13">
        <f t="shared" si="304"/>
        <v>16.1175</v>
      </c>
      <c r="BC135" s="17">
        <f t="shared" si="304"/>
        <v>2.0049999999999999</v>
      </c>
    </row>
    <row r="136" spans="4:55" s="95" customFormat="1" ht="12.95" customHeight="1" thickBot="1" x14ac:dyDescent="0.3">
      <c r="D136" s="339"/>
      <c r="E136" s="340"/>
      <c r="F136" s="339"/>
      <c r="G136" s="341"/>
      <c r="H136" s="158">
        <v>3233</v>
      </c>
      <c r="I136" s="177">
        <f t="shared" ref="I136:BC136" si="305">SUMIF($F$12:$F$463,"=3233",I$12:I$463)</f>
        <v>8730908</v>
      </c>
      <c r="J136" s="178">
        <f t="shared" si="305"/>
        <v>5933256</v>
      </c>
      <c r="K136" s="178">
        <f t="shared" si="305"/>
        <v>450000</v>
      </c>
      <c r="L136" s="178">
        <f t="shared" si="305"/>
        <v>2157541</v>
      </c>
      <c r="M136" s="178">
        <f t="shared" si="305"/>
        <v>118666</v>
      </c>
      <c r="N136" s="178">
        <f t="shared" si="305"/>
        <v>71445</v>
      </c>
      <c r="O136" s="179">
        <f t="shared" si="305"/>
        <v>13.280000000000001</v>
      </c>
      <c r="P136" s="179">
        <f t="shared" si="305"/>
        <v>8.19</v>
      </c>
      <c r="Q136" s="182">
        <f t="shared" si="305"/>
        <v>5.0900000000000007</v>
      </c>
      <c r="R136" s="177">
        <f t="shared" si="305"/>
        <v>0</v>
      </c>
      <c r="S136" s="178">
        <f t="shared" si="305"/>
        <v>0</v>
      </c>
      <c r="T136" s="178">
        <f t="shared" si="305"/>
        <v>0</v>
      </c>
      <c r="U136" s="178">
        <f t="shared" si="305"/>
        <v>0</v>
      </c>
      <c r="V136" s="178">
        <f t="shared" si="305"/>
        <v>0</v>
      </c>
      <c r="W136" s="178">
        <f t="shared" si="305"/>
        <v>0</v>
      </c>
      <c r="X136" s="178">
        <f t="shared" si="305"/>
        <v>0</v>
      </c>
      <c r="Y136" s="178">
        <f t="shared" si="305"/>
        <v>0</v>
      </c>
      <c r="Z136" s="178">
        <f t="shared" si="305"/>
        <v>0</v>
      </c>
      <c r="AA136" s="178">
        <f t="shared" si="305"/>
        <v>0</v>
      </c>
      <c r="AB136" s="178">
        <f t="shared" si="305"/>
        <v>0</v>
      </c>
      <c r="AC136" s="178">
        <f t="shared" si="305"/>
        <v>0</v>
      </c>
      <c r="AD136" s="178">
        <f t="shared" si="305"/>
        <v>0</v>
      </c>
      <c r="AE136" s="178">
        <f t="shared" si="305"/>
        <v>0</v>
      </c>
      <c r="AF136" s="178">
        <f t="shared" si="305"/>
        <v>0</v>
      </c>
      <c r="AG136" s="178">
        <f t="shared" si="305"/>
        <v>0</v>
      </c>
      <c r="AH136" s="178">
        <f t="shared" si="305"/>
        <v>0</v>
      </c>
      <c r="AI136" s="178">
        <f t="shared" si="305"/>
        <v>0</v>
      </c>
      <c r="AJ136" s="179">
        <f t="shared" si="305"/>
        <v>0</v>
      </c>
      <c r="AK136" s="179">
        <f t="shared" si="305"/>
        <v>0</v>
      </c>
      <c r="AL136" s="179">
        <f t="shared" si="305"/>
        <v>0</v>
      </c>
      <c r="AM136" s="179">
        <f t="shared" si="305"/>
        <v>0</v>
      </c>
      <c r="AN136" s="179">
        <f t="shared" si="305"/>
        <v>0</v>
      </c>
      <c r="AO136" s="179">
        <f t="shared" si="305"/>
        <v>0</v>
      </c>
      <c r="AP136" s="179">
        <f t="shared" si="305"/>
        <v>0</v>
      </c>
      <c r="AQ136" s="179">
        <f t="shared" si="305"/>
        <v>0</v>
      </c>
      <c r="AR136" s="179">
        <f t="shared" si="305"/>
        <v>0</v>
      </c>
      <c r="AS136" s="179">
        <f t="shared" si="305"/>
        <v>0</v>
      </c>
      <c r="AT136" s="180">
        <f t="shared" si="305"/>
        <v>0</v>
      </c>
      <c r="AU136" s="181">
        <f t="shared" si="305"/>
        <v>8730908</v>
      </c>
      <c r="AV136" s="178">
        <f t="shared" si="305"/>
        <v>5933256</v>
      </c>
      <c r="AW136" s="178">
        <f t="shared" si="305"/>
        <v>450000</v>
      </c>
      <c r="AX136" s="178">
        <f t="shared" si="305"/>
        <v>2157541</v>
      </c>
      <c r="AY136" s="178">
        <f t="shared" si="305"/>
        <v>118666</v>
      </c>
      <c r="AZ136" s="178">
        <f t="shared" si="305"/>
        <v>71445</v>
      </c>
      <c r="BA136" s="179">
        <f t="shared" si="305"/>
        <v>13.280000000000001</v>
      </c>
      <c r="BB136" s="179">
        <f t="shared" si="305"/>
        <v>8.19</v>
      </c>
      <c r="BC136" s="180">
        <f t="shared" si="305"/>
        <v>5.0900000000000007</v>
      </c>
    </row>
    <row r="137" spans="4:55" ht="12.95" customHeight="1" x14ac:dyDescent="0.25">
      <c r="E137" s="278"/>
    </row>
    <row r="138" spans="4:55" ht="12.95" customHeight="1" x14ac:dyDescent="0.25">
      <c r="E138" s="278"/>
    </row>
    <row r="139" spans="4:55" ht="12.95" customHeight="1" x14ac:dyDescent="0.25">
      <c r="E139" s="278"/>
    </row>
  </sheetData>
  <mergeCells count="26">
    <mergeCell ref="A3:E3"/>
    <mergeCell ref="I6:Q7"/>
    <mergeCell ref="R7:X9"/>
    <mergeCell ref="Y7:AB9"/>
    <mergeCell ref="AC7:AC10"/>
    <mergeCell ref="I8:I10"/>
    <mergeCell ref="J8:N9"/>
    <mergeCell ref="O8:O10"/>
    <mergeCell ref="P8:Q9"/>
    <mergeCell ref="R6:AT6"/>
    <mergeCell ref="AJ7:AT7"/>
    <mergeCell ref="AP8:AQ9"/>
    <mergeCell ref="AR8:AT9"/>
    <mergeCell ref="AU6:BC7"/>
    <mergeCell ref="AU8:AU10"/>
    <mergeCell ref="AV8:AZ9"/>
    <mergeCell ref="BA8:BA10"/>
    <mergeCell ref="AD7:AD10"/>
    <mergeCell ref="AF7:AH9"/>
    <mergeCell ref="AI7:AI10"/>
    <mergeCell ref="AL8:AL9"/>
    <mergeCell ref="AJ8:AK9"/>
    <mergeCell ref="BB8:BC9"/>
    <mergeCell ref="AE7:AE10"/>
    <mergeCell ref="AM8:AN8"/>
    <mergeCell ref="AO8:AO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180"/>
  <sheetViews>
    <sheetView zoomScaleNormal="100" workbookViewId="0">
      <pane xSplit="8" ySplit="11" topLeftCell="AQ156" activePane="bottomRight" state="frozen"/>
      <selection activeCell="AU6" sqref="AU6:BC7"/>
      <selection pane="topRight" activeCell="AU6" sqref="AU6:BC7"/>
      <selection pane="bottomLeft" activeCell="AU6" sqref="AU6:BC7"/>
      <selection pane="bottomRight" activeCell="O181" sqref="O181"/>
    </sheetView>
  </sheetViews>
  <sheetFormatPr defaultColWidth="9.140625" defaultRowHeight="15" x14ac:dyDescent="0.25"/>
  <cols>
    <col min="1" max="1" width="5" style="336" customWidth="1"/>
    <col min="2" max="2" width="7.140625" style="278" bestFit="1" customWidth="1"/>
    <col min="3" max="3" width="9.28515625" style="370" customWidth="1"/>
    <col min="4" max="4" width="7.85546875" style="278" bestFit="1" customWidth="1"/>
    <col min="5" max="5" width="39.42578125" style="278" customWidth="1"/>
    <col min="6" max="6" width="6.7109375" style="278" customWidth="1"/>
    <col min="7" max="7" width="10.7109375" style="278" customWidth="1"/>
    <col min="8" max="8" width="11.42578125" style="278" customWidth="1"/>
    <col min="9" max="14" width="10.42578125" style="342" customWidth="1"/>
    <col min="15" max="17" width="10.42578125" style="343" customWidth="1"/>
    <col min="18" max="22" width="9.140625" style="342" customWidth="1"/>
    <col min="23" max="23" width="9.7109375" style="342" customWidth="1"/>
    <col min="24" max="24" width="9.85546875" style="342" customWidth="1"/>
    <col min="25" max="25" width="8.85546875" style="342" customWidth="1"/>
    <col min="26" max="26" width="8.7109375" style="342" customWidth="1"/>
    <col min="27" max="27" width="8.5703125" style="342" customWidth="1"/>
    <col min="28" max="35" width="9.140625" style="342" customWidth="1"/>
    <col min="36" max="46" width="9.140625" style="343" customWidth="1"/>
    <col min="47" max="47" width="10.85546875" style="342" customWidth="1"/>
    <col min="48" max="48" width="11.28515625" style="342" customWidth="1"/>
    <col min="49" max="49" width="10.42578125" style="342" customWidth="1"/>
    <col min="50" max="50" width="11.7109375" style="342" customWidth="1"/>
    <col min="51" max="51" width="10.7109375" style="342" customWidth="1"/>
    <col min="52" max="52" width="11.5703125" style="342" customWidth="1"/>
    <col min="53" max="53" width="11.42578125" style="343" customWidth="1"/>
    <col min="54" max="55" width="9.28515625" style="343" customWidth="1"/>
    <col min="56" max="57" width="15.5703125" style="278" customWidth="1"/>
    <col min="58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63" t="s">
        <v>4</v>
      </c>
      <c r="B3" s="863"/>
      <c r="C3" s="863"/>
      <c r="D3" s="863"/>
      <c r="E3" s="863"/>
      <c r="F3" s="277"/>
      <c r="G3" s="277"/>
      <c r="H3" s="277"/>
      <c r="S3" s="699"/>
      <c r="T3" s="699"/>
      <c r="U3" s="699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698"/>
      <c r="T4" s="698"/>
      <c r="U4" s="698"/>
    </row>
    <row r="5" spans="1:55" ht="16.5" thickBot="1" x14ac:dyDescent="0.3">
      <c r="A5" s="189" t="s">
        <v>856</v>
      </c>
      <c r="B5" s="53"/>
      <c r="C5" s="53"/>
      <c r="D5" s="53"/>
      <c r="E5" s="54"/>
      <c r="F5" s="280"/>
      <c r="G5" s="280"/>
      <c r="H5" s="280"/>
      <c r="S5" s="700"/>
      <c r="T5" s="698"/>
      <c r="U5" s="698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27" t="s">
        <v>855</v>
      </c>
      <c r="J6" s="828"/>
      <c r="K6" s="828"/>
      <c r="L6" s="828"/>
      <c r="M6" s="828"/>
      <c r="N6" s="828"/>
      <c r="O6" s="828"/>
      <c r="P6" s="828"/>
      <c r="Q6" s="829"/>
      <c r="R6" s="859" t="s">
        <v>830</v>
      </c>
      <c r="S6" s="833"/>
      <c r="T6" s="833"/>
      <c r="U6" s="833"/>
      <c r="V6" s="833"/>
      <c r="W6" s="833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833"/>
      <c r="AS6" s="833"/>
      <c r="AT6" s="834"/>
      <c r="AU6" s="835" t="s">
        <v>857</v>
      </c>
      <c r="AV6" s="836"/>
      <c r="AW6" s="836"/>
      <c r="AX6" s="836"/>
      <c r="AY6" s="836"/>
      <c r="AZ6" s="836"/>
      <c r="BA6" s="836"/>
      <c r="BB6" s="836"/>
      <c r="BC6" s="837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30"/>
      <c r="J7" s="831"/>
      <c r="K7" s="831"/>
      <c r="L7" s="831"/>
      <c r="M7" s="831"/>
      <c r="N7" s="831"/>
      <c r="O7" s="831"/>
      <c r="P7" s="831"/>
      <c r="Q7" s="832"/>
      <c r="R7" s="860" t="s">
        <v>283</v>
      </c>
      <c r="S7" s="841"/>
      <c r="T7" s="841"/>
      <c r="U7" s="841"/>
      <c r="V7" s="841"/>
      <c r="W7" s="841"/>
      <c r="X7" s="842"/>
      <c r="Y7" s="847" t="s">
        <v>284</v>
      </c>
      <c r="Z7" s="841"/>
      <c r="AA7" s="841"/>
      <c r="AB7" s="842"/>
      <c r="AC7" s="790" t="s">
        <v>285</v>
      </c>
      <c r="AD7" s="790" t="s">
        <v>5</v>
      </c>
      <c r="AE7" s="790" t="s">
        <v>286</v>
      </c>
      <c r="AF7" s="850" t="s">
        <v>287</v>
      </c>
      <c r="AG7" s="851"/>
      <c r="AH7" s="852"/>
      <c r="AI7" s="790" t="s">
        <v>309</v>
      </c>
      <c r="AJ7" s="793" t="s">
        <v>288</v>
      </c>
      <c r="AK7" s="794"/>
      <c r="AL7" s="794"/>
      <c r="AM7" s="794"/>
      <c r="AN7" s="794"/>
      <c r="AO7" s="794"/>
      <c r="AP7" s="794"/>
      <c r="AQ7" s="794"/>
      <c r="AR7" s="794"/>
      <c r="AS7" s="794"/>
      <c r="AT7" s="795"/>
      <c r="AU7" s="838"/>
      <c r="AV7" s="839"/>
      <c r="AW7" s="839"/>
      <c r="AX7" s="839"/>
      <c r="AY7" s="839"/>
      <c r="AZ7" s="839"/>
      <c r="BA7" s="839"/>
      <c r="BB7" s="839"/>
      <c r="BC7" s="840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796" t="s">
        <v>6</v>
      </c>
      <c r="J8" s="799" t="s">
        <v>816</v>
      </c>
      <c r="K8" s="800"/>
      <c r="L8" s="800"/>
      <c r="M8" s="800"/>
      <c r="N8" s="801"/>
      <c r="O8" s="805" t="s">
        <v>280</v>
      </c>
      <c r="P8" s="808" t="s">
        <v>817</v>
      </c>
      <c r="Q8" s="809"/>
      <c r="R8" s="861"/>
      <c r="S8" s="843"/>
      <c r="T8" s="843"/>
      <c r="U8" s="843"/>
      <c r="V8" s="843"/>
      <c r="W8" s="843"/>
      <c r="X8" s="844"/>
      <c r="Y8" s="848"/>
      <c r="Z8" s="843"/>
      <c r="AA8" s="843"/>
      <c r="AB8" s="844"/>
      <c r="AC8" s="791"/>
      <c r="AD8" s="791"/>
      <c r="AE8" s="791"/>
      <c r="AF8" s="853"/>
      <c r="AG8" s="854"/>
      <c r="AH8" s="855"/>
      <c r="AI8" s="791"/>
      <c r="AJ8" s="812" t="s">
        <v>289</v>
      </c>
      <c r="AK8" s="813"/>
      <c r="AL8" s="816" t="s">
        <v>290</v>
      </c>
      <c r="AM8" s="818" t="s">
        <v>837</v>
      </c>
      <c r="AN8" s="819"/>
      <c r="AO8" s="816" t="s">
        <v>839</v>
      </c>
      <c r="AP8" s="812" t="s">
        <v>291</v>
      </c>
      <c r="AQ8" s="813"/>
      <c r="AR8" s="821" t="s">
        <v>292</v>
      </c>
      <c r="AS8" s="822"/>
      <c r="AT8" s="823"/>
      <c r="AU8" s="796" t="s">
        <v>6</v>
      </c>
      <c r="AV8" s="799" t="s">
        <v>816</v>
      </c>
      <c r="AW8" s="800"/>
      <c r="AX8" s="800"/>
      <c r="AY8" s="800"/>
      <c r="AZ8" s="801"/>
      <c r="BA8" s="805" t="s">
        <v>280</v>
      </c>
      <c r="BB8" s="808" t="s">
        <v>818</v>
      </c>
      <c r="BC8" s="809"/>
    </row>
    <row r="9" spans="1:55" ht="15.75" customHeight="1" thickBot="1" x14ac:dyDescent="0.3">
      <c r="A9" s="285" t="s">
        <v>812</v>
      </c>
      <c r="B9" s="95"/>
      <c r="C9" s="95"/>
      <c r="D9" s="286"/>
      <c r="E9" s="95"/>
      <c r="F9" s="287"/>
      <c r="G9" s="288"/>
      <c r="H9" s="288"/>
      <c r="I9" s="797"/>
      <c r="J9" s="802"/>
      <c r="K9" s="803"/>
      <c r="L9" s="803"/>
      <c r="M9" s="803"/>
      <c r="N9" s="804"/>
      <c r="O9" s="806"/>
      <c r="P9" s="810"/>
      <c r="Q9" s="811"/>
      <c r="R9" s="862"/>
      <c r="S9" s="845"/>
      <c r="T9" s="845"/>
      <c r="U9" s="845"/>
      <c r="V9" s="845"/>
      <c r="W9" s="845"/>
      <c r="X9" s="846"/>
      <c r="Y9" s="849"/>
      <c r="Z9" s="845"/>
      <c r="AA9" s="845"/>
      <c r="AB9" s="846"/>
      <c r="AC9" s="791"/>
      <c r="AD9" s="791"/>
      <c r="AE9" s="791"/>
      <c r="AF9" s="856"/>
      <c r="AG9" s="857"/>
      <c r="AH9" s="858"/>
      <c r="AI9" s="791"/>
      <c r="AJ9" s="814"/>
      <c r="AK9" s="815"/>
      <c r="AL9" s="817"/>
      <c r="AM9" s="704" t="s">
        <v>835</v>
      </c>
      <c r="AN9" s="704" t="s">
        <v>836</v>
      </c>
      <c r="AO9" s="817"/>
      <c r="AP9" s="814"/>
      <c r="AQ9" s="815"/>
      <c r="AR9" s="824"/>
      <c r="AS9" s="825"/>
      <c r="AT9" s="826"/>
      <c r="AU9" s="797"/>
      <c r="AV9" s="802"/>
      <c r="AW9" s="803"/>
      <c r="AX9" s="803"/>
      <c r="AY9" s="803"/>
      <c r="AZ9" s="804"/>
      <c r="BA9" s="806"/>
      <c r="BB9" s="810"/>
      <c r="BC9" s="811"/>
    </row>
    <row r="10" spans="1:55" ht="57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798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807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838</v>
      </c>
      <c r="U10" s="447" t="s">
        <v>839</v>
      </c>
      <c r="V10" s="447" t="s">
        <v>832</v>
      </c>
      <c r="W10" s="447" t="s">
        <v>291</v>
      </c>
      <c r="X10" s="447" t="s">
        <v>840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2"/>
      <c r="AD10" s="792"/>
      <c r="AE10" s="792"/>
      <c r="AF10" s="447" t="s">
        <v>290</v>
      </c>
      <c r="AG10" s="447" t="s">
        <v>296</v>
      </c>
      <c r="AH10" s="447" t="s">
        <v>783</v>
      </c>
      <c r="AI10" s="792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798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807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7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5">
      <c r="A12" s="296">
        <v>1</v>
      </c>
      <c r="B12" s="345">
        <v>5489</v>
      </c>
      <c r="C12" s="346">
        <v>600099482</v>
      </c>
      <c r="D12" s="298">
        <v>71166289</v>
      </c>
      <c r="E12" s="347" t="s">
        <v>371</v>
      </c>
      <c r="F12" s="298">
        <v>3111</v>
      </c>
      <c r="G12" s="347" t="s">
        <v>325</v>
      </c>
      <c r="H12" s="348" t="s">
        <v>277</v>
      </c>
      <c r="I12" s="455">
        <v>3460966</v>
      </c>
      <c r="J12" s="456">
        <v>2503764</v>
      </c>
      <c r="K12" s="456">
        <v>12000</v>
      </c>
      <c r="L12" s="456">
        <v>850328</v>
      </c>
      <c r="M12" s="456">
        <v>50075</v>
      </c>
      <c r="N12" s="456">
        <v>44799</v>
      </c>
      <c r="O12" s="457">
        <v>5.5045000000000002</v>
      </c>
      <c r="P12" s="458">
        <v>4.0644999999999998</v>
      </c>
      <c r="Q12" s="482">
        <v>1.44</v>
      </c>
      <c r="R12" s="462">
        <f t="shared" ref="R12:R14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1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14" si="7">SUM(AR12:AS12)</f>
        <v>0</v>
      </c>
      <c r="AU12" s="459">
        <f>I12+AI12</f>
        <v>3460966</v>
      </c>
      <c r="AV12" s="460">
        <f>J12+X12</f>
        <v>2503764</v>
      </c>
      <c r="AW12" s="460">
        <f>K12+AB12</f>
        <v>12000</v>
      </c>
      <c r="AX12" s="460">
        <f t="shared" ref="AX12:AY14" si="8">L12+AD12</f>
        <v>850328</v>
      </c>
      <c r="AY12" s="460">
        <f t="shared" si="8"/>
        <v>50075</v>
      </c>
      <c r="AZ12" s="460">
        <f>N12+AH12</f>
        <v>44799</v>
      </c>
      <c r="BA12" s="461">
        <f>O12+AT12</f>
        <v>5.5045000000000002</v>
      </c>
      <c r="BB12" s="461">
        <f t="shared" ref="BB12:BC14" si="9">P12+AR12</f>
        <v>4.0644999999999998</v>
      </c>
      <c r="BC12" s="463">
        <f t="shared" si="9"/>
        <v>1.44</v>
      </c>
    </row>
    <row r="13" spans="1:55" ht="12.95" customHeight="1" x14ac:dyDescent="0.25">
      <c r="A13" s="308">
        <v>1</v>
      </c>
      <c r="B13" s="349">
        <v>5489</v>
      </c>
      <c r="C13" s="350">
        <v>600099482</v>
      </c>
      <c r="D13" s="309">
        <v>71166289</v>
      </c>
      <c r="E13" s="351" t="s">
        <v>371</v>
      </c>
      <c r="F13" s="309">
        <v>3111</v>
      </c>
      <c r="G13" s="351" t="s">
        <v>319</v>
      </c>
      <c r="H13" s="312" t="s">
        <v>278</v>
      </c>
      <c r="I13" s="477">
        <v>0</v>
      </c>
      <c r="J13" s="472">
        <v>0</v>
      </c>
      <c r="K13" s="472">
        <v>0</v>
      </c>
      <c r="L13" s="472">
        <v>0</v>
      </c>
      <c r="M13" s="472">
        <v>0</v>
      </c>
      <c r="N13" s="472">
        <v>0</v>
      </c>
      <c r="O13" s="473">
        <v>0</v>
      </c>
      <c r="P13" s="474">
        <v>0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ref="X13:X76" si="10">SUM(R13:W13)</f>
        <v>0</v>
      </c>
      <c r="Y13" s="475">
        <v>0</v>
      </c>
      <c r="Z13" s="475">
        <v>0</v>
      </c>
      <c r="AA13" s="475">
        <v>0</v>
      </c>
      <c r="AB13" s="475">
        <f t="shared" si="1"/>
        <v>0</v>
      </c>
      <c r="AC13" s="475">
        <f t="shared" si="2"/>
        <v>0</v>
      </c>
      <c r="AD13" s="70">
        <f t="shared" si="3"/>
        <v>0</v>
      </c>
      <c r="AE13" s="70">
        <f t="shared" si="4"/>
        <v>0</v>
      </c>
      <c r="AF13" s="475">
        <v>0</v>
      </c>
      <c r="AG13" s="475">
        <v>0</v>
      </c>
      <c r="AH13" s="475">
        <f t="shared" si="5"/>
        <v>0</v>
      </c>
      <c r="AI13" s="475">
        <f t="shared" si="6"/>
        <v>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476">
        <f>AJ13+AL13+AM13+AO13+AP13</f>
        <v>0</v>
      </c>
      <c r="AS13" s="476">
        <f>AK13+AN13+AQ13</f>
        <v>0</v>
      </c>
      <c r="AT13" s="478">
        <f t="shared" si="7"/>
        <v>0</v>
      </c>
      <c r="AU13" s="484">
        <f>I13+AI13</f>
        <v>0</v>
      </c>
      <c r="AV13" s="475">
        <f>J13+X13</f>
        <v>0</v>
      </c>
      <c r="AW13" s="475">
        <f>K13+AB13</f>
        <v>0</v>
      </c>
      <c r="AX13" s="475">
        <f t="shared" si="8"/>
        <v>0</v>
      </c>
      <c r="AY13" s="475">
        <f t="shared" si="8"/>
        <v>0</v>
      </c>
      <c r="AZ13" s="475">
        <f>N13+AH13</f>
        <v>0</v>
      </c>
      <c r="BA13" s="476">
        <f>O13+AT13</f>
        <v>0</v>
      </c>
      <c r="BB13" s="476">
        <f t="shared" si="9"/>
        <v>0</v>
      </c>
      <c r="BC13" s="478">
        <f t="shared" si="9"/>
        <v>0</v>
      </c>
    </row>
    <row r="14" spans="1:55" ht="12.95" customHeight="1" x14ac:dyDescent="0.25">
      <c r="A14" s="308">
        <v>1</v>
      </c>
      <c r="B14" s="349">
        <v>5489</v>
      </c>
      <c r="C14" s="350">
        <v>600099482</v>
      </c>
      <c r="D14" s="309">
        <v>71166289</v>
      </c>
      <c r="E14" s="351" t="s">
        <v>371</v>
      </c>
      <c r="F14" s="309">
        <v>3141</v>
      </c>
      <c r="G14" s="351" t="s">
        <v>315</v>
      </c>
      <c r="H14" s="312" t="s">
        <v>278</v>
      </c>
      <c r="I14" s="477">
        <v>629784</v>
      </c>
      <c r="J14" s="472">
        <v>461879</v>
      </c>
      <c r="K14" s="472">
        <v>0</v>
      </c>
      <c r="L14" s="472">
        <v>156115</v>
      </c>
      <c r="M14" s="472">
        <v>9238</v>
      </c>
      <c r="N14" s="472">
        <v>2552</v>
      </c>
      <c r="O14" s="473">
        <v>1.45</v>
      </c>
      <c r="P14" s="474">
        <v>0</v>
      </c>
      <c r="Q14" s="483">
        <v>1.45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0"/>
        <v>0</v>
      </c>
      <c r="Y14" s="475">
        <v>0</v>
      </c>
      <c r="Z14" s="475">
        <v>0</v>
      </c>
      <c r="AA14" s="475">
        <v>0</v>
      </c>
      <c r="AB14" s="475">
        <f t="shared" si="1"/>
        <v>0</v>
      </c>
      <c r="AC14" s="475">
        <f t="shared" si="2"/>
        <v>0</v>
      </c>
      <c r="AD14" s="70">
        <f t="shared" si="3"/>
        <v>0</v>
      </c>
      <c r="AE14" s="70">
        <f t="shared" si="4"/>
        <v>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0</v>
      </c>
      <c r="AS14" s="476">
        <f>AK14+AN14+AQ14</f>
        <v>0</v>
      </c>
      <c r="AT14" s="478">
        <f t="shared" si="7"/>
        <v>0</v>
      </c>
      <c r="AU14" s="484">
        <f>I14+AI14</f>
        <v>629784</v>
      </c>
      <c r="AV14" s="475">
        <f>J14+X14</f>
        <v>461879</v>
      </c>
      <c r="AW14" s="475">
        <f>K14+AB14</f>
        <v>0</v>
      </c>
      <c r="AX14" s="475">
        <f t="shared" si="8"/>
        <v>156115</v>
      </c>
      <c r="AY14" s="475">
        <f t="shared" si="8"/>
        <v>9238</v>
      </c>
      <c r="AZ14" s="475">
        <f>N14+AH14</f>
        <v>2552</v>
      </c>
      <c r="BA14" s="476">
        <f>O14+AT14</f>
        <v>1.45</v>
      </c>
      <c r="BB14" s="476">
        <f t="shared" si="9"/>
        <v>0</v>
      </c>
      <c r="BC14" s="478">
        <f t="shared" si="9"/>
        <v>1.45</v>
      </c>
    </row>
    <row r="15" spans="1:55" ht="12.95" customHeight="1" x14ac:dyDescent="0.25">
      <c r="A15" s="352">
        <v>1</v>
      </c>
      <c r="B15" s="353">
        <v>5489</v>
      </c>
      <c r="C15" s="354">
        <v>600099482</v>
      </c>
      <c r="D15" s="353">
        <v>71166289</v>
      </c>
      <c r="E15" s="355" t="s">
        <v>372</v>
      </c>
      <c r="F15" s="303"/>
      <c r="G15" s="355"/>
      <c r="H15" s="317"/>
      <c r="I15" s="582">
        <v>4090750</v>
      </c>
      <c r="J15" s="578">
        <v>2965643</v>
      </c>
      <c r="K15" s="578">
        <v>12000</v>
      </c>
      <c r="L15" s="578">
        <v>1006443</v>
      </c>
      <c r="M15" s="578">
        <v>59313</v>
      </c>
      <c r="N15" s="578">
        <v>47351</v>
      </c>
      <c r="O15" s="579">
        <v>6.9545000000000003</v>
      </c>
      <c r="P15" s="579">
        <v>4.0644999999999998</v>
      </c>
      <c r="Q15" s="584">
        <v>2.8899999999999997</v>
      </c>
      <c r="R15" s="582">
        <f t="shared" ref="R15:BC15" si="11">SUM(R12:R14)</f>
        <v>0</v>
      </c>
      <c r="S15" s="578">
        <f t="shared" si="11"/>
        <v>0</v>
      </c>
      <c r="T15" s="578">
        <f t="shared" si="11"/>
        <v>0</v>
      </c>
      <c r="U15" s="578">
        <f t="shared" si="11"/>
        <v>0</v>
      </c>
      <c r="V15" s="578">
        <f t="shared" si="11"/>
        <v>0</v>
      </c>
      <c r="W15" s="578">
        <f t="shared" si="11"/>
        <v>0</v>
      </c>
      <c r="X15" s="578">
        <f t="shared" si="11"/>
        <v>0</v>
      </c>
      <c r="Y15" s="578">
        <f t="shared" si="11"/>
        <v>0</v>
      </c>
      <c r="Z15" s="578">
        <f t="shared" si="11"/>
        <v>0</v>
      </c>
      <c r="AA15" s="578">
        <f t="shared" si="11"/>
        <v>0</v>
      </c>
      <c r="AB15" s="578">
        <f t="shared" si="11"/>
        <v>0</v>
      </c>
      <c r="AC15" s="578">
        <f t="shared" si="11"/>
        <v>0</v>
      </c>
      <c r="AD15" s="578">
        <f t="shared" si="11"/>
        <v>0</v>
      </c>
      <c r="AE15" s="578">
        <f t="shared" si="11"/>
        <v>0</v>
      </c>
      <c r="AF15" s="578">
        <f t="shared" si="11"/>
        <v>0</v>
      </c>
      <c r="AG15" s="578">
        <f t="shared" si="11"/>
        <v>0</v>
      </c>
      <c r="AH15" s="578">
        <f t="shared" si="11"/>
        <v>0</v>
      </c>
      <c r="AI15" s="578">
        <f t="shared" si="11"/>
        <v>0</v>
      </c>
      <c r="AJ15" s="579">
        <f t="shared" si="11"/>
        <v>0</v>
      </c>
      <c r="AK15" s="579">
        <f t="shared" si="11"/>
        <v>0</v>
      </c>
      <c r="AL15" s="579">
        <f t="shared" si="11"/>
        <v>0</v>
      </c>
      <c r="AM15" s="579">
        <f t="shared" si="11"/>
        <v>0</v>
      </c>
      <c r="AN15" s="579">
        <f t="shared" si="11"/>
        <v>0</v>
      </c>
      <c r="AO15" s="579">
        <f t="shared" si="11"/>
        <v>0</v>
      </c>
      <c r="AP15" s="579">
        <f t="shared" si="11"/>
        <v>0</v>
      </c>
      <c r="AQ15" s="579">
        <f t="shared" si="11"/>
        <v>0</v>
      </c>
      <c r="AR15" s="579">
        <f t="shared" si="11"/>
        <v>0</v>
      </c>
      <c r="AS15" s="579">
        <f t="shared" si="11"/>
        <v>0</v>
      </c>
      <c r="AT15" s="356">
        <f t="shared" si="11"/>
        <v>0</v>
      </c>
      <c r="AU15" s="586">
        <f t="shared" si="11"/>
        <v>4090750</v>
      </c>
      <c r="AV15" s="578">
        <f t="shared" si="11"/>
        <v>2965643</v>
      </c>
      <c r="AW15" s="578">
        <f t="shared" si="11"/>
        <v>12000</v>
      </c>
      <c r="AX15" s="578">
        <f t="shared" si="11"/>
        <v>1006443</v>
      </c>
      <c r="AY15" s="578">
        <f t="shared" si="11"/>
        <v>59313</v>
      </c>
      <c r="AZ15" s="578">
        <f t="shared" si="11"/>
        <v>47351</v>
      </c>
      <c r="BA15" s="579">
        <f t="shared" si="11"/>
        <v>6.9545000000000003</v>
      </c>
      <c r="BB15" s="579">
        <f t="shared" si="11"/>
        <v>4.0644999999999998</v>
      </c>
      <c r="BC15" s="356">
        <f t="shared" si="11"/>
        <v>2.8899999999999997</v>
      </c>
    </row>
    <row r="16" spans="1:55" ht="12.95" customHeight="1" x14ac:dyDescent="0.25">
      <c r="A16" s="308">
        <v>2</v>
      </c>
      <c r="B16" s="349">
        <v>5451</v>
      </c>
      <c r="C16" s="350">
        <v>600098893</v>
      </c>
      <c r="D16" s="309">
        <v>70939331</v>
      </c>
      <c r="E16" s="351" t="s">
        <v>373</v>
      </c>
      <c r="F16" s="309">
        <v>3111</v>
      </c>
      <c r="G16" s="351" t="s">
        <v>325</v>
      </c>
      <c r="H16" s="312" t="s">
        <v>277</v>
      </c>
      <c r="I16" s="477">
        <v>10565837</v>
      </c>
      <c r="J16" s="472">
        <v>7631916</v>
      </c>
      <c r="K16" s="472">
        <v>17000</v>
      </c>
      <c r="L16" s="472">
        <v>2585334</v>
      </c>
      <c r="M16" s="472">
        <v>152638</v>
      </c>
      <c r="N16" s="472">
        <v>178949</v>
      </c>
      <c r="O16" s="473">
        <v>16.857299999999999</v>
      </c>
      <c r="P16" s="474">
        <v>12.2258</v>
      </c>
      <c r="Q16" s="483">
        <v>4.6315000000000008</v>
      </c>
      <c r="R16" s="485">
        <f t="shared" ref="R16:R18" si="12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0"/>
        <v>0</v>
      </c>
      <c r="Y16" s="475">
        <v>0</v>
      </c>
      <c r="Z16" s="475">
        <v>0</v>
      </c>
      <c r="AA16" s="475">
        <v>0</v>
      </c>
      <c r="AB16" s="475">
        <f t="shared" ref="AB16:AB18" si="13">SUM(Y16:AA16)</f>
        <v>0</v>
      </c>
      <c r="AC16" s="475">
        <f t="shared" ref="AC16:AC18" si="14">X16+AB16</f>
        <v>0</v>
      </c>
      <c r="AD16" s="70">
        <f t="shared" ref="AD16:AD18" si="15">ROUND((X16+Y16+Z16)*33.8%,0)</f>
        <v>0</v>
      </c>
      <c r="AE16" s="70">
        <f t="shared" ref="AE16:AE18" si="16">ROUND(X16*2%,0)</f>
        <v>0</v>
      </c>
      <c r="AF16" s="475">
        <v>0</v>
      </c>
      <c r="AG16" s="475">
        <v>0</v>
      </c>
      <c r="AH16" s="475">
        <f t="shared" ref="AH16:AH18" si="17">SUM(AF16:AG16)</f>
        <v>0</v>
      </c>
      <c r="AI16" s="475">
        <f t="shared" ref="AI16:AI18" si="18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ref="AT16:AT18" si="19">SUM(AR16:AS16)</f>
        <v>0</v>
      </c>
      <c r="AU16" s="484">
        <f>I16+AI16</f>
        <v>10565837</v>
      </c>
      <c r="AV16" s="475">
        <f>J16+X16</f>
        <v>7631916</v>
      </c>
      <c r="AW16" s="475">
        <f t="shared" ref="AW16:AW18" si="20">K16+AB16</f>
        <v>17000</v>
      </c>
      <c r="AX16" s="475">
        <f t="shared" ref="AX16:AY18" si="21">L16+AD16</f>
        <v>2585334</v>
      </c>
      <c r="AY16" s="475">
        <f t="shared" si="21"/>
        <v>152638</v>
      </c>
      <c r="AZ16" s="475">
        <f>N16+AH16</f>
        <v>178949</v>
      </c>
      <c r="BA16" s="476">
        <f>O16+AT16</f>
        <v>16.857299999999999</v>
      </c>
      <c r="BB16" s="476">
        <f t="shared" ref="BB16:BC18" si="22">P16+AR16</f>
        <v>12.2258</v>
      </c>
      <c r="BC16" s="478">
        <f t="shared" si="22"/>
        <v>4.6315000000000008</v>
      </c>
    </row>
    <row r="17" spans="1:55" ht="12.95" customHeight="1" x14ac:dyDescent="0.25">
      <c r="A17" s="308">
        <v>2</v>
      </c>
      <c r="B17" s="349">
        <v>5451</v>
      </c>
      <c r="C17" s="350">
        <v>600098893</v>
      </c>
      <c r="D17" s="309">
        <v>70939331</v>
      </c>
      <c r="E17" s="351" t="s">
        <v>373</v>
      </c>
      <c r="F17" s="309">
        <v>3111</v>
      </c>
      <c r="G17" s="351" t="s">
        <v>313</v>
      </c>
      <c r="H17" s="312" t="s">
        <v>277</v>
      </c>
      <c r="I17" s="477">
        <v>512982</v>
      </c>
      <c r="J17" s="472">
        <v>377748</v>
      </c>
      <c r="K17" s="472">
        <v>0</v>
      </c>
      <c r="L17" s="472">
        <v>127679</v>
      </c>
      <c r="M17" s="472">
        <v>7555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2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10"/>
        <v>0</v>
      </c>
      <c r="Y17" s="475">
        <v>0</v>
      </c>
      <c r="Z17" s="475">
        <v>0</v>
      </c>
      <c r="AA17" s="475">
        <v>0</v>
      </c>
      <c r="AB17" s="475">
        <f t="shared" si="13"/>
        <v>0</v>
      </c>
      <c r="AC17" s="475">
        <f t="shared" si="14"/>
        <v>0</v>
      </c>
      <c r="AD17" s="70">
        <f t="shared" si="15"/>
        <v>0</v>
      </c>
      <c r="AE17" s="70">
        <f t="shared" si="16"/>
        <v>0</v>
      </c>
      <c r="AF17" s="475">
        <v>0</v>
      </c>
      <c r="AG17" s="475">
        <v>0</v>
      </c>
      <c r="AH17" s="475">
        <f t="shared" si="17"/>
        <v>0</v>
      </c>
      <c r="AI17" s="475">
        <f t="shared" si="18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19"/>
        <v>0</v>
      </c>
      <c r="AU17" s="484">
        <f>I17+AI17</f>
        <v>512982</v>
      </c>
      <c r="AV17" s="475">
        <f>J17+X17</f>
        <v>377748</v>
      </c>
      <c r="AW17" s="475">
        <f t="shared" si="20"/>
        <v>0</v>
      </c>
      <c r="AX17" s="475">
        <f t="shared" si="21"/>
        <v>127679</v>
      </c>
      <c r="AY17" s="475">
        <f t="shared" si="21"/>
        <v>7555</v>
      </c>
      <c r="AZ17" s="475">
        <f>N17+AH17</f>
        <v>0</v>
      </c>
      <c r="BA17" s="476">
        <f>O17+AT17</f>
        <v>1</v>
      </c>
      <c r="BB17" s="476">
        <f t="shared" si="22"/>
        <v>1</v>
      </c>
      <c r="BC17" s="478">
        <f t="shared" si="22"/>
        <v>0</v>
      </c>
    </row>
    <row r="18" spans="1:55" ht="12.95" customHeight="1" x14ac:dyDescent="0.25">
      <c r="A18" s="308">
        <v>2</v>
      </c>
      <c r="B18" s="349">
        <v>5451</v>
      </c>
      <c r="C18" s="350">
        <v>600098893</v>
      </c>
      <c r="D18" s="309">
        <v>70939331</v>
      </c>
      <c r="E18" s="351" t="s">
        <v>373</v>
      </c>
      <c r="F18" s="309">
        <v>3141</v>
      </c>
      <c r="G18" s="351" t="s">
        <v>315</v>
      </c>
      <c r="H18" s="312" t="s">
        <v>278</v>
      </c>
      <c r="I18" s="477">
        <v>1599859</v>
      </c>
      <c r="J18" s="472">
        <v>1172016</v>
      </c>
      <c r="K18" s="472">
        <v>0</v>
      </c>
      <c r="L18" s="472">
        <v>396141</v>
      </c>
      <c r="M18" s="472">
        <v>23440</v>
      </c>
      <c r="N18" s="472">
        <v>8262</v>
      </c>
      <c r="O18" s="473">
        <v>3.69</v>
      </c>
      <c r="P18" s="474">
        <v>0</v>
      </c>
      <c r="Q18" s="483">
        <v>3.69</v>
      </c>
      <c r="R18" s="485">
        <f t="shared" si="12"/>
        <v>0</v>
      </c>
      <c r="S18" s="475">
        <v>0</v>
      </c>
      <c r="T18" s="475">
        <v>-33365</v>
      </c>
      <c r="U18" s="475">
        <v>0</v>
      </c>
      <c r="V18" s="475">
        <v>0</v>
      </c>
      <c r="W18" s="475">
        <v>0</v>
      </c>
      <c r="X18" s="475">
        <f t="shared" si="10"/>
        <v>-33365</v>
      </c>
      <c r="Y18" s="475">
        <v>0</v>
      </c>
      <c r="Z18" s="475">
        <v>0</v>
      </c>
      <c r="AA18" s="475">
        <v>0</v>
      </c>
      <c r="AB18" s="475">
        <f t="shared" si="13"/>
        <v>0</v>
      </c>
      <c r="AC18" s="475">
        <f t="shared" si="14"/>
        <v>-33365</v>
      </c>
      <c r="AD18" s="70">
        <f t="shared" si="15"/>
        <v>-11277</v>
      </c>
      <c r="AE18" s="70">
        <f t="shared" si="16"/>
        <v>-667</v>
      </c>
      <c r="AF18" s="475">
        <v>0</v>
      </c>
      <c r="AG18" s="475">
        <v>0</v>
      </c>
      <c r="AH18" s="475">
        <f t="shared" si="17"/>
        <v>0</v>
      </c>
      <c r="AI18" s="475">
        <f t="shared" si="18"/>
        <v>-45309</v>
      </c>
      <c r="AJ18" s="476">
        <v>0</v>
      </c>
      <c r="AK18" s="476">
        <v>0</v>
      </c>
      <c r="AL18" s="476">
        <v>0</v>
      </c>
      <c r="AM18" s="476">
        <v>0</v>
      </c>
      <c r="AN18" s="476">
        <v>-0.11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-0.11</v>
      </c>
      <c r="AT18" s="478">
        <f t="shared" si="19"/>
        <v>-0.11</v>
      </c>
      <c r="AU18" s="484">
        <f>I18+AI18</f>
        <v>1554550</v>
      </c>
      <c r="AV18" s="475">
        <f>J18+X18</f>
        <v>1138651</v>
      </c>
      <c r="AW18" s="475">
        <f t="shared" si="20"/>
        <v>0</v>
      </c>
      <c r="AX18" s="475">
        <f t="shared" si="21"/>
        <v>384864</v>
      </c>
      <c r="AY18" s="475">
        <f t="shared" si="21"/>
        <v>22773</v>
      </c>
      <c r="AZ18" s="475">
        <f>N18+AH18</f>
        <v>8262</v>
      </c>
      <c r="BA18" s="476">
        <f>O18+AT18</f>
        <v>3.58</v>
      </c>
      <c r="BB18" s="476">
        <f t="shared" si="22"/>
        <v>0</v>
      </c>
      <c r="BC18" s="478">
        <f t="shared" si="22"/>
        <v>3.58</v>
      </c>
    </row>
    <row r="19" spans="1:55" ht="12.95" customHeight="1" x14ac:dyDescent="0.25">
      <c r="A19" s="352">
        <v>2</v>
      </c>
      <c r="B19" s="353">
        <v>5451</v>
      </c>
      <c r="C19" s="354">
        <v>600098893</v>
      </c>
      <c r="D19" s="353">
        <v>70939331</v>
      </c>
      <c r="E19" s="355" t="s">
        <v>374</v>
      </c>
      <c r="F19" s="303"/>
      <c r="G19" s="355"/>
      <c r="H19" s="317"/>
      <c r="I19" s="582">
        <v>12678678</v>
      </c>
      <c r="J19" s="578">
        <v>9181680</v>
      </c>
      <c r="K19" s="578">
        <v>17000</v>
      </c>
      <c r="L19" s="578">
        <v>3109154</v>
      </c>
      <c r="M19" s="578">
        <v>183633</v>
      </c>
      <c r="N19" s="578">
        <v>187211</v>
      </c>
      <c r="O19" s="579">
        <v>21.5473</v>
      </c>
      <c r="P19" s="579">
        <v>13.2258</v>
      </c>
      <c r="Q19" s="584">
        <v>8.3215000000000003</v>
      </c>
      <c r="R19" s="582">
        <f t="shared" ref="R19:BC19" si="23">SUM(R16:R18)</f>
        <v>0</v>
      </c>
      <c r="S19" s="578">
        <f t="shared" si="23"/>
        <v>0</v>
      </c>
      <c r="T19" s="578">
        <f t="shared" si="23"/>
        <v>-33365</v>
      </c>
      <c r="U19" s="578">
        <f t="shared" si="23"/>
        <v>0</v>
      </c>
      <c r="V19" s="578">
        <f t="shared" si="23"/>
        <v>0</v>
      </c>
      <c r="W19" s="578">
        <f t="shared" si="23"/>
        <v>0</v>
      </c>
      <c r="X19" s="578">
        <f t="shared" si="23"/>
        <v>-33365</v>
      </c>
      <c r="Y19" s="578">
        <f t="shared" si="23"/>
        <v>0</v>
      </c>
      <c r="Z19" s="578">
        <f t="shared" si="23"/>
        <v>0</v>
      </c>
      <c r="AA19" s="578">
        <f t="shared" si="23"/>
        <v>0</v>
      </c>
      <c r="AB19" s="578">
        <f t="shared" si="23"/>
        <v>0</v>
      </c>
      <c r="AC19" s="578">
        <f t="shared" si="23"/>
        <v>-33365</v>
      </c>
      <c r="AD19" s="578">
        <f t="shared" si="23"/>
        <v>-11277</v>
      </c>
      <c r="AE19" s="578">
        <f t="shared" si="23"/>
        <v>-667</v>
      </c>
      <c r="AF19" s="578">
        <f t="shared" si="23"/>
        <v>0</v>
      </c>
      <c r="AG19" s="578">
        <f t="shared" si="23"/>
        <v>0</v>
      </c>
      <c r="AH19" s="578">
        <f t="shared" si="23"/>
        <v>0</v>
      </c>
      <c r="AI19" s="578">
        <f t="shared" si="23"/>
        <v>-45309</v>
      </c>
      <c r="AJ19" s="579">
        <f t="shared" si="23"/>
        <v>0</v>
      </c>
      <c r="AK19" s="579">
        <f t="shared" si="23"/>
        <v>0</v>
      </c>
      <c r="AL19" s="579">
        <f t="shared" si="23"/>
        <v>0</v>
      </c>
      <c r="AM19" s="579">
        <f t="shared" si="23"/>
        <v>0</v>
      </c>
      <c r="AN19" s="579">
        <f t="shared" si="23"/>
        <v>-0.11</v>
      </c>
      <c r="AO19" s="579">
        <f t="shared" si="23"/>
        <v>0</v>
      </c>
      <c r="AP19" s="579">
        <f t="shared" si="23"/>
        <v>0</v>
      </c>
      <c r="AQ19" s="579">
        <f t="shared" si="23"/>
        <v>0</v>
      </c>
      <c r="AR19" s="579">
        <f t="shared" si="23"/>
        <v>0</v>
      </c>
      <c r="AS19" s="579">
        <f t="shared" si="23"/>
        <v>-0.11</v>
      </c>
      <c r="AT19" s="356">
        <f t="shared" si="23"/>
        <v>-0.11</v>
      </c>
      <c r="AU19" s="586">
        <f t="shared" si="23"/>
        <v>12633369</v>
      </c>
      <c r="AV19" s="578">
        <f t="shared" si="23"/>
        <v>9148315</v>
      </c>
      <c r="AW19" s="578">
        <f t="shared" si="23"/>
        <v>17000</v>
      </c>
      <c r="AX19" s="578">
        <f t="shared" si="23"/>
        <v>3097877</v>
      </c>
      <c r="AY19" s="578">
        <f t="shared" si="23"/>
        <v>182966</v>
      </c>
      <c r="AZ19" s="578">
        <f t="shared" si="23"/>
        <v>187211</v>
      </c>
      <c r="BA19" s="579">
        <f t="shared" si="23"/>
        <v>21.4373</v>
      </c>
      <c r="BB19" s="579">
        <f t="shared" si="23"/>
        <v>13.2258</v>
      </c>
      <c r="BC19" s="356">
        <f t="shared" si="23"/>
        <v>8.2115000000000009</v>
      </c>
    </row>
    <row r="20" spans="1:55" ht="12.95" customHeight="1" x14ac:dyDescent="0.25">
      <c r="A20" s="308">
        <v>3</v>
      </c>
      <c r="B20" s="349">
        <v>5450</v>
      </c>
      <c r="C20" s="350">
        <v>600098834</v>
      </c>
      <c r="D20" s="309">
        <v>70939322</v>
      </c>
      <c r="E20" s="351" t="s">
        <v>828</v>
      </c>
      <c r="F20" s="309">
        <v>3111</v>
      </c>
      <c r="G20" s="351" t="s">
        <v>325</v>
      </c>
      <c r="H20" s="312" t="s">
        <v>277</v>
      </c>
      <c r="I20" s="477">
        <v>6717614</v>
      </c>
      <c r="J20" s="472">
        <v>4798515</v>
      </c>
      <c r="K20" s="472">
        <v>60000</v>
      </c>
      <c r="L20" s="472">
        <v>1642178</v>
      </c>
      <c r="M20" s="472">
        <v>95971</v>
      </c>
      <c r="N20" s="472">
        <v>120950</v>
      </c>
      <c r="O20" s="473">
        <v>10.917</v>
      </c>
      <c r="P20" s="474">
        <v>8.0470000000000006</v>
      </c>
      <c r="Q20" s="483">
        <v>2.87</v>
      </c>
      <c r="R20" s="485">
        <f t="shared" ref="R20:R22" si="24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10"/>
        <v>0</v>
      </c>
      <c r="Y20" s="475">
        <v>0</v>
      </c>
      <c r="Z20" s="475">
        <v>0</v>
      </c>
      <c r="AA20" s="475">
        <v>0</v>
      </c>
      <c r="AB20" s="475">
        <f t="shared" ref="AB20:AB22" si="25">SUM(Y20:AA20)</f>
        <v>0</v>
      </c>
      <c r="AC20" s="475">
        <f t="shared" ref="AC20:AC22" si="26">X20+AB20</f>
        <v>0</v>
      </c>
      <c r="AD20" s="70">
        <f t="shared" ref="AD20:AD22" si="27">ROUND((X20+Y20+Z20)*33.8%,0)</f>
        <v>0</v>
      </c>
      <c r="AE20" s="70">
        <f t="shared" ref="AE20:AE22" si="28">ROUND(X20*2%,0)</f>
        <v>0</v>
      </c>
      <c r="AF20" s="475">
        <v>0</v>
      </c>
      <c r="AG20" s="475">
        <v>0</v>
      </c>
      <c r="AH20" s="475">
        <f t="shared" ref="AH20:AH22" si="29">SUM(AF20:AG20)</f>
        <v>0</v>
      </c>
      <c r="AI20" s="475">
        <f t="shared" ref="AI20:AI22" si="30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ref="AT20:AT22" si="31">SUM(AR20:AS20)</f>
        <v>0</v>
      </c>
      <c r="AU20" s="484">
        <f>I20+AI20</f>
        <v>6717614</v>
      </c>
      <c r="AV20" s="475">
        <f>J20+X20</f>
        <v>4798515</v>
      </c>
      <c r="AW20" s="475">
        <f t="shared" ref="AW20:AW22" si="32">K20+AB20</f>
        <v>60000</v>
      </c>
      <c r="AX20" s="475">
        <f t="shared" ref="AX20:AY22" si="33">L20+AD20</f>
        <v>1642178</v>
      </c>
      <c r="AY20" s="475">
        <f t="shared" si="33"/>
        <v>95971</v>
      </c>
      <c r="AZ20" s="475">
        <f>N20+AH20</f>
        <v>120950</v>
      </c>
      <c r="BA20" s="476">
        <f>O20+AT20</f>
        <v>10.917</v>
      </c>
      <c r="BB20" s="476">
        <f t="shared" ref="BB20:BC22" si="34">P20+AR20</f>
        <v>8.0470000000000006</v>
      </c>
      <c r="BC20" s="478">
        <f t="shared" si="34"/>
        <v>2.87</v>
      </c>
    </row>
    <row r="21" spans="1:55" ht="12.95" customHeight="1" x14ac:dyDescent="0.25">
      <c r="A21" s="308">
        <v>3</v>
      </c>
      <c r="B21" s="349">
        <v>5450</v>
      </c>
      <c r="C21" s="350">
        <v>600098834</v>
      </c>
      <c r="D21" s="309">
        <v>70939322</v>
      </c>
      <c r="E21" s="351" t="s">
        <v>828</v>
      </c>
      <c r="F21" s="309">
        <v>3111</v>
      </c>
      <c r="G21" s="351" t="s">
        <v>319</v>
      </c>
      <c r="H21" s="312" t="s">
        <v>278</v>
      </c>
      <c r="I21" s="477">
        <v>499835</v>
      </c>
      <c r="J21" s="472">
        <v>368068</v>
      </c>
      <c r="K21" s="472">
        <v>0</v>
      </c>
      <c r="L21" s="472">
        <v>124406</v>
      </c>
      <c r="M21" s="472">
        <v>7361</v>
      </c>
      <c r="N21" s="472">
        <v>0</v>
      </c>
      <c r="O21" s="473">
        <v>1.0799999999999998</v>
      </c>
      <c r="P21" s="474">
        <v>1.0799999999999998</v>
      </c>
      <c r="Q21" s="483">
        <v>0</v>
      </c>
      <c r="R21" s="485">
        <f t="shared" si="24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10"/>
        <v>0</v>
      </c>
      <c r="Y21" s="475">
        <v>0</v>
      </c>
      <c r="Z21" s="475">
        <v>0</v>
      </c>
      <c r="AA21" s="475">
        <v>0</v>
      </c>
      <c r="AB21" s="475">
        <f t="shared" si="25"/>
        <v>0</v>
      </c>
      <c r="AC21" s="475">
        <f t="shared" si="26"/>
        <v>0</v>
      </c>
      <c r="AD21" s="70">
        <f t="shared" si="27"/>
        <v>0</v>
      </c>
      <c r="AE21" s="70">
        <f t="shared" si="28"/>
        <v>0</v>
      </c>
      <c r="AF21" s="475">
        <v>0</v>
      </c>
      <c r="AG21" s="475">
        <v>0</v>
      </c>
      <c r="AH21" s="475">
        <f t="shared" si="29"/>
        <v>0</v>
      </c>
      <c r="AI21" s="475">
        <f t="shared" si="30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31"/>
        <v>0</v>
      </c>
      <c r="AU21" s="484">
        <f>I21+AI21</f>
        <v>499835</v>
      </c>
      <c r="AV21" s="475">
        <f>J21+X21</f>
        <v>368068</v>
      </c>
      <c r="AW21" s="475">
        <f t="shared" si="32"/>
        <v>0</v>
      </c>
      <c r="AX21" s="475">
        <f t="shared" si="33"/>
        <v>124406</v>
      </c>
      <c r="AY21" s="475">
        <f t="shared" si="33"/>
        <v>7361</v>
      </c>
      <c r="AZ21" s="475">
        <f>N21+AH21</f>
        <v>0</v>
      </c>
      <c r="BA21" s="476">
        <f>O21+AT21</f>
        <v>1.0799999999999998</v>
      </c>
      <c r="BB21" s="476">
        <f t="shared" si="34"/>
        <v>1.0799999999999998</v>
      </c>
      <c r="BC21" s="478">
        <f t="shared" si="34"/>
        <v>0</v>
      </c>
    </row>
    <row r="22" spans="1:55" ht="12.95" customHeight="1" x14ac:dyDescent="0.25">
      <c r="A22" s="308">
        <v>3</v>
      </c>
      <c r="B22" s="349">
        <v>5450</v>
      </c>
      <c r="C22" s="350">
        <v>600098834</v>
      </c>
      <c r="D22" s="309">
        <v>70939322</v>
      </c>
      <c r="E22" s="351" t="s">
        <v>828</v>
      </c>
      <c r="F22" s="309">
        <v>3141</v>
      </c>
      <c r="G22" s="351" t="s">
        <v>315</v>
      </c>
      <c r="H22" s="312" t="s">
        <v>278</v>
      </c>
      <c r="I22" s="477">
        <v>1041844</v>
      </c>
      <c r="J22" s="472">
        <v>763261</v>
      </c>
      <c r="K22" s="472">
        <v>0</v>
      </c>
      <c r="L22" s="472">
        <v>257982</v>
      </c>
      <c r="M22" s="472">
        <v>15265</v>
      </c>
      <c r="N22" s="472">
        <v>5336</v>
      </c>
      <c r="O22" s="473">
        <v>2.4</v>
      </c>
      <c r="P22" s="474">
        <v>0</v>
      </c>
      <c r="Q22" s="483">
        <v>2.4</v>
      </c>
      <c r="R22" s="485">
        <f t="shared" si="24"/>
        <v>0</v>
      </c>
      <c r="S22" s="475">
        <v>0</v>
      </c>
      <c r="T22" s="475">
        <v>-15611</v>
      </c>
      <c r="U22" s="475">
        <v>0</v>
      </c>
      <c r="V22" s="475">
        <v>0</v>
      </c>
      <c r="W22" s="475">
        <v>0</v>
      </c>
      <c r="X22" s="475">
        <f t="shared" si="10"/>
        <v>-15611</v>
      </c>
      <c r="Y22" s="475">
        <v>0</v>
      </c>
      <c r="Z22" s="475">
        <v>0</v>
      </c>
      <c r="AA22" s="475">
        <v>0</v>
      </c>
      <c r="AB22" s="475">
        <f t="shared" si="25"/>
        <v>0</v>
      </c>
      <c r="AC22" s="475">
        <f t="shared" si="26"/>
        <v>-15611</v>
      </c>
      <c r="AD22" s="70">
        <f t="shared" si="27"/>
        <v>-5277</v>
      </c>
      <c r="AE22" s="70">
        <f t="shared" si="28"/>
        <v>-312</v>
      </c>
      <c r="AF22" s="475">
        <v>0</v>
      </c>
      <c r="AG22" s="475">
        <v>0</v>
      </c>
      <c r="AH22" s="475">
        <f t="shared" si="29"/>
        <v>0</v>
      </c>
      <c r="AI22" s="475">
        <f t="shared" si="30"/>
        <v>-21200</v>
      </c>
      <c r="AJ22" s="476">
        <v>0</v>
      </c>
      <c r="AK22" s="476">
        <v>0</v>
      </c>
      <c r="AL22" s="476">
        <v>0</v>
      </c>
      <c r="AM22" s="476">
        <v>0</v>
      </c>
      <c r="AN22" s="476">
        <v>-0.05</v>
      </c>
      <c r="AO22" s="476">
        <v>0</v>
      </c>
      <c r="AP22" s="476">
        <v>0</v>
      </c>
      <c r="AQ22" s="476">
        <v>0</v>
      </c>
      <c r="AR22" s="476">
        <f>AJ22+AL22+AM22+AO22+AP22</f>
        <v>0</v>
      </c>
      <c r="AS22" s="476">
        <f>AK22+AN22+AQ22</f>
        <v>-0.05</v>
      </c>
      <c r="AT22" s="478">
        <f t="shared" si="31"/>
        <v>-0.05</v>
      </c>
      <c r="AU22" s="484">
        <f>I22+AI22</f>
        <v>1020644</v>
      </c>
      <c r="AV22" s="475">
        <f>J22+X22</f>
        <v>747650</v>
      </c>
      <c r="AW22" s="475">
        <f t="shared" si="32"/>
        <v>0</v>
      </c>
      <c r="AX22" s="475">
        <f t="shared" si="33"/>
        <v>252705</v>
      </c>
      <c r="AY22" s="475">
        <f t="shared" si="33"/>
        <v>14953</v>
      </c>
      <c r="AZ22" s="475">
        <f>N22+AH22</f>
        <v>5336</v>
      </c>
      <c r="BA22" s="476">
        <f>O22+AT22</f>
        <v>2.35</v>
      </c>
      <c r="BB22" s="476">
        <f t="shared" si="34"/>
        <v>0</v>
      </c>
      <c r="BC22" s="478">
        <f t="shared" si="34"/>
        <v>2.35</v>
      </c>
    </row>
    <row r="23" spans="1:55" ht="12.95" customHeight="1" x14ac:dyDescent="0.25">
      <c r="A23" s="352">
        <v>3</v>
      </c>
      <c r="B23" s="353">
        <v>5450</v>
      </c>
      <c r="C23" s="354">
        <v>600098834</v>
      </c>
      <c r="D23" s="353">
        <v>70939322</v>
      </c>
      <c r="E23" s="355" t="s">
        <v>375</v>
      </c>
      <c r="F23" s="319"/>
      <c r="G23" s="357"/>
      <c r="H23" s="320"/>
      <c r="I23" s="582">
        <v>8259293</v>
      </c>
      <c r="J23" s="578">
        <v>5929844</v>
      </c>
      <c r="K23" s="578">
        <v>60000</v>
      </c>
      <c r="L23" s="578">
        <v>2024566</v>
      </c>
      <c r="M23" s="578">
        <v>118597</v>
      </c>
      <c r="N23" s="578">
        <v>126286</v>
      </c>
      <c r="O23" s="579">
        <v>14.397</v>
      </c>
      <c r="P23" s="579">
        <v>9.1270000000000007</v>
      </c>
      <c r="Q23" s="584">
        <v>5.27</v>
      </c>
      <c r="R23" s="582">
        <f t="shared" ref="R23:BC23" si="35">SUM(R20:R22)</f>
        <v>0</v>
      </c>
      <c r="S23" s="578">
        <f t="shared" si="35"/>
        <v>0</v>
      </c>
      <c r="T23" s="578">
        <f t="shared" si="35"/>
        <v>-15611</v>
      </c>
      <c r="U23" s="578">
        <f t="shared" si="35"/>
        <v>0</v>
      </c>
      <c r="V23" s="578">
        <f t="shared" si="35"/>
        <v>0</v>
      </c>
      <c r="W23" s="578">
        <f t="shared" si="35"/>
        <v>0</v>
      </c>
      <c r="X23" s="578">
        <f t="shared" si="35"/>
        <v>-15611</v>
      </c>
      <c r="Y23" s="578">
        <f t="shared" si="35"/>
        <v>0</v>
      </c>
      <c r="Z23" s="578">
        <f t="shared" si="35"/>
        <v>0</v>
      </c>
      <c r="AA23" s="578">
        <f t="shared" si="35"/>
        <v>0</v>
      </c>
      <c r="AB23" s="578">
        <f t="shared" si="35"/>
        <v>0</v>
      </c>
      <c r="AC23" s="578">
        <f t="shared" si="35"/>
        <v>-15611</v>
      </c>
      <c r="AD23" s="578">
        <f t="shared" si="35"/>
        <v>-5277</v>
      </c>
      <c r="AE23" s="578">
        <f t="shared" si="35"/>
        <v>-312</v>
      </c>
      <c r="AF23" s="578">
        <f t="shared" si="35"/>
        <v>0</v>
      </c>
      <c r="AG23" s="578">
        <f t="shared" si="35"/>
        <v>0</v>
      </c>
      <c r="AH23" s="578">
        <f t="shared" si="35"/>
        <v>0</v>
      </c>
      <c r="AI23" s="578">
        <f t="shared" si="35"/>
        <v>-21200</v>
      </c>
      <c r="AJ23" s="579">
        <f t="shared" si="35"/>
        <v>0</v>
      </c>
      <c r="AK23" s="579">
        <f t="shared" si="35"/>
        <v>0</v>
      </c>
      <c r="AL23" s="579">
        <f t="shared" si="35"/>
        <v>0</v>
      </c>
      <c r="AM23" s="579">
        <f t="shared" si="35"/>
        <v>0</v>
      </c>
      <c r="AN23" s="579">
        <f t="shared" si="35"/>
        <v>-0.05</v>
      </c>
      <c r="AO23" s="579">
        <f t="shared" si="35"/>
        <v>0</v>
      </c>
      <c r="AP23" s="579">
        <f t="shared" si="35"/>
        <v>0</v>
      </c>
      <c r="AQ23" s="579">
        <f t="shared" si="35"/>
        <v>0</v>
      </c>
      <c r="AR23" s="579">
        <f t="shared" si="35"/>
        <v>0</v>
      </c>
      <c r="AS23" s="579">
        <f t="shared" si="35"/>
        <v>-0.05</v>
      </c>
      <c r="AT23" s="356">
        <f t="shared" si="35"/>
        <v>-0.05</v>
      </c>
      <c r="AU23" s="586">
        <f t="shared" si="35"/>
        <v>8238093</v>
      </c>
      <c r="AV23" s="578">
        <f t="shared" si="35"/>
        <v>5914233</v>
      </c>
      <c r="AW23" s="578">
        <f t="shared" si="35"/>
        <v>60000</v>
      </c>
      <c r="AX23" s="578">
        <f t="shared" si="35"/>
        <v>2019289</v>
      </c>
      <c r="AY23" s="578">
        <f t="shared" si="35"/>
        <v>118285</v>
      </c>
      <c r="AZ23" s="578">
        <f t="shared" si="35"/>
        <v>126286</v>
      </c>
      <c r="BA23" s="579">
        <f t="shared" si="35"/>
        <v>14.347</v>
      </c>
      <c r="BB23" s="579">
        <f t="shared" si="35"/>
        <v>9.1270000000000007</v>
      </c>
      <c r="BC23" s="356">
        <f t="shared" si="35"/>
        <v>5.2200000000000006</v>
      </c>
    </row>
    <row r="24" spans="1:55" ht="12.95" customHeight="1" x14ac:dyDescent="0.25">
      <c r="A24" s="308">
        <v>4</v>
      </c>
      <c r="B24" s="349">
        <v>5447</v>
      </c>
      <c r="C24" s="358">
        <v>600099512</v>
      </c>
      <c r="D24" s="309">
        <v>854816</v>
      </c>
      <c r="E24" s="351" t="s">
        <v>376</v>
      </c>
      <c r="F24" s="309">
        <v>3233</v>
      </c>
      <c r="G24" s="351" t="s">
        <v>318</v>
      </c>
      <c r="H24" s="312" t="s">
        <v>278</v>
      </c>
      <c r="I24" s="477">
        <v>3386588</v>
      </c>
      <c r="J24" s="472">
        <v>2454174</v>
      </c>
      <c r="K24" s="472">
        <v>20000</v>
      </c>
      <c r="L24" s="472">
        <v>836271</v>
      </c>
      <c r="M24" s="472">
        <v>49083</v>
      </c>
      <c r="N24" s="472">
        <v>27060</v>
      </c>
      <c r="O24" s="473">
        <v>5.3900000000000006</v>
      </c>
      <c r="P24" s="474">
        <v>3.5500000000000003</v>
      </c>
      <c r="Q24" s="483">
        <v>1.84</v>
      </c>
      <c r="R24" s="485">
        <f t="shared" ref="R24" si="36">Y24*-1</f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10"/>
        <v>0</v>
      </c>
      <c r="Y24" s="475">
        <v>0</v>
      </c>
      <c r="Z24" s="475">
        <v>0</v>
      </c>
      <c r="AA24" s="475">
        <v>0</v>
      </c>
      <c r="AB24" s="475">
        <f t="shared" ref="AB24" si="37">SUM(Y24:AA24)</f>
        <v>0</v>
      </c>
      <c r="AC24" s="475">
        <f t="shared" ref="AC24" si="38">X24+AB24</f>
        <v>0</v>
      </c>
      <c r="AD24" s="70">
        <f t="shared" ref="AD24" si="39">ROUND((X24+Y24+Z24)*33.8%,0)</f>
        <v>0</v>
      </c>
      <c r="AE24" s="70">
        <f t="shared" ref="AE24" si="40">ROUND(X24*2%,0)</f>
        <v>0</v>
      </c>
      <c r="AF24" s="475">
        <v>0</v>
      </c>
      <c r="AG24" s="475">
        <v>0</v>
      </c>
      <c r="AH24" s="475">
        <f t="shared" ref="AH24" si="41">SUM(AF24:AG24)</f>
        <v>0</v>
      </c>
      <c r="AI24" s="475">
        <f t="shared" ref="AI24" si="42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ref="AT24" si="43">SUM(AR24:AS24)</f>
        <v>0</v>
      </c>
      <c r="AU24" s="484">
        <f>I24+AI24</f>
        <v>3386588</v>
      </c>
      <c r="AV24" s="475">
        <f>J24+X24</f>
        <v>2454174</v>
      </c>
      <c r="AW24" s="475">
        <f>K24+AB24</f>
        <v>20000</v>
      </c>
      <c r="AX24" s="475">
        <f>L24+AD24</f>
        <v>836271</v>
      </c>
      <c r="AY24" s="475">
        <f>M24+AE24</f>
        <v>49083</v>
      </c>
      <c r="AZ24" s="475">
        <f>N24+AH24</f>
        <v>27060</v>
      </c>
      <c r="BA24" s="476">
        <f>O24+AT24</f>
        <v>5.3900000000000006</v>
      </c>
      <c r="BB24" s="476">
        <f>P24+AR24</f>
        <v>3.5500000000000003</v>
      </c>
      <c r="BC24" s="478">
        <f>Q24+AS24</f>
        <v>1.84</v>
      </c>
    </row>
    <row r="25" spans="1:55" ht="12.95" customHeight="1" x14ac:dyDescent="0.25">
      <c r="A25" s="352">
        <v>4</v>
      </c>
      <c r="B25" s="353">
        <v>5447</v>
      </c>
      <c r="C25" s="354">
        <v>600099512</v>
      </c>
      <c r="D25" s="353">
        <v>854816</v>
      </c>
      <c r="E25" s="355" t="s">
        <v>377</v>
      </c>
      <c r="F25" s="319"/>
      <c r="G25" s="357"/>
      <c r="H25" s="320"/>
      <c r="I25" s="582">
        <v>3386588</v>
      </c>
      <c r="J25" s="578">
        <v>2454174</v>
      </c>
      <c r="K25" s="578">
        <v>20000</v>
      </c>
      <c r="L25" s="578">
        <v>836271</v>
      </c>
      <c r="M25" s="578">
        <v>49083</v>
      </c>
      <c r="N25" s="578">
        <v>27060</v>
      </c>
      <c r="O25" s="579">
        <v>5.3900000000000006</v>
      </c>
      <c r="P25" s="579">
        <v>3.5500000000000003</v>
      </c>
      <c r="Q25" s="584">
        <v>1.84</v>
      </c>
      <c r="R25" s="582">
        <f t="shared" ref="R25:BC25" si="44">SUM(R24)</f>
        <v>0</v>
      </c>
      <c r="S25" s="578">
        <f t="shared" si="44"/>
        <v>0</v>
      </c>
      <c r="T25" s="578">
        <f t="shared" si="44"/>
        <v>0</v>
      </c>
      <c r="U25" s="578">
        <f t="shared" si="44"/>
        <v>0</v>
      </c>
      <c r="V25" s="578">
        <f t="shared" si="44"/>
        <v>0</v>
      </c>
      <c r="W25" s="578">
        <f t="shared" si="44"/>
        <v>0</v>
      </c>
      <c r="X25" s="578">
        <f t="shared" si="44"/>
        <v>0</v>
      </c>
      <c r="Y25" s="578">
        <f t="shared" si="44"/>
        <v>0</v>
      </c>
      <c r="Z25" s="578">
        <f t="shared" si="44"/>
        <v>0</v>
      </c>
      <c r="AA25" s="578">
        <f t="shared" si="44"/>
        <v>0</v>
      </c>
      <c r="AB25" s="578">
        <f t="shared" si="44"/>
        <v>0</v>
      </c>
      <c r="AC25" s="578">
        <f t="shared" si="44"/>
        <v>0</v>
      </c>
      <c r="AD25" s="578">
        <f t="shared" si="44"/>
        <v>0</v>
      </c>
      <c r="AE25" s="578">
        <f t="shared" si="44"/>
        <v>0</v>
      </c>
      <c r="AF25" s="578">
        <f t="shared" si="44"/>
        <v>0</v>
      </c>
      <c r="AG25" s="578">
        <f t="shared" si="44"/>
        <v>0</v>
      </c>
      <c r="AH25" s="578">
        <f t="shared" si="44"/>
        <v>0</v>
      </c>
      <c r="AI25" s="578">
        <f t="shared" si="44"/>
        <v>0</v>
      </c>
      <c r="AJ25" s="579">
        <f t="shared" si="44"/>
        <v>0</v>
      </c>
      <c r="AK25" s="579">
        <f t="shared" si="44"/>
        <v>0</v>
      </c>
      <c r="AL25" s="579">
        <f t="shared" si="44"/>
        <v>0</v>
      </c>
      <c r="AM25" s="579">
        <f t="shared" si="44"/>
        <v>0</v>
      </c>
      <c r="AN25" s="579">
        <f t="shared" si="44"/>
        <v>0</v>
      </c>
      <c r="AO25" s="579">
        <f t="shared" si="44"/>
        <v>0</v>
      </c>
      <c r="AP25" s="579">
        <f t="shared" si="44"/>
        <v>0</v>
      </c>
      <c r="AQ25" s="579">
        <f t="shared" si="44"/>
        <v>0</v>
      </c>
      <c r="AR25" s="579">
        <f t="shared" si="44"/>
        <v>0</v>
      </c>
      <c r="AS25" s="579">
        <f t="shared" si="44"/>
        <v>0</v>
      </c>
      <c r="AT25" s="356">
        <f t="shared" si="44"/>
        <v>0</v>
      </c>
      <c r="AU25" s="586">
        <f t="shared" si="44"/>
        <v>3386588</v>
      </c>
      <c r="AV25" s="578">
        <f t="shared" si="44"/>
        <v>2454174</v>
      </c>
      <c r="AW25" s="578">
        <f t="shared" si="44"/>
        <v>20000</v>
      </c>
      <c r="AX25" s="578">
        <f t="shared" si="44"/>
        <v>836271</v>
      </c>
      <c r="AY25" s="578">
        <f t="shared" si="44"/>
        <v>49083</v>
      </c>
      <c r="AZ25" s="578">
        <f t="shared" si="44"/>
        <v>27060</v>
      </c>
      <c r="BA25" s="579">
        <f t="shared" si="44"/>
        <v>5.3900000000000006</v>
      </c>
      <c r="BB25" s="579">
        <f t="shared" si="44"/>
        <v>3.5500000000000003</v>
      </c>
      <c r="BC25" s="356">
        <f t="shared" si="44"/>
        <v>1.84</v>
      </c>
    </row>
    <row r="26" spans="1:55" ht="12.95" customHeight="1" x14ac:dyDescent="0.25">
      <c r="A26" s="308">
        <v>5</v>
      </c>
      <c r="B26" s="349">
        <v>5444</v>
      </c>
      <c r="C26" s="350">
        <v>600099296</v>
      </c>
      <c r="D26" s="309">
        <v>854824</v>
      </c>
      <c r="E26" s="351" t="s">
        <v>378</v>
      </c>
      <c r="F26" s="309">
        <v>3113</v>
      </c>
      <c r="G26" s="351" t="s">
        <v>329</v>
      </c>
      <c r="H26" s="312" t="s">
        <v>277</v>
      </c>
      <c r="I26" s="477">
        <v>16798664</v>
      </c>
      <c r="J26" s="472">
        <v>12067100</v>
      </c>
      <c r="K26" s="472">
        <v>47520</v>
      </c>
      <c r="L26" s="472">
        <v>4094742</v>
      </c>
      <c r="M26" s="472">
        <v>241342</v>
      </c>
      <c r="N26" s="472">
        <v>347960</v>
      </c>
      <c r="O26" s="473">
        <v>22.282599999999999</v>
      </c>
      <c r="P26" s="474">
        <v>16.174599999999998</v>
      </c>
      <c r="Q26" s="483">
        <v>6.1079999999999997</v>
      </c>
      <c r="R26" s="485">
        <f t="shared" ref="R26:R31" si="45">Y26*-1</f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10"/>
        <v>0</v>
      </c>
      <c r="Y26" s="475">
        <v>0</v>
      </c>
      <c r="Z26" s="475">
        <v>0</v>
      </c>
      <c r="AA26" s="475">
        <v>0</v>
      </c>
      <c r="AB26" s="475">
        <f t="shared" ref="AB26:AB31" si="46">SUM(Y26:AA26)</f>
        <v>0</v>
      </c>
      <c r="AC26" s="475">
        <f t="shared" ref="AC26:AC31" si="47">X26+AB26</f>
        <v>0</v>
      </c>
      <c r="AD26" s="70">
        <f t="shared" ref="AD26:AD31" si="48">ROUND((X26+Y26+Z26)*33.8%,0)</f>
        <v>0</v>
      </c>
      <c r="AE26" s="70">
        <f t="shared" ref="AE26:AE31" si="49">ROUND(X26*2%,0)</f>
        <v>0</v>
      </c>
      <c r="AF26" s="475">
        <v>0</v>
      </c>
      <c r="AG26" s="475">
        <v>0</v>
      </c>
      <c r="AH26" s="475">
        <f t="shared" ref="AH26:AH31" si="50">SUM(AF26:AG26)</f>
        <v>0</v>
      </c>
      <c r="AI26" s="475">
        <f t="shared" ref="AI26:AI31" si="51">AC26+AD26+AE26+AH26</f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ref="AR26:AR31" si="52">AJ26+AL26+AM26+AO26+AP26</f>
        <v>0</v>
      </c>
      <c r="AS26" s="476">
        <f t="shared" ref="AS26:AS31" si="53">AK26+AN26+AQ26</f>
        <v>0</v>
      </c>
      <c r="AT26" s="478">
        <f t="shared" ref="AT26:AT31" si="54">SUM(AR26:AS26)</f>
        <v>0</v>
      </c>
      <c r="AU26" s="484">
        <f t="shared" ref="AU26:AU31" si="55">I26+AI26</f>
        <v>16798664</v>
      </c>
      <c r="AV26" s="475">
        <f t="shared" ref="AV26:AV31" si="56">J26+X26</f>
        <v>12067100</v>
      </c>
      <c r="AW26" s="475">
        <f t="shared" ref="AW26:AW31" si="57">K26+AB26</f>
        <v>47520</v>
      </c>
      <c r="AX26" s="475">
        <f t="shared" ref="AX26:AY31" si="58">L26+AD26</f>
        <v>4094742</v>
      </c>
      <c r="AY26" s="475">
        <f t="shared" si="58"/>
        <v>241342</v>
      </c>
      <c r="AZ26" s="475">
        <f t="shared" ref="AZ26:AZ31" si="59">N26+AH26</f>
        <v>347960</v>
      </c>
      <c r="BA26" s="476">
        <f t="shared" ref="BA26:BA31" si="60">O26+AT26</f>
        <v>22.282599999999999</v>
      </c>
      <c r="BB26" s="476">
        <f t="shared" ref="BB26:BC31" si="61">P26+AR26</f>
        <v>16.174599999999998</v>
      </c>
      <c r="BC26" s="478">
        <f t="shared" si="61"/>
        <v>6.1079999999999997</v>
      </c>
    </row>
    <row r="27" spans="1:55" ht="12.95" customHeight="1" x14ac:dyDescent="0.25">
      <c r="A27" s="308">
        <v>5</v>
      </c>
      <c r="B27" s="349">
        <v>5444</v>
      </c>
      <c r="C27" s="350">
        <v>600099296</v>
      </c>
      <c r="D27" s="309">
        <v>854824</v>
      </c>
      <c r="E27" s="351" t="s">
        <v>378</v>
      </c>
      <c r="F27" s="309">
        <v>3113</v>
      </c>
      <c r="G27" s="351" t="s">
        <v>319</v>
      </c>
      <c r="H27" s="312" t="s">
        <v>278</v>
      </c>
      <c r="I27" s="477">
        <v>824928</v>
      </c>
      <c r="J27" s="472">
        <v>606942</v>
      </c>
      <c r="K27" s="472">
        <v>0</v>
      </c>
      <c r="L27" s="472">
        <v>205146</v>
      </c>
      <c r="M27" s="472">
        <v>12140</v>
      </c>
      <c r="N27" s="472">
        <v>700</v>
      </c>
      <c r="O27" s="473">
        <v>1.47</v>
      </c>
      <c r="P27" s="474">
        <v>1.47</v>
      </c>
      <c r="Q27" s="483">
        <v>0</v>
      </c>
      <c r="R27" s="485">
        <f t="shared" si="45"/>
        <v>0</v>
      </c>
      <c r="S27" s="475">
        <v>-5784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10"/>
        <v>-5784</v>
      </c>
      <c r="Y27" s="475">
        <v>0</v>
      </c>
      <c r="Z27" s="475">
        <v>0</v>
      </c>
      <c r="AA27" s="475">
        <v>0</v>
      </c>
      <c r="AB27" s="475">
        <f t="shared" si="46"/>
        <v>0</v>
      </c>
      <c r="AC27" s="475">
        <f t="shared" si="47"/>
        <v>-5784</v>
      </c>
      <c r="AD27" s="70">
        <f t="shared" si="48"/>
        <v>-1955</v>
      </c>
      <c r="AE27" s="70">
        <f t="shared" si="49"/>
        <v>-116</v>
      </c>
      <c r="AF27" s="475">
        <v>0</v>
      </c>
      <c r="AG27" s="475">
        <v>0</v>
      </c>
      <c r="AH27" s="475">
        <f t="shared" si="50"/>
        <v>0</v>
      </c>
      <c r="AI27" s="475">
        <f t="shared" si="51"/>
        <v>-7855</v>
      </c>
      <c r="AJ27" s="476">
        <v>0</v>
      </c>
      <c r="AK27" s="476">
        <v>0</v>
      </c>
      <c r="AL27" s="476">
        <v>-0.01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 t="shared" si="52"/>
        <v>-0.01</v>
      </c>
      <c r="AS27" s="476">
        <f t="shared" si="53"/>
        <v>0</v>
      </c>
      <c r="AT27" s="478">
        <f t="shared" si="54"/>
        <v>-0.01</v>
      </c>
      <c r="AU27" s="484">
        <f t="shared" si="55"/>
        <v>817073</v>
      </c>
      <c r="AV27" s="475">
        <f t="shared" si="56"/>
        <v>601158</v>
      </c>
      <c r="AW27" s="475">
        <f t="shared" si="57"/>
        <v>0</v>
      </c>
      <c r="AX27" s="475">
        <f t="shared" si="58"/>
        <v>203191</v>
      </c>
      <c r="AY27" s="475">
        <f t="shared" si="58"/>
        <v>12024</v>
      </c>
      <c r="AZ27" s="475">
        <f t="shared" si="59"/>
        <v>700</v>
      </c>
      <c r="BA27" s="476">
        <f t="shared" si="60"/>
        <v>1.46</v>
      </c>
      <c r="BB27" s="476">
        <f t="shared" si="61"/>
        <v>1.46</v>
      </c>
      <c r="BC27" s="478">
        <f t="shared" si="61"/>
        <v>0</v>
      </c>
    </row>
    <row r="28" spans="1:55" ht="12.95" customHeight="1" x14ac:dyDescent="0.25">
      <c r="A28" s="308">
        <v>5</v>
      </c>
      <c r="B28" s="349">
        <v>5444</v>
      </c>
      <c r="C28" s="350">
        <v>600099296</v>
      </c>
      <c r="D28" s="309">
        <v>854824</v>
      </c>
      <c r="E28" s="351" t="s">
        <v>378</v>
      </c>
      <c r="F28" s="309">
        <v>3122</v>
      </c>
      <c r="G28" s="351" t="s">
        <v>320</v>
      </c>
      <c r="H28" s="312" t="s">
        <v>277</v>
      </c>
      <c r="I28" s="477">
        <v>8799755</v>
      </c>
      <c r="J28" s="472">
        <v>6073108</v>
      </c>
      <c r="K28" s="472">
        <v>341760</v>
      </c>
      <c r="L28" s="472">
        <v>2168225</v>
      </c>
      <c r="M28" s="472">
        <v>121462</v>
      </c>
      <c r="N28" s="472">
        <v>95200</v>
      </c>
      <c r="O28" s="473">
        <v>9.7884000000000011</v>
      </c>
      <c r="P28" s="474">
        <v>8.4656000000000002</v>
      </c>
      <c r="Q28" s="483">
        <v>1.3228</v>
      </c>
      <c r="R28" s="485">
        <f t="shared" si="45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10"/>
        <v>0</v>
      </c>
      <c r="Y28" s="475">
        <v>0</v>
      </c>
      <c r="Z28" s="475">
        <v>0</v>
      </c>
      <c r="AA28" s="475">
        <v>0</v>
      </c>
      <c r="AB28" s="475">
        <f t="shared" si="46"/>
        <v>0</v>
      </c>
      <c r="AC28" s="475">
        <f t="shared" si="47"/>
        <v>0</v>
      </c>
      <c r="AD28" s="70">
        <f t="shared" si="48"/>
        <v>0</v>
      </c>
      <c r="AE28" s="70">
        <f t="shared" si="49"/>
        <v>0</v>
      </c>
      <c r="AF28" s="475">
        <v>0</v>
      </c>
      <c r="AG28" s="475">
        <v>0</v>
      </c>
      <c r="AH28" s="475">
        <f t="shared" si="50"/>
        <v>0</v>
      </c>
      <c r="AI28" s="475">
        <f t="shared" si="51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 t="shared" si="52"/>
        <v>0</v>
      </c>
      <c r="AS28" s="476">
        <f t="shared" si="53"/>
        <v>0</v>
      </c>
      <c r="AT28" s="478">
        <f t="shared" si="54"/>
        <v>0</v>
      </c>
      <c r="AU28" s="484">
        <f t="shared" si="55"/>
        <v>8799755</v>
      </c>
      <c r="AV28" s="475">
        <f t="shared" si="56"/>
        <v>6073108</v>
      </c>
      <c r="AW28" s="475">
        <f t="shared" si="57"/>
        <v>341760</v>
      </c>
      <c r="AX28" s="475">
        <f t="shared" si="58"/>
        <v>2168225</v>
      </c>
      <c r="AY28" s="475">
        <f t="shared" si="58"/>
        <v>121462</v>
      </c>
      <c r="AZ28" s="475">
        <f t="shared" si="59"/>
        <v>95200</v>
      </c>
      <c r="BA28" s="476">
        <f t="shared" si="60"/>
        <v>9.7884000000000011</v>
      </c>
      <c r="BB28" s="476">
        <f t="shared" si="61"/>
        <v>8.4656000000000002</v>
      </c>
      <c r="BC28" s="478">
        <f t="shared" si="61"/>
        <v>1.3228</v>
      </c>
    </row>
    <row r="29" spans="1:55" ht="12.95" customHeight="1" x14ac:dyDescent="0.25">
      <c r="A29" s="308">
        <v>5</v>
      </c>
      <c r="B29" s="349">
        <v>5444</v>
      </c>
      <c r="C29" s="350">
        <v>600099296</v>
      </c>
      <c r="D29" s="309">
        <v>854824</v>
      </c>
      <c r="E29" s="351" t="s">
        <v>378</v>
      </c>
      <c r="F29" s="309">
        <v>3141</v>
      </c>
      <c r="G29" s="351" t="s">
        <v>315</v>
      </c>
      <c r="H29" s="312" t="s">
        <v>278</v>
      </c>
      <c r="I29" s="477">
        <v>545501</v>
      </c>
      <c r="J29" s="472">
        <v>396825</v>
      </c>
      <c r="K29" s="472">
        <v>0</v>
      </c>
      <c r="L29" s="472">
        <v>134127</v>
      </c>
      <c r="M29" s="472">
        <v>7937</v>
      </c>
      <c r="N29" s="472">
        <v>6612</v>
      </c>
      <c r="O29" s="473">
        <v>1.25</v>
      </c>
      <c r="P29" s="474">
        <v>0</v>
      </c>
      <c r="Q29" s="483">
        <v>1.25</v>
      </c>
      <c r="R29" s="485">
        <f t="shared" si="45"/>
        <v>0</v>
      </c>
      <c r="S29" s="475">
        <v>0</v>
      </c>
      <c r="T29" s="475">
        <v>15893</v>
      </c>
      <c r="U29" s="475">
        <v>0</v>
      </c>
      <c r="V29" s="475">
        <v>0</v>
      </c>
      <c r="W29" s="475">
        <v>0</v>
      </c>
      <c r="X29" s="475">
        <f t="shared" si="10"/>
        <v>15893</v>
      </c>
      <c r="Y29" s="475">
        <v>0</v>
      </c>
      <c r="Z29" s="475">
        <v>0</v>
      </c>
      <c r="AA29" s="475">
        <v>0</v>
      </c>
      <c r="AB29" s="475">
        <f t="shared" si="46"/>
        <v>0</v>
      </c>
      <c r="AC29" s="475">
        <f t="shared" si="47"/>
        <v>15893</v>
      </c>
      <c r="AD29" s="70">
        <f t="shared" si="48"/>
        <v>5372</v>
      </c>
      <c r="AE29" s="70">
        <f t="shared" si="49"/>
        <v>318</v>
      </c>
      <c r="AF29" s="475">
        <v>0</v>
      </c>
      <c r="AG29" s="475">
        <v>0</v>
      </c>
      <c r="AH29" s="475">
        <f t="shared" si="50"/>
        <v>0</v>
      </c>
      <c r="AI29" s="475">
        <f t="shared" si="51"/>
        <v>21583</v>
      </c>
      <c r="AJ29" s="476">
        <v>0</v>
      </c>
      <c r="AK29" s="476">
        <v>0</v>
      </c>
      <c r="AL29" s="476">
        <v>0</v>
      </c>
      <c r="AM29" s="476">
        <v>0</v>
      </c>
      <c r="AN29" s="476">
        <v>0.05</v>
      </c>
      <c r="AO29" s="476">
        <v>0</v>
      </c>
      <c r="AP29" s="476">
        <v>0</v>
      </c>
      <c r="AQ29" s="476">
        <v>0</v>
      </c>
      <c r="AR29" s="476">
        <f t="shared" si="52"/>
        <v>0</v>
      </c>
      <c r="AS29" s="476">
        <f t="shared" si="53"/>
        <v>0.05</v>
      </c>
      <c r="AT29" s="478">
        <f t="shared" si="54"/>
        <v>0.05</v>
      </c>
      <c r="AU29" s="484">
        <f t="shared" si="55"/>
        <v>567084</v>
      </c>
      <c r="AV29" s="475">
        <f t="shared" si="56"/>
        <v>412718</v>
      </c>
      <c r="AW29" s="475">
        <f t="shared" si="57"/>
        <v>0</v>
      </c>
      <c r="AX29" s="475">
        <f t="shared" si="58"/>
        <v>139499</v>
      </c>
      <c r="AY29" s="475">
        <f t="shared" si="58"/>
        <v>8255</v>
      </c>
      <c r="AZ29" s="475">
        <f t="shared" si="59"/>
        <v>6612</v>
      </c>
      <c r="BA29" s="476">
        <f t="shared" si="60"/>
        <v>1.3</v>
      </c>
      <c r="BB29" s="476">
        <f t="shared" si="61"/>
        <v>0</v>
      </c>
      <c r="BC29" s="478">
        <f t="shared" si="61"/>
        <v>1.3</v>
      </c>
    </row>
    <row r="30" spans="1:55" ht="12.95" customHeight="1" x14ac:dyDescent="0.25">
      <c r="A30" s="308">
        <v>5</v>
      </c>
      <c r="B30" s="349">
        <v>5444</v>
      </c>
      <c r="C30" s="350">
        <v>600099296</v>
      </c>
      <c r="D30" s="309">
        <v>854824</v>
      </c>
      <c r="E30" s="351" t="s">
        <v>378</v>
      </c>
      <c r="F30" s="309">
        <v>3143</v>
      </c>
      <c r="G30" s="351" t="s">
        <v>626</v>
      </c>
      <c r="H30" s="312" t="s">
        <v>277</v>
      </c>
      <c r="I30" s="477">
        <v>1805813</v>
      </c>
      <c r="J30" s="472">
        <v>1329759</v>
      </c>
      <c r="K30" s="472">
        <v>0</v>
      </c>
      <c r="L30" s="472">
        <v>449459</v>
      </c>
      <c r="M30" s="472">
        <v>26595</v>
      </c>
      <c r="N30" s="472">
        <v>0</v>
      </c>
      <c r="O30" s="473">
        <v>3.0059</v>
      </c>
      <c r="P30" s="474">
        <v>3.0059</v>
      </c>
      <c r="Q30" s="483">
        <v>0</v>
      </c>
      <c r="R30" s="485">
        <f t="shared" si="45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10"/>
        <v>0</v>
      </c>
      <c r="Y30" s="475">
        <v>0</v>
      </c>
      <c r="Z30" s="475">
        <v>0</v>
      </c>
      <c r="AA30" s="475">
        <v>0</v>
      </c>
      <c r="AB30" s="475">
        <f t="shared" si="46"/>
        <v>0</v>
      </c>
      <c r="AC30" s="475">
        <f t="shared" si="47"/>
        <v>0</v>
      </c>
      <c r="AD30" s="70">
        <f t="shared" si="48"/>
        <v>0</v>
      </c>
      <c r="AE30" s="70">
        <f t="shared" si="49"/>
        <v>0</v>
      </c>
      <c r="AF30" s="475">
        <v>0</v>
      </c>
      <c r="AG30" s="475">
        <v>0</v>
      </c>
      <c r="AH30" s="475">
        <f t="shared" si="50"/>
        <v>0</v>
      </c>
      <c r="AI30" s="475">
        <f t="shared" si="51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 t="shared" si="52"/>
        <v>0</v>
      </c>
      <c r="AS30" s="476">
        <f t="shared" si="53"/>
        <v>0</v>
      </c>
      <c r="AT30" s="478">
        <f t="shared" si="54"/>
        <v>0</v>
      </c>
      <c r="AU30" s="484">
        <f t="shared" si="55"/>
        <v>1805813</v>
      </c>
      <c r="AV30" s="475">
        <f t="shared" si="56"/>
        <v>1329759</v>
      </c>
      <c r="AW30" s="475">
        <f t="shared" si="57"/>
        <v>0</v>
      </c>
      <c r="AX30" s="475">
        <f t="shared" si="58"/>
        <v>449459</v>
      </c>
      <c r="AY30" s="475">
        <f t="shared" si="58"/>
        <v>26595</v>
      </c>
      <c r="AZ30" s="475">
        <f t="shared" si="59"/>
        <v>0</v>
      </c>
      <c r="BA30" s="476">
        <f t="shared" si="60"/>
        <v>3.0059</v>
      </c>
      <c r="BB30" s="476">
        <f t="shared" si="61"/>
        <v>3.0059</v>
      </c>
      <c r="BC30" s="478">
        <f t="shared" si="61"/>
        <v>0</v>
      </c>
    </row>
    <row r="31" spans="1:55" ht="12.95" customHeight="1" x14ac:dyDescent="0.25">
      <c r="A31" s="308">
        <v>5</v>
      </c>
      <c r="B31" s="349">
        <v>5444</v>
      </c>
      <c r="C31" s="350">
        <v>600099296</v>
      </c>
      <c r="D31" s="309">
        <v>854824</v>
      </c>
      <c r="E31" s="351" t="s">
        <v>378</v>
      </c>
      <c r="F31" s="309">
        <v>3143</v>
      </c>
      <c r="G31" s="351" t="s">
        <v>627</v>
      </c>
      <c r="H31" s="312" t="s">
        <v>278</v>
      </c>
      <c r="I31" s="477">
        <v>53732</v>
      </c>
      <c r="J31" s="472">
        <v>3492</v>
      </c>
      <c r="K31" s="472">
        <v>35000</v>
      </c>
      <c r="L31" s="472">
        <v>13010</v>
      </c>
      <c r="M31" s="472">
        <v>70</v>
      </c>
      <c r="N31" s="472">
        <v>2160</v>
      </c>
      <c r="O31" s="473">
        <v>0.15</v>
      </c>
      <c r="P31" s="474">
        <v>0</v>
      </c>
      <c r="Q31" s="483">
        <v>0.15</v>
      </c>
      <c r="R31" s="485">
        <f t="shared" si="45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10"/>
        <v>0</v>
      </c>
      <c r="Y31" s="475">
        <v>0</v>
      </c>
      <c r="Z31" s="475">
        <v>0</v>
      </c>
      <c r="AA31" s="475">
        <v>0</v>
      </c>
      <c r="AB31" s="475">
        <f t="shared" si="46"/>
        <v>0</v>
      </c>
      <c r="AC31" s="475">
        <f t="shared" si="47"/>
        <v>0</v>
      </c>
      <c r="AD31" s="70">
        <f t="shared" si="48"/>
        <v>0</v>
      </c>
      <c r="AE31" s="70">
        <f t="shared" si="49"/>
        <v>0</v>
      </c>
      <c r="AF31" s="475">
        <v>0</v>
      </c>
      <c r="AG31" s="475">
        <v>0</v>
      </c>
      <c r="AH31" s="475">
        <f t="shared" si="50"/>
        <v>0</v>
      </c>
      <c r="AI31" s="475">
        <f t="shared" si="51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 t="shared" si="52"/>
        <v>0</v>
      </c>
      <c r="AS31" s="476">
        <f t="shared" si="53"/>
        <v>0</v>
      </c>
      <c r="AT31" s="478">
        <f t="shared" si="54"/>
        <v>0</v>
      </c>
      <c r="AU31" s="484">
        <f t="shared" si="55"/>
        <v>53732</v>
      </c>
      <c r="AV31" s="475">
        <f t="shared" si="56"/>
        <v>3492</v>
      </c>
      <c r="AW31" s="475">
        <f t="shared" si="57"/>
        <v>35000</v>
      </c>
      <c r="AX31" s="475">
        <f t="shared" si="58"/>
        <v>13010</v>
      </c>
      <c r="AY31" s="475">
        <f t="shared" si="58"/>
        <v>70</v>
      </c>
      <c r="AZ31" s="475">
        <f t="shared" si="59"/>
        <v>2160</v>
      </c>
      <c r="BA31" s="476">
        <f t="shared" si="60"/>
        <v>0.15</v>
      </c>
      <c r="BB31" s="476">
        <f t="shared" si="61"/>
        <v>0</v>
      </c>
      <c r="BC31" s="478">
        <f t="shared" si="61"/>
        <v>0.15</v>
      </c>
    </row>
    <row r="32" spans="1:55" ht="12.95" customHeight="1" x14ac:dyDescent="0.25">
      <c r="A32" s="352">
        <v>5</v>
      </c>
      <c r="B32" s="353">
        <v>5444</v>
      </c>
      <c r="C32" s="354">
        <v>600099296</v>
      </c>
      <c r="D32" s="353">
        <v>854824</v>
      </c>
      <c r="E32" s="355" t="s">
        <v>379</v>
      </c>
      <c r="F32" s="319"/>
      <c r="G32" s="357"/>
      <c r="H32" s="320"/>
      <c r="I32" s="582">
        <v>28828393</v>
      </c>
      <c r="J32" s="578">
        <v>20477226</v>
      </c>
      <c r="K32" s="578">
        <v>424280</v>
      </c>
      <c r="L32" s="578">
        <v>7064709</v>
      </c>
      <c r="M32" s="578">
        <v>409546</v>
      </c>
      <c r="N32" s="578">
        <v>452632</v>
      </c>
      <c r="O32" s="579">
        <v>37.946899999999992</v>
      </c>
      <c r="P32" s="579">
        <v>29.116099999999999</v>
      </c>
      <c r="Q32" s="584">
        <v>8.8308</v>
      </c>
      <c r="R32" s="582">
        <f t="shared" ref="R32:BC32" si="62">SUM(R26:R31)</f>
        <v>0</v>
      </c>
      <c r="S32" s="578">
        <f t="shared" si="62"/>
        <v>-5784</v>
      </c>
      <c r="T32" s="578">
        <f t="shared" si="62"/>
        <v>15893</v>
      </c>
      <c r="U32" s="578">
        <f t="shared" si="62"/>
        <v>0</v>
      </c>
      <c r="V32" s="578">
        <f t="shared" si="62"/>
        <v>0</v>
      </c>
      <c r="W32" s="578">
        <f t="shared" si="62"/>
        <v>0</v>
      </c>
      <c r="X32" s="578">
        <f t="shared" si="62"/>
        <v>10109</v>
      </c>
      <c r="Y32" s="578">
        <f t="shared" si="62"/>
        <v>0</v>
      </c>
      <c r="Z32" s="578">
        <f t="shared" si="62"/>
        <v>0</v>
      </c>
      <c r="AA32" s="578">
        <f t="shared" si="62"/>
        <v>0</v>
      </c>
      <c r="AB32" s="578">
        <f t="shared" si="62"/>
        <v>0</v>
      </c>
      <c r="AC32" s="578">
        <f t="shared" si="62"/>
        <v>10109</v>
      </c>
      <c r="AD32" s="578">
        <f t="shared" si="62"/>
        <v>3417</v>
      </c>
      <c r="AE32" s="578">
        <f t="shared" si="62"/>
        <v>202</v>
      </c>
      <c r="AF32" s="578">
        <f t="shared" si="62"/>
        <v>0</v>
      </c>
      <c r="AG32" s="578">
        <f t="shared" si="62"/>
        <v>0</v>
      </c>
      <c r="AH32" s="578">
        <f t="shared" si="62"/>
        <v>0</v>
      </c>
      <c r="AI32" s="578">
        <f t="shared" si="62"/>
        <v>13728</v>
      </c>
      <c r="AJ32" s="579">
        <f t="shared" si="62"/>
        <v>0</v>
      </c>
      <c r="AK32" s="579">
        <f t="shared" si="62"/>
        <v>0</v>
      </c>
      <c r="AL32" s="579">
        <f t="shared" si="62"/>
        <v>-0.01</v>
      </c>
      <c r="AM32" s="579">
        <f t="shared" si="62"/>
        <v>0</v>
      </c>
      <c r="AN32" s="579">
        <f t="shared" si="62"/>
        <v>0.05</v>
      </c>
      <c r="AO32" s="579">
        <f t="shared" si="62"/>
        <v>0</v>
      </c>
      <c r="AP32" s="579">
        <f t="shared" si="62"/>
        <v>0</v>
      </c>
      <c r="AQ32" s="579">
        <f t="shared" si="62"/>
        <v>0</v>
      </c>
      <c r="AR32" s="579">
        <f t="shared" si="62"/>
        <v>-0.01</v>
      </c>
      <c r="AS32" s="579">
        <f t="shared" si="62"/>
        <v>0.05</v>
      </c>
      <c r="AT32" s="356">
        <f t="shared" si="62"/>
        <v>0.04</v>
      </c>
      <c r="AU32" s="586">
        <f t="shared" si="62"/>
        <v>28842121</v>
      </c>
      <c r="AV32" s="578">
        <f t="shared" si="62"/>
        <v>20487335</v>
      </c>
      <c r="AW32" s="578">
        <f t="shared" si="62"/>
        <v>424280</v>
      </c>
      <c r="AX32" s="578">
        <f t="shared" si="62"/>
        <v>7068126</v>
      </c>
      <c r="AY32" s="578">
        <f t="shared" si="62"/>
        <v>409748</v>
      </c>
      <c r="AZ32" s="578">
        <f t="shared" si="62"/>
        <v>452632</v>
      </c>
      <c r="BA32" s="579">
        <f t="shared" si="62"/>
        <v>37.986899999999991</v>
      </c>
      <c r="BB32" s="579">
        <f t="shared" si="62"/>
        <v>29.106100000000001</v>
      </c>
      <c r="BC32" s="356">
        <f t="shared" si="62"/>
        <v>8.8808000000000007</v>
      </c>
    </row>
    <row r="33" spans="1:55" ht="12.95" customHeight="1" x14ac:dyDescent="0.25">
      <c r="A33" s="308">
        <v>6</v>
      </c>
      <c r="B33" s="349">
        <v>5449</v>
      </c>
      <c r="C33" s="350">
        <v>600099458</v>
      </c>
      <c r="D33" s="309">
        <v>70188408</v>
      </c>
      <c r="E33" s="351" t="s">
        <v>380</v>
      </c>
      <c r="F33" s="309">
        <v>3114</v>
      </c>
      <c r="G33" s="359" t="s">
        <v>556</v>
      </c>
      <c r="H33" s="312" t="s">
        <v>277</v>
      </c>
      <c r="I33" s="477">
        <v>10629978</v>
      </c>
      <c r="J33" s="472">
        <v>7688525</v>
      </c>
      <c r="K33" s="472">
        <v>70000</v>
      </c>
      <c r="L33" s="472">
        <v>2622382</v>
      </c>
      <c r="M33" s="472">
        <v>153771</v>
      </c>
      <c r="N33" s="472">
        <v>95300</v>
      </c>
      <c r="O33" s="473">
        <v>12.5327</v>
      </c>
      <c r="P33" s="474">
        <v>9</v>
      </c>
      <c r="Q33" s="483">
        <v>3.5326999999999993</v>
      </c>
      <c r="R33" s="485">
        <f t="shared" ref="R33:R37" si="63">Y33*-1</f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10"/>
        <v>0</v>
      </c>
      <c r="Y33" s="475">
        <v>0</v>
      </c>
      <c r="Z33" s="475">
        <v>0</v>
      </c>
      <c r="AA33" s="475">
        <v>0</v>
      </c>
      <c r="AB33" s="475">
        <f t="shared" ref="AB33:AB37" si="64">SUM(Y33:AA33)</f>
        <v>0</v>
      </c>
      <c r="AC33" s="475">
        <f t="shared" ref="AC33:AC37" si="65">X33+AB33</f>
        <v>0</v>
      </c>
      <c r="AD33" s="70">
        <f t="shared" ref="AD33:AD37" si="66">ROUND((X33+Y33+Z33)*33.8%,0)</f>
        <v>0</v>
      </c>
      <c r="AE33" s="70">
        <f t="shared" ref="AE33:AE37" si="67">ROUND(X33*2%,0)</f>
        <v>0</v>
      </c>
      <c r="AF33" s="475">
        <v>0</v>
      </c>
      <c r="AG33" s="475">
        <v>0</v>
      </c>
      <c r="AH33" s="475">
        <f t="shared" ref="AH33:AH37" si="68">SUM(AF33:AG33)</f>
        <v>0</v>
      </c>
      <c r="AI33" s="475">
        <f t="shared" ref="AI33:AI37" si="69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>AJ33+AL33+AM33+AO33+AP33</f>
        <v>0</v>
      </c>
      <c r="AS33" s="476">
        <f>AK33+AN33+AQ33</f>
        <v>0</v>
      </c>
      <c r="AT33" s="478">
        <f t="shared" ref="AT33:AT37" si="70">SUM(AR33:AS33)</f>
        <v>0</v>
      </c>
      <c r="AU33" s="484">
        <f>I33+AI33</f>
        <v>10629978</v>
      </c>
      <c r="AV33" s="475">
        <f>J33+X33</f>
        <v>7688525</v>
      </c>
      <c r="AW33" s="475">
        <f t="shared" ref="AW33:AW37" si="71">K33+AB33</f>
        <v>70000</v>
      </c>
      <c r="AX33" s="475">
        <f t="shared" ref="AX33:AY37" si="72">L33+AD33</f>
        <v>2622382</v>
      </c>
      <c r="AY33" s="475">
        <f t="shared" si="72"/>
        <v>153771</v>
      </c>
      <c r="AZ33" s="475">
        <f>N33+AH33</f>
        <v>95300</v>
      </c>
      <c r="BA33" s="476">
        <f>O33+AT33</f>
        <v>12.5327</v>
      </c>
      <c r="BB33" s="476">
        <f t="shared" ref="BB33:BC37" si="73">P33+AR33</f>
        <v>9</v>
      </c>
      <c r="BC33" s="478">
        <f t="shared" si="73"/>
        <v>3.5326999999999993</v>
      </c>
    </row>
    <row r="34" spans="1:55" ht="12.95" customHeight="1" x14ac:dyDescent="0.25">
      <c r="A34" s="308">
        <v>6</v>
      </c>
      <c r="B34" s="349">
        <v>5449</v>
      </c>
      <c r="C34" s="350">
        <v>600099458</v>
      </c>
      <c r="D34" s="309">
        <v>70188408</v>
      </c>
      <c r="E34" s="351" t="s">
        <v>380</v>
      </c>
      <c r="F34" s="309">
        <v>3114</v>
      </c>
      <c r="G34" s="359" t="s">
        <v>313</v>
      </c>
      <c r="H34" s="312" t="s">
        <v>277</v>
      </c>
      <c r="I34" s="477">
        <v>1817957</v>
      </c>
      <c r="J34" s="472">
        <v>1338702</v>
      </c>
      <c r="K34" s="472">
        <v>0</v>
      </c>
      <c r="L34" s="472">
        <v>452481</v>
      </c>
      <c r="M34" s="472">
        <v>26774</v>
      </c>
      <c r="N34" s="472">
        <v>0</v>
      </c>
      <c r="O34" s="473">
        <v>3.2799</v>
      </c>
      <c r="P34" s="474">
        <v>3.2799</v>
      </c>
      <c r="Q34" s="483">
        <v>0</v>
      </c>
      <c r="R34" s="485">
        <f t="shared" si="63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10"/>
        <v>0</v>
      </c>
      <c r="Y34" s="475">
        <v>0</v>
      </c>
      <c r="Z34" s="475">
        <v>0</v>
      </c>
      <c r="AA34" s="475">
        <v>0</v>
      </c>
      <c r="AB34" s="475">
        <f t="shared" si="64"/>
        <v>0</v>
      </c>
      <c r="AC34" s="475">
        <f t="shared" si="65"/>
        <v>0</v>
      </c>
      <c r="AD34" s="70">
        <f t="shared" si="66"/>
        <v>0</v>
      </c>
      <c r="AE34" s="70">
        <f t="shared" si="67"/>
        <v>0</v>
      </c>
      <c r="AF34" s="475">
        <v>0</v>
      </c>
      <c r="AG34" s="475">
        <v>0</v>
      </c>
      <c r="AH34" s="475">
        <f t="shared" si="68"/>
        <v>0</v>
      </c>
      <c r="AI34" s="475">
        <f t="shared" si="69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70"/>
        <v>0</v>
      </c>
      <c r="AU34" s="484">
        <f>I34+AI34</f>
        <v>1817957</v>
      </c>
      <c r="AV34" s="475">
        <f>J34+X34</f>
        <v>1338702</v>
      </c>
      <c r="AW34" s="475">
        <f t="shared" si="71"/>
        <v>0</v>
      </c>
      <c r="AX34" s="475">
        <f t="shared" si="72"/>
        <v>452481</v>
      </c>
      <c r="AY34" s="475">
        <f t="shared" si="72"/>
        <v>26774</v>
      </c>
      <c r="AZ34" s="475">
        <f>N34+AH34</f>
        <v>0</v>
      </c>
      <c r="BA34" s="476">
        <f>O34+AT34</f>
        <v>3.2799</v>
      </c>
      <c r="BB34" s="476">
        <f t="shared" si="73"/>
        <v>3.2799</v>
      </c>
      <c r="BC34" s="478">
        <f t="shared" si="73"/>
        <v>0</v>
      </c>
    </row>
    <row r="35" spans="1:55" ht="12.95" customHeight="1" x14ac:dyDescent="0.25">
      <c r="A35" s="308">
        <v>6</v>
      </c>
      <c r="B35" s="349">
        <v>5449</v>
      </c>
      <c r="C35" s="350">
        <v>600099458</v>
      </c>
      <c r="D35" s="309">
        <v>70188408</v>
      </c>
      <c r="E35" s="351" t="s">
        <v>380</v>
      </c>
      <c r="F35" s="309">
        <v>3143</v>
      </c>
      <c r="G35" s="351" t="s">
        <v>626</v>
      </c>
      <c r="H35" s="312" t="s">
        <v>277</v>
      </c>
      <c r="I35" s="477">
        <v>459352</v>
      </c>
      <c r="J35" s="472">
        <v>338256</v>
      </c>
      <c r="K35" s="472">
        <v>0</v>
      </c>
      <c r="L35" s="472">
        <v>114331</v>
      </c>
      <c r="M35" s="472">
        <v>6765</v>
      </c>
      <c r="N35" s="472">
        <v>0</v>
      </c>
      <c r="O35" s="473">
        <v>0.71419999999999995</v>
      </c>
      <c r="P35" s="474">
        <v>0.71419999999999995</v>
      </c>
      <c r="Q35" s="483">
        <v>0</v>
      </c>
      <c r="R35" s="485">
        <f t="shared" si="63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10"/>
        <v>0</v>
      </c>
      <c r="Y35" s="475">
        <v>0</v>
      </c>
      <c r="Z35" s="475">
        <v>0</v>
      </c>
      <c r="AA35" s="475">
        <v>0</v>
      </c>
      <c r="AB35" s="475">
        <f t="shared" si="64"/>
        <v>0</v>
      </c>
      <c r="AC35" s="475">
        <f t="shared" si="65"/>
        <v>0</v>
      </c>
      <c r="AD35" s="70">
        <f t="shared" si="66"/>
        <v>0</v>
      </c>
      <c r="AE35" s="70">
        <f t="shared" si="67"/>
        <v>0</v>
      </c>
      <c r="AF35" s="475">
        <v>0</v>
      </c>
      <c r="AG35" s="475">
        <v>0</v>
      </c>
      <c r="AH35" s="475">
        <f t="shared" si="68"/>
        <v>0</v>
      </c>
      <c r="AI35" s="475">
        <f t="shared" si="69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476">
        <f>AJ35+AL35+AM35+AO35+AP35</f>
        <v>0</v>
      </c>
      <c r="AS35" s="476">
        <f>AK35+AN35+AQ35</f>
        <v>0</v>
      </c>
      <c r="AT35" s="478">
        <f t="shared" si="70"/>
        <v>0</v>
      </c>
      <c r="AU35" s="484">
        <f>I35+AI35</f>
        <v>459352</v>
      </c>
      <c r="AV35" s="475">
        <f>J35+X35</f>
        <v>338256</v>
      </c>
      <c r="AW35" s="475">
        <f t="shared" si="71"/>
        <v>0</v>
      </c>
      <c r="AX35" s="475">
        <f t="shared" si="72"/>
        <v>114331</v>
      </c>
      <c r="AY35" s="475">
        <f t="shared" si="72"/>
        <v>6765</v>
      </c>
      <c r="AZ35" s="475">
        <f>N35+AH35</f>
        <v>0</v>
      </c>
      <c r="BA35" s="476">
        <f>O35+AT35</f>
        <v>0.71419999999999995</v>
      </c>
      <c r="BB35" s="476">
        <f t="shared" si="73"/>
        <v>0.71419999999999995</v>
      </c>
      <c r="BC35" s="478">
        <f t="shared" si="73"/>
        <v>0</v>
      </c>
    </row>
    <row r="36" spans="1:55" ht="12.95" customHeight="1" x14ac:dyDescent="0.25">
      <c r="A36" s="308">
        <v>6</v>
      </c>
      <c r="B36" s="349">
        <v>5449</v>
      </c>
      <c r="C36" s="350">
        <v>600099458</v>
      </c>
      <c r="D36" s="309">
        <v>70188408</v>
      </c>
      <c r="E36" s="351" t="s">
        <v>380</v>
      </c>
      <c r="F36" s="309">
        <v>3143</v>
      </c>
      <c r="G36" s="351" t="s">
        <v>803</v>
      </c>
      <c r="H36" s="312" t="s">
        <v>277</v>
      </c>
      <c r="I36" s="477">
        <v>185486</v>
      </c>
      <c r="J36" s="472">
        <v>136588</v>
      </c>
      <c r="K36" s="472">
        <v>0</v>
      </c>
      <c r="L36" s="472">
        <v>46166</v>
      </c>
      <c r="M36" s="472">
        <v>2732</v>
      </c>
      <c r="N36" s="472">
        <v>0</v>
      </c>
      <c r="O36" s="473">
        <v>0.37670000000000003</v>
      </c>
      <c r="P36" s="474">
        <v>0.37670000000000003</v>
      </c>
      <c r="Q36" s="483">
        <v>0</v>
      </c>
      <c r="R36" s="485">
        <f t="shared" si="63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10"/>
        <v>0</v>
      </c>
      <c r="Y36" s="475">
        <v>0</v>
      </c>
      <c r="Z36" s="475">
        <v>0</v>
      </c>
      <c r="AA36" s="475">
        <v>0</v>
      </c>
      <c r="AB36" s="475">
        <f t="shared" si="64"/>
        <v>0</v>
      </c>
      <c r="AC36" s="475">
        <f t="shared" si="65"/>
        <v>0</v>
      </c>
      <c r="AD36" s="70">
        <f t="shared" si="66"/>
        <v>0</v>
      </c>
      <c r="AE36" s="70">
        <f t="shared" si="67"/>
        <v>0</v>
      </c>
      <c r="AF36" s="475">
        <v>0</v>
      </c>
      <c r="AG36" s="475">
        <v>0</v>
      </c>
      <c r="AH36" s="475">
        <f t="shared" si="68"/>
        <v>0</v>
      </c>
      <c r="AI36" s="475">
        <f t="shared" si="69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0"/>
        <v>0</v>
      </c>
      <c r="AU36" s="484">
        <f>I36+AI36</f>
        <v>185486</v>
      </c>
      <c r="AV36" s="475">
        <f>J36+X36</f>
        <v>136588</v>
      </c>
      <c r="AW36" s="475">
        <f t="shared" si="71"/>
        <v>0</v>
      </c>
      <c r="AX36" s="475">
        <f t="shared" si="72"/>
        <v>46166</v>
      </c>
      <c r="AY36" s="475">
        <f t="shared" si="72"/>
        <v>2732</v>
      </c>
      <c r="AZ36" s="475">
        <f>N36+AH36</f>
        <v>0</v>
      </c>
      <c r="BA36" s="476">
        <f>O36+AT36</f>
        <v>0.37670000000000003</v>
      </c>
      <c r="BB36" s="476">
        <f t="shared" si="73"/>
        <v>0.37670000000000003</v>
      </c>
      <c r="BC36" s="478">
        <f t="shared" si="73"/>
        <v>0</v>
      </c>
    </row>
    <row r="37" spans="1:55" ht="12.95" customHeight="1" x14ac:dyDescent="0.25">
      <c r="A37" s="308">
        <v>6</v>
      </c>
      <c r="B37" s="349">
        <v>5449</v>
      </c>
      <c r="C37" s="350">
        <v>600099458</v>
      </c>
      <c r="D37" s="309">
        <v>70188408</v>
      </c>
      <c r="E37" s="351" t="s">
        <v>380</v>
      </c>
      <c r="F37" s="309">
        <v>3143</v>
      </c>
      <c r="G37" s="351" t="s">
        <v>627</v>
      </c>
      <c r="H37" s="312" t="s">
        <v>278</v>
      </c>
      <c r="I37" s="477">
        <v>3024</v>
      </c>
      <c r="J37" s="472">
        <v>2138</v>
      </c>
      <c r="K37" s="472">
        <v>0</v>
      </c>
      <c r="L37" s="472">
        <v>723</v>
      </c>
      <c r="M37" s="472">
        <v>43</v>
      </c>
      <c r="N37" s="472">
        <v>120</v>
      </c>
      <c r="O37" s="473">
        <v>0.01</v>
      </c>
      <c r="P37" s="474">
        <v>0</v>
      </c>
      <c r="Q37" s="483">
        <v>0.01</v>
      </c>
      <c r="R37" s="485">
        <f t="shared" si="63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10"/>
        <v>0</v>
      </c>
      <c r="Y37" s="475">
        <v>0</v>
      </c>
      <c r="Z37" s="475">
        <v>0</v>
      </c>
      <c r="AA37" s="475">
        <v>0</v>
      </c>
      <c r="AB37" s="475">
        <f t="shared" si="64"/>
        <v>0</v>
      </c>
      <c r="AC37" s="475">
        <f t="shared" si="65"/>
        <v>0</v>
      </c>
      <c r="AD37" s="70">
        <f t="shared" si="66"/>
        <v>0</v>
      </c>
      <c r="AE37" s="70">
        <f t="shared" si="67"/>
        <v>0</v>
      </c>
      <c r="AF37" s="475">
        <v>0</v>
      </c>
      <c r="AG37" s="475">
        <v>0</v>
      </c>
      <c r="AH37" s="475">
        <f t="shared" si="68"/>
        <v>0</v>
      </c>
      <c r="AI37" s="475">
        <f t="shared" si="69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0</v>
      </c>
      <c r="AS37" s="476">
        <f>AK37+AN37+AQ37</f>
        <v>0</v>
      </c>
      <c r="AT37" s="478">
        <f t="shared" si="70"/>
        <v>0</v>
      </c>
      <c r="AU37" s="484">
        <f>I37+AI37</f>
        <v>3024</v>
      </c>
      <c r="AV37" s="475">
        <f>J37+X37</f>
        <v>2138</v>
      </c>
      <c r="AW37" s="475">
        <f t="shared" si="71"/>
        <v>0</v>
      </c>
      <c r="AX37" s="475">
        <f t="shared" si="72"/>
        <v>723</v>
      </c>
      <c r="AY37" s="475">
        <f t="shared" si="72"/>
        <v>43</v>
      </c>
      <c r="AZ37" s="475">
        <f>N37+AH37</f>
        <v>120</v>
      </c>
      <c r="BA37" s="476">
        <f>O37+AT37</f>
        <v>0.01</v>
      </c>
      <c r="BB37" s="476">
        <f t="shared" si="73"/>
        <v>0</v>
      </c>
      <c r="BC37" s="478">
        <f t="shared" si="73"/>
        <v>0.01</v>
      </c>
    </row>
    <row r="38" spans="1:55" ht="12.95" customHeight="1" x14ac:dyDescent="0.25">
      <c r="A38" s="352">
        <v>6</v>
      </c>
      <c r="B38" s="353">
        <v>5449</v>
      </c>
      <c r="C38" s="354">
        <v>600099458</v>
      </c>
      <c r="D38" s="353">
        <v>70188408</v>
      </c>
      <c r="E38" s="355" t="s">
        <v>381</v>
      </c>
      <c r="F38" s="319"/>
      <c r="G38" s="357"/>
      <c r="H38" s="320"/>
      <c r="I38" s="582">
        <v>13095797</v>
      </c>
      <c r="J38" s="578">
        <v>9504209</v>
      </c>
      <c r="K38" s="578">
        <v>70000</v>
      </c>
      <c r="L38" s="578">
        <v>3236083</v>
      </c>
      <c r="M38" s="578">
        <v>190085</v>
      </c>
      <c r="N38" s="578">
        <v>95420</v>
      </c>
      <c r="O38" s="579">
        <v>16.913500000000003</v>
      </c>
      <c r="P38" s="579">
        <v>13.370799999999999</v>
      </c>
      <c r="Q38" s="584">
        <v>3.5426999999999991</v>
      </c>
      <c r="R38" s="582">
        <f t="shared" ref="R38:BC38" si="74">SUM(R33:R37)</f>
        <v>0</v>
      </c>
      <c r="S38" s="578">
        <f t="shared" si="74"/>
        <v>0</v>
      </c>
      <c r="T38" s="578">
        <f t="shared" si="74"/>
        <v>0</v>
      </c>
      <c r="U38" s="578">
        <f t="shared" si="74"/>
        <v>0</v>
      </c>
      <c r="V38" s="578">
        <f t="shared" si="74"/>
        <v>0</v>
      </c>
      <c r="W38" s="578">
        <f t="shared" si="74"/>
        <v>0</v>
      </c>
      <c r="X38" s="578">
        <f t="shared" si="74"/>
        <v>0</v>
      </c>
      <c r="Y38" s="578">
        <f t="shared" si="74"/>
        <v>0</v>
      </c>
      <c r="Z38" s="578">
        <f t="shared" si="74"/>
        <v>0</v>
      </c>
      <c r="AA38" s="578">
        <f t="shared" si="74"/>
        <v>0</v>
      </c>
      <c r="AB38" s="578">
        <f t="shared" si="74"/>
        <v>0</v>
      </c>
      <c r="AC38" s="578">
        <f t="shared" si="74"/>
        <v>0</v>
      </c>
      <c r="AD38" s="578">
        <f t="shared" si="74"/>
        <v>0</v>
      </c>
      <c r="AE38" s="578">
        <f t="shared" si="74"/>
        <v>0</v>
      </c>
      <c r="AF38" s="578">
        <f t="shared" si="74"/>
        <v>0</v>
      </c>
      <c r="AG38" s="578">
        <f t="shared" si="74"/>
        <v>0</v>
      </c>
      <c r="AH38" s="578">
        <f t="shared" si="74"/>
        <v>0</v>
      </c>
      <c r="AI38" s="578">
        <f t="shared" si="74"/>
        <v>0</v>
      </c>
      <c r="AJ38" s="579">
        <f t="shared" si="74"/>
        <v>0</v>
      </c>
      <c r="AK38" s="579">
        <f t="shared" si="74"/>
        <v>0</v>
      </c>
      <c r="AL38" s="579">
        <f t="shared" si="74"/>
        <v>0</v>
      </c>
      <c r="AM38" s="579">
        <f t="shared" si="74"/>
        <v>0</v>
      </c>
      <c r="AN38" s="579">
        <f t="shared" si="74"/>
        <v>0</v>
      </c>
      <c r="AO38" s="579">
        <f t="shared" si="74"/>
        <v>0</v>
      </c>
      <c r="AP38" s="579">
        <f t="shared" si="74"/>
        <v>0</v>
      </c>
      <c r="AQ38" s="579">
        <f t="shared" si="74"/>
        <v>0</v>
      </c>
      <c r="AR38" s="579">
        <f t="shared" si="74"/>
        <v>0</v>
      </c>
      <c r="AS38" s="579">
        <f t="shared" si="74"/>
        <v>0</v>
      </c>
      <c r="AT38" s="356">
        <f t="shared" si="74"/>
        <v>0</v>
      </c>
      <c r="AU38" s="586">
        <f t="shared" si="74"/>
        <v>13095797</v>
      </c>
      <c r="AV38" s="578">
        <f t="shared" si="74"/>
        <v>9504209</v>
      </c>
      <c r="AW38" s="578">
        <f t="shared" si="74"/>
        <v>70000</v>
      </c>
      <c r="AX38" s="578">
        <f t="shared" si="74"/>
        <v>3236083</v>
      </c>
      <c r="AY38" s="578">
        <f t="shared" si="74"/>
        <v>190085</v>
      </c>
      <c r="AZ38" s="578">
        <f t="shared" si="74"/>
        <v>95420</v>
      </c>
      <c r="BA38" s="579">
        <f t="shared" si="74"/>
        <v>16.913500000000003</v>
      </c>
      <c r="BB38" s="579">
        <f t="shared" si="74"/>
        <v>13.370799999999999</v>
      </c>
      <c r="BC38" s="356">
        <f t="shared" si="74"/>
        <v>3.5426999999999991</v>
      </c>
    </row>
    <row r="39" spans="1:55" ht="12.95" customHeight="1" x14ac:dyDescent="0.25">
      <c r="A39" s="308">
        <v>7</v>
      </c>
      <c r="B39" s="349">
        <v>5443</v>
      </c>
      <c r="C39" s="350">
        <v>600099237</v>
      </c>
      <c r="D39" s="309">
        <v>854841</v>
      </c>
      <c r="E39" s="351" t="s">
        <v>382</v>
      </c>
      <c r="F39" s="309">
        <v>3113</v>
      </c>
      <c r="G39" s="351" t="s">
        <v>329</v>
      </c>
      <c r="H39" s="312" t="s">
        <v>277</v>
      </c>
      <c r="I39" s="477">
        <v>21915377</v>
      </c>
      <c r="J39" s="472">
        <v>15638561</v>
      </c>
      <c r="K39" s="472">
        <v>90000</v>
      </c>
      <c r="L39" s="472">
        <v>5316254</v>
      </c>
      <c r="M39" s="472">
        <v>312771</v>
      </c>
      <c r="N39" s="472">
        <v>557791</v>
      </c>
      <c r="O39" s="473">
        <v>29.680799999999994</v>
      </c>
      <c r="P39" s="474">
        <v>22.408999999999999</v>
      </c>
      <c r="Q39" s="483">
        <v>7.2717999999999998</v>
      </c>
      <c r="R39" s="485">
        <f t="shared" ref="R39:R43" si="75">Y39*-1</f>
        <v>0</v>
      </c>
      <c r="S39" s="475">
        <v>0</v>
      </c>
      <c r="T39" s="475">
        <v>-343437</v>
      </c>
      <c r="U39" s="475">
        <v>0</v>
      </c>
      <c r="V39" s="475">
        <v>0</v>
      </c>
      <c r="W39" s="475">
        <v>0</v>
      </c>
      <c r="X39" s="475">
        <f t="shared" si="10"/>
        <v>-343437</v>
      </c>
      <c r="Y39" s="475">
        <v>0</v>
      </c>
      <c r="Z39" s="475">
        <v>0</v>
      </c>
      <c r="AA39" s="475">
        <v>0</v>
      </c>
      <c r="AB39" s="475">
        <f t="shared" ref="AB39:AB43" si="76">SUM(Y39:AA39)</f>
        <v>0</v>
      </c>
      <c r="AC39" s="475">
        <f t="shared" ref="AC39:AC43" si="77">X39+AB39</f>
        <v>-343437</v>
      </c>
      <c r="AD39" s="70">
        <f t="shared" ref="AD39:AD43" si="78">ROUND((X39+Y39+Z39)*33.8%,0)</f>
        <v>-116082</v>
      </c>
      <c r="AE39" s="70">
        <f t="shared" ref="AE39:AE43" si="79">ROUND(X39*2%,0)</f>
        <v>-6869</v>
      </c>
      <c r="AF39" s="475">
        <v>0</v>
      </c>
      <c r="AG39" s="475">
        <v>0</v>
      </c>
      <c r="AH39" s="475">
        <f t="shared" ref="AH39:AH43" si="80">SUM(AF39:AG39)</f>
        <v>0</v>
      </c>
      <c r="AI39" s="475">
        <f t="shared" ref="AI39:AI43" si="81">AC39+AD39+AE39+AH39</f>
        <v>-466388</v>
      </c>
      <c r="AJ39" s="476">
        <v>0</v>
      </c>
      <c r="AK39" s="476">
        <v>0</v>
      </c>
      <c r="AL39" s="476">
        <v>0</v>
      </c>
      <c r="AM39" s="476">
        <v>-0.56999999999999995</v>
      </c>
      <c r="AN39" s="476">
        <v>0</v>
      </c>
      <c r="AO39" s="476">
        <v>0</v>
      </c>
      <c r="AP39" s="476">
        <v>0</v>
      </c>
      <c r="AQ39" s="476">
        <v>0</v>
      </c>
      <c r="AR39" s="476">
        <f>AJ39+AL39+AM39+AO39+AP39</f>
        <v>-0.56999999999999995</v>
      </c>
      <c r="AS39" s="476">
        <f>AK39+AN39+AQ39</f>
        <v>0</v>
      </c>
      <c r="AT39" s="478">
        <f t="shared" ref="AT39:AT43" si="82">SUM(AR39:AS39)</f>
        <v>-0.56999999999999995</v>
      </c>
      <c r="AU39" s="484">
        <f>I39+AI39</f>
        <v>21448989</v>
      </c>
      <c r="AV39" s="475">
        <f>J39+X39</f>
        <v>15295124</v>
      </c>
      <c r="AW39" s="475">
        <f t="shared" ref="AW39:AW43" si="83">K39+AB39</f>
        <v>90000</v>
      </c>
      <c r="AX39" s="475">
        <f t="shared" ref="AX39:AY43" si="84">L39+AD39</f>
        <v>5200172</v>
      </c>
      <c r="AY39" s="475">
        <f t="shared" si="84"/>
        <v>305902</v>
      </c>
      <c r="AZ39" s="475">
        <f>N39+AH39</f>
        <v>557791</v>
      </c>
      <c r="BA39" s="476">
        <f>O39+AT39</f>
        <v>29.110799999999994</v>
      </c>
      <c r="BB39" s="476">
        <f t="shared" ref="BB39:BC43" si="85">P39+AR39</f>
        <v>21.838999999999999</v>
      </c>
      <c r="BC39" s="478">
        <f t="shared" si="85"/>
        <v>7.2717999999999998</v>
      </c>
    </row>
    <row r="40" spans="1:55" ht="12.95" customHeight="1" x14ac:dyDescent="0.25">
      <c r="A40" s="308">
        <v>7</v>
      </c>
      <c r="B40" s="349">
        <v>5443</v>
      </c>
      <c r="C40" s="350">
        <v>600099237</v>
      </c>
      <c r="D40" s="309">
        <v>854841</v>
      </c>
      <c r="E40" s="351" t="s">
        <v>382</v>
      </c>
      <c r="F40" s="309">
        <v>3113</v>
      </c>
      <c r="G40" s="351" t="s">
        <v>319</v>
      </c>
      <c r="H40" s="312" t="s">
        <v>278</v>
      </c>
      <c r="I40" s="477">
        <v>1760427</v>
      </c>
      <c r="J40" s="472">
        <v>1293466</v>
      </c>
      <c r="K40" s="472">
        <v>0</v>
      </c>
      <c r="L40" s="472">
        <v>437191</v>
      </c>
      <c r="M40" s="472">
        <v>25870</v>
      </c>
      <c r="N40" s="472">
        <v>3900</v>
      </c>
      <c r="O40" s="473">
        <v>3.54</v>
      </c>
      <c r="P40" s="474">
        <v>3.54</v>
      </c>
      <c r="Q40" s="483">
        <v>0</v>
      </c>
      <c r="R40" s="485">
        <f t="shared" si="75"/>
        <v>0</v>
      </c>
      <c r="S40" s="475">
        <v>33203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10"/>
        <v>33203</v>
      </c>
      <c r="Y40" s="475">
        <v>0</v>
      </c>
      <c r="Z40" s="475">
        <v>0</v>
      </c>
      <c r="AA40" s="475">
        <v>0</v>
      </c>
      <c r="AB40" s="475">
        <f t="shared" si="76"/>
        <v>0</v>
      </c>
      <c r="AC40" s="475">
        <f t="shared" si="77"/>
        <v>33203</v>
      </c>
      <c r="AD40" s="70">
        <f t="shared" si="78"/>
        <v>11223</v>
      </c>
      <c r="AE40" s="70">
        <f t="shared" si="79"/>
        <v>664</v>
      </c>
      <c r="AF40" s="475">
        <v>5100</v>
      </c>
      <c r="AG40" s="475">
        <v>0</v>
      </c>
      <c r="AH40" s="475">
        <f t="shared" si="80"/>
        <v>5100</v>
      </c>
      <c r="AI40" s="475">
        <f t="shared" si="81"/>
        <v>50190</v>
      </c>
      <c r="AJ40" s="476">
        <v>0</v>
      </c>
      <c r="AK40" s="476">
        <v>0</v>
      </c>
      <c r="AL40" s="476">
        <v>0.06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>AJ40+AL40+AM40+AO40+AP40</f>
        <v>0.06</v>
      </c>
      <c r="AS40" s="476">
        <f>AK40+AN40+AQ40</f>
        <v>0</v>
      </c>
      <c r="AT40" s="478">
        <f t="shared" si="82"/>
        <v>0.06</v>
      </c>
      <c r="AU40" s="484">
        <f>I40+AI40</f>
        <v>1810617</v>
      </c>
      <c r="AV40" s="475">
        <f>J40+X40</f>
        <v>1326669</v>
      </c>
      <c r="AW40" s="475">
        <f t="shared" si="83"/>
        <v>0</v>
      </c>
      <c r="AX40" s="475">
        <f t="shared" si="84"/>
        <v>448414</v>
      </c>
      <c r="AY40" s="475">
        <f t="shared" si="84"/>
        <v>26534</v>
      </c>
      <c r="AZ40" s="475">
        <f>N40+AH40</f>
        <v>9000</v>
      </c>
      <c r="BA40" s="476">
        <f>O40+AT40</f>
        <v>3.6</v>
      </c>
      <c r="BB40" s="476">
        <f t="shared" si="85"/>
        <v>3.6</v>
      </c>
      <c r="BC40" s="478">
        <f t="shared" si="85"/>
        <v>0</v>
      </c>
    </row>
    <row r="41" spans="1:55" ht="12.95" customHeight="1" x14ac:dyDescent="0.25">
      <c r="A41" s="308">
        <v>7</v>
      </c>
      <c r="B41" s="349">
        <v>5443</v>
      </c>
      <c r="C41" s="350">
        <v>600099237</v>
      </c>
      <c r="D41" s="309">
        <v>854841</v>
      </c>
      <c r="E41" s="351" t="s">
        <v>382</v>
      </c>
      <c r="F41" s="309">
        <v>3141</v>
      </c>
      <c r="G41" s="351" t="s">
        <v>315</v>
      </c>
      <c r="H41" s="312" t="s">
        <v>278</v>
      </c>
      <c r="I41" s="477">
        <v>3571949</v>
      </c>
      <c r="J41" s="472">
        <v>2597485</v>
      </c>
      <c r="K41" s="472">
        <v>10000</v>
      </c>
      <c r="L41" s="472">
        <v>881330</v>
      </c>
      <c r="M41" s="472">
        <v>51950</v>
      </c>
      <c r="N41" s="472">
        <v>31184</v>
      </c>
      <c r="O41" s="473">
        <v>8.2100000000000009</v>
      </c>
      <c r="P41" s="474">
        <v>0</v>
      </c>
      <c r="Q41" s="483">
        <v>8.2100000000000009</v>
      </c>
      <c r="R41" s="485">
        <f t="shared" si="75"/>
        <v>0</v>
      </c>
      <c r="S41" s="475">
        <v>0</v>
      </c>
      <c r="T41" s="475">
        <v>36870</v>
      </c>
      <c r="U41" s="475">
        <v>0</v>
      </c>
      <c r="V41" s="475">
        <v>0</v>
      </c>
      <c r="W41" s="475">
        <v>0</v>
      </c>
      <c r="X41" s="475">
        <f t="shared" si="10"/>
        <v>36870</v>
      </c>
      <c r="Y41" s="475">
        <v>0</v>
      </c>
      <c r="Z41" s="475">
        <v>0</v>
      </c>
      <c r="AA41" s="475">
        <v>0</v>
      </c>
      <c r="AB41" s="475">
        <f t="shared" si="76"/>
        <v>0</v>
      </c>
      <c r="AC41" s="475">
        <f t="shared" si="77"/>
        <v>36870</v>
      </c>
      <c r="AD41" s="70">
        <f t="shared" si="78"/>
        <v>12462</v>
      </c>
      <c r="AE41" s="70">
        <f t="shared" si="79"/>
        <v>737</v>
      </c>
      <c r="AF41" s="475">
        <v>0</v>
      </c>
      <c r="AG41" s="475">
        <v>0</v>
      </c>
      <c r="AH41" s="475">
        <f t="shared" si="80"/>
        <v>0</v>
      </c>
      <c r="AI41" s="475">
        <f t="shared" si="81"/>
        <v>50069</v>
      </c>
      <c r="AJ41" s="476">
        <v>0</v>
      </c>
      <c r="AK41" s="476">
        <v>0</v>
      </c>
      <c r="AL41" s="476">
        <v>0</v>
      </c>
      <c r="AM41" s="476">
        <v>0</v>
      </c>
      <c r="AN41" s="476">
        <v>0.11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0.11</v>
      </c>
      <c r="AT41" s="478">
        <f t="shared" si="82"/>
        <v>0.11</v>
      </c>
      <c r="AU41" s="484">
        <f>I41+AI41</f>
        <v>3622018</v>
      </c>
      <c r="AV41" s="475">
        <f>J41+X41</f>
        <v>2634355</v>
      </c>
      <c r="AW41" s="475">
        <f t="shared" si="83"/>
        <v>10000</v>
      </c>
      <c r="AX41" s="475">
        <f t="shared" si="84"/>
        <v>893792</v>
      </c>
      <c r="AY41" s="475">
        <f t="shared" si="84"/>
        <v>52687</v>
      </c>
      <c r="AZ41" s="475">
        <f>N41+AH41</f>
        <v>31184</v>
      </c>
      <c r="BA41" s="476">
        <f>O41+AT41</f>
        <v>8.32</v>
      </c>
      <c r="BB41" s="476">
        <f t="shared" si="85"/>
        <v>0</v>
      </c>
      <c r="BC41" s="478">
        <f t="shared" si="85"/>
        <v>8.32</v>
      </c>
    </row>
    <row r="42" spans="1:55" ht="12.95" customHeight="1" x14ac:dyDescent="0.25">
      <c r="A42" s="308">
        <v>7</v>
      </c>
      <c r="B42" s="349">
        <v>5443</v>
      </c>
      <c r="C42" s="350">
        <v>600099237</v>
      </c>
      <c r="D42" s="309">
        <v>854841</v>
      </c>
      <c r="E42" s="351" t="s">
        <v>382</v>
      </c>
      <c r="F42" s="309">
        <v>3143</v>
      </c>
      <c r="G42" s="351" t="s">
        <v>626</v>
      </c>
      <c r="H42" s="312" t="s">
        <v>277</v>
      </c>
      <c r="I42" s="477">
        <v>1400109</v>
      </c>
      <c r="J42" s="472">
        <v>1011303</v>
      </c>
      <c r="K42" s="472">
        <v>20000</v>
      </c>
      <c r="L42" s="472">
        <v>348580</v>
      </c>
      <c r="M42" s="472">
        <v>20226</v>
      </c>
      <c r="N42" s="472">
        <v>0</v>
      </c>
      <c r="O42" s="473">
        <v>2.0999999999999996</v>
      </c>
      <c r="P42" s="474">
        <v>2.0999999999999996</v>
      </c>
      <c r="Q42" s="483">
        <v>0</v>
      </c>
      <c r="R42" s="485">
        <f t="shared" si="75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10"/>
        <v>0</v>
      </c>
      <c r="Y42" s="475">
        <v>0</v>
      </c>
      <c r="Z42" s="475">
        <v>0</v>
      </c>
      <c r="AA42" s="475">
        <v>0</v>
      </c>
      <c r="AB42" s="475">
        <f t="shared" si="76"/>
        <v>0</v>
      </c>
      <c r="AC42" s="475">
        <f t="shared" si="77"/>
        <v>0</v>
      </c>
      <c r="AD42" s="70">
        <f t="shared" si="78"/>
        <v>0</v>
      </c>
      <c r="AE42" s="70">
        <f t="shared" si="79"/>
        <v>0</v>
      </c>
      <c r="AF42" s="475">
        <v>0</v>
      </c>
      <c r="AG42" s="475">
        <v>0</v>
      </c>
      <c r="AH42" s="475">
        <f t="shared" si="80"/>
        <v>0</v>
      </c>
      <c r="AI42" s="475">
        <f t="shared" si="81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476">
        <f>AJ42+AL42+AM42+AO42+AP42</f>
        <v>0</v>
      </c>
      <c r="AS42" s="476">
        <f>AK42+AN42+AQ42</f>
        <v>0</v>
      </c>
      <c r="AT42" s="478">
        <f t="shared" si="82"/>
        <v>0</v>
      </c>
      <c r="AU42" s="484">
        <f>I42+AI42</f>
        <v>1400109</v>
      </c>
      <c r="AV42" s="475">
        <f>J42+X42</f>
        <v>1011303</v>
      </c>
      <c r="AW42" s="475">
        <f t="shared" si="83"/>
        <v>20000</v>
      </c>
      <c r="AX42" s="475">
        <f t="shared" si="84"/>
        <v>348580</v>
      </c>
      <c r="AY42" s="475">
        <f t="shared" si="84"/>
        <v>20226</v>
      </c>
      <c r="AZ42" s="475">
        <f>N42+AH42</f>
        <v>0</v>
      </c>
      <c r="BA42" s="476">
        <f>O42+AT42</f>
        <v>2.0999999999999996</v>
      </c>
      <c r="BB42" s="476">
        <f t="shared" si="85"/>
        <v>2.0999999999999996</v>
      </c>
      <c r="BC42" s="478">
        <f t="shared" si="85"/>
        <v>0</v>
      </c>
    </row>
    <row r="43" spans="1:55" ht="12.95" customHeight="1" x14ac:dyDescent="0.25">
      <c r="A43" s="308">
        <v>7</v>
      </c>
      <c r="B43" s="349">
        <v>5443</v>
      </c>
      <c r="C43" s="350">
        <v>600099237</v>
      </c>
      <c r="D43" s="309">
        <v>854841</v>
      </c>
      <c r="E43" s="351" t="s">
        <v>382</v>
      </c>
      <c r="F43" s="309">
        <v>3143</v>
      </c>
      <c r="G43" s="351" t="s">
        <v>627</v>
      </c>
      <c r="H43" s="312" t="s">
        <v>278</v>
      </c>
      <c r="I43" s="477">
        <v>52164</v>
      </c>
      <c r="J43" s="472">
        <v>36888</v>
      </c>
      <c r="K43" s="472">
        <v>0</v>
      </c>
      <c r="L43" s="472">
        <v>12468</v>
      </c>
      <c r="M43" s="472">
        <v>738</v>
      </c>
      <c r="N43" s="472">
        <v>2070</v>
      </c>
      <c r="O43" s="473">
        <v>0.1</v>
      </c>
      <c r="P43" s="474">
        <v>0</v>
      </c>
      <c r="Q43" s="483">
        <v>0.1</v>
      </c>
      <c r="R43" s="485">
        <f t="shared" si="75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10"/>
        <v>0</v>
      </c>
      <c r="Y43" s="475">
        <v>0</v>
      </c>
      <c r="Z43" s="475">
        <v>0</v>
      </c>
      <c r="AA43" s="475">
        <v>0</v>
      </c>
      <c r="AB43" s="475">
        <f t="shared" si="76"/>
        <v>0</v>
      </c>
      <c r="AC43" s="475">
        <f t="shared" si="77"/>
        <v>0</v>
      </c>
      <c r="AD43" s="70">
        <f t="shared" si="78"/>
        <v>0</v>
      </c>
      <c r="AE43" s="70">
        <f t="shared" si="79"/>
        <v>0</v>
      </c>
      <c r="AF43" s="475">
        <v>0</v>
      </c>
      <c r="AG43" s="475">
        <v>0</v>
      </c>
      <c r="AH43" s="475">
        <f t="shared" si="80"/>
        <v>0</v>
      </c>
      <c r="AI43" s="475">
        <f t="shared" si="81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82"/>
        <v>0</v>
      </c>
      <c r="AU43" s="484">
        <f>I43+AI43</f>
        <v>52164</v>
      </c>
      <c r="AV43" s="475">
        <f>J43+X43</f>
        <v>36888</v>
      </c>
      <c r="AW43" s="475">
        <f t="shared" si="83"/>
        <v>0</v>
      </c>
      <c r="AX43" s="475">
        <f t="shared" si="84"/>
        <v>12468</v>
      </c>
      <c r="AY43" s="475">
        <f t="shared" si="84"/>
        <v>738</v>
      </c>
      <c r="AZ43" s="475">
        <f>N43+AH43</f>
        <v>2070</v>
      </c>
      <c r="BA43" s="476">
        <f>O43+AT43</f>
        <v>0.1</v>
      </c>
      <c r="BB43" s="476">
        <f t="shared" si="85"/>
        <v>0</v>
      </c>
      <c r="BC43" s="478">
        <f t="shared" si="85"/>
        <v>0.1</v>
      </c>
    </row>
    <row r="44" spans="1:55" ht="12.95" customHeight="1" x14ac:dyDescent="0.25">
      <c r="A44" s="352">
        <v>7</v>
      </c>
      <c r="B44" s="353">
        <v>5443</v>
      </c>
      <c r="C44" s="360">
        <v>600099237</v>
      </c>
      <c r="D44" s="353">
        <v>854841</v>
      </c>
      <c r="E44" s="355" t="s">
        <v>383</v>
      </c>
      <c r="F44" s="319"/>
      <c r="G44" s="357"/>
      <c r="H44" s="320"/>
      <c r="I44" s="583">
        <v>28700026</v>
      </c>
      <c r="J44" s="580">
        <v>20577703</v>
      </c>
      <c r="K44" s="580">
        <v>120000</v>
      </c>
      <c r="L44" s="580">
        <v>6995823</v>
      </c>
      <c r="M44" s="580">
        <v>411555</v>
      </c>
      <c r="N44" s="580">
        <v>594945</v>
      </c>
      <c r="O44" s="581">
        <v>43.630800000000001</v>
      </c>
      <c r="P44" s="581">
        <v>28.048999999999999</v>
      </c>
      <c r="Q44" s="585">
        <v>15.581799999999999</v>
      </c>
      <c r="R44" s="583">
        <f t="shared" ref="R44:BC44" si="86">SUM(R39:R43)</f>
        <v>0</v>
      </c>
      <c r="S44" s="578">
        <f t="shared" ref="S44" si="87">SUM(S39:S43)</f>
        <v>33203</v>
      </c>
      <c r="T44" s="580">
        <f t="shared" si="86"/>
        <v>-306567</v>
      </c>
      <c r="U44" s="580">
        <f t="shared" si="86"/>
        <v>0</v>
      </c>
      <c r="V44" s="580">
        <f t="shared" si="86"/>
        <v>0</v>
      </c>
      <c r="W44" s="580">
        <f t="shared" si="86"/>
        <v>0</v>
      </c>
      <c r="X44" s="580">
        <f t="shared" si="86"/>
        <v>-273364</v>
      </c>
      <c r="Y44" s="580">
        <f t="shared" si="86"/>
        <v>0</v>
      </c>
      <c r="Z44" s="580">
        <f t="shared" si="86"/>
        <v>0</v>
      </c>
      <c r="AA44" s="580">
        <f t="shared" si="86"/>
        <v>0</v>
      </c>
      <c r="AB44" s="580">
        <f t="shared" si="86"/>
        <v>0</v>
      </c>
      <c r="AC44" s="580">
        <f t="shared" si="86"/>
        <v>-273364</v>
      </c>
      <c r="AD44" s="580">
        <f t="shared" si="86"/>
        <v>-92397</v>
      </c>
      <c r="AE44" s="580">
        <f t="shared" si="86"/>
        <v>-5468</v>
      </c>
      <c r="AF44" s="580">
        <f t="shared" si="86"/>
        <v>5100</v>
      </c>
      <c r="AG44" s="580">
        <f t="shared" si="86"/>
        <v>0</v>
      </c>
      <c r="AH44" s="580">
        <f t="shared" si="86"/>
        <v>5100</v>
      </c>
      <c r="AI44" s="580">
        <f t="shared" si="86"/>
        <v>-366129</v>
      </c>
      <c r="AJ44" s="581">
        <f t="shared" si="86"/>
        <v>0</v>
      </c>
      <c r="AK44" s="581">
        <f t="shared" si="86"/>
        <v>0</v>
      </c>
      <c r="AL44" s="581">
        <f t="shared" si="86"/>
        <v>0.06</v>
      </c>
      <c r="AM44" s="581">
        <f t="shared" si="86"/>
        <v>-0.56999999999999995</v>
      </c>
      <c r="AN44" s="581">
        <f t="shared" si="86"/>
        <v>0.11</v>
      </c>
      <c r="AO44" s="581">
        <f t="shared" si="86"/>
        <v>0</v>
      </c>
      <c r="AP44" s="581">
        <f t="shared" si="86"/>
        <v>0</v>
      </c>
      <c r="AQ44" s="581">
        <f t="shared" si="86"/>
        <v>0</v>
      </c>
      <c r="AR44" s="581">
        <f t="shared" si="86"/>
        <v>-0.51</v>
      </c>
      <c r="AS44" s="581">
        <f t="shared" si="86"/>
        <v>0.11</v>
      </c>
      <c r="AT44" s="361">
        <f t="shared" si="86"/>
        <v>-0.4</v>
      </c>
      <c r="AU44" s="587">
        <f t="shared" si="86"/>
        <v>28333897</v>
      </c>
      <c r="AV44" s="580">
        <f t="shared" si="86"/>
        <v>20304339</v>
      </c>
      <c r="AW44" s="580">
        <f t="shared" si="86"/>
        <v>120000</v>
      </c>
      <c r="AX44" s="580">
        <f t="shared" si="86"/>
        <v>6903426</v>
      </c>
      <c r="AY44" s="580">
        <f t="shared" si="86"/>
        <v>406087</v>
      </c>
      <c r="AZ44" s="580">
        <f t="shared" si="86"/>
        <v>600045</v>
      </c>
      <c r="BA44" s="581">
        <f t="shared" si="86"/>
        <v>43.230799999999995</v>
      </c>
      <c r="BB44" s="581">
        <f t="shared" si="86"/>
        <v>27.539000000000001</v>
      </c>
      <c r="BC44" s="361">
        <f t="shared" si="86"/>
        <v>15.691799999999999</v>
      </c>
    </row>
    <row r="45" spans="1:55" ht="12.95" customHeight="1" x14ac:dyDescent="0.25">
      <c r="A45" s="308">
        <v>8</v>
      </c>
      <c r="B45" s="349">
        <v>5445</v>
      </c>
      <c r="C45" s="350">
        <v>600099351</v>
      </c>
      <c r="D45" s="309">
        <v>70155771</v>
      </c>
      <c r="E45" s="351" t="s">
        <v>384</v>
      </c>
      <c r="F45" s="309">
        <v>3113</v>
      </c>
      <c r="G45" s="351" t="s">
        <v>329</v>
      </c>
      <c r="H45" s="312" t="s">
        <v>277</v>
      </c>
      <c r="I45" s="477">
        <v>25681587</v>
      </c>
      <c r="J45" s="472">
        <v>18287235</v>
      </c>
      <c r="K45" s="472">
        <v>175000</v>
      </c>
      <c r="L45" s="472">
        <v>6240236</v>
      </c>
      <c r="M45" s="472">
        <v>365746</v>
      </c>
      <c r="N45" s="472">
        <v>613370</v>
      </c>
      <c r="O45" s="473">
        <v>32.4542</v>
      </c>
      <c r="P45" s="474">
        <v>23.791599999999999</v>
      </c>
      <c r="Q45" s="483">
        <v>8.6625999999999994</v>
      </c>
      <c r="R45" s="485">
        <f t="shared" ref="R45:R50" si="88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10"/>
        <v>0</v>
      </c>
      <c r="Y45" s="475">
        <v>0</v>
      </c>
      <c r="Z45" s="475">
        <v>0</v>
      </c>
      <c r="AA45" s="475">
        <v>0</v>
      </c>
      <c r="AB45" s="475">
        <f t="shared" ref="AB45:AB50" si="89">SUM(Y45:AA45)</f>
        <v>0</v>
      </c>
      <c r="AC45" s="475">
        <f t="shared" ref="AC45:AC50" si="90">X45+AB45</f>
        <v>0</v>
      </c>
      <c r="AD45" s="70">
        <f t="shared" ref="AD45:AD50" si="91">ROUND((X45+Y45+Z45)*33.8%,0)</f>
        <v>0</v>
      </c>
      <c r="AE45" s="70">
        <f t="shared" ref="AE45:AE50" si="92">ROUND(X45*2%,0)</f>
        <v>0</v>
      </c>
      <c r="AF45" s="475">
        <v>0</v>
      </c>
      <c r="AG45" s="475">
        <v>0</v>
      </c>
      <c r="AH45" s="475">
        <f t="shared" ref="AH45:AH50" si="93">SUM(AF45:AG45)</f>
        <v>0</v>
      </c>
      <c r="AI45" s="475">
        <f t="shared" ref="AI45:AI50" si="94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 t="shared" ref="AR45:AR50" si="95">AJ45+AL45+AM45+AO45+AP45</f>
        <v>0</v>
      </c>
      <c r="AS45" s="476">
        <f t="shared" ref="AS45:AS50" si="96">AK45+AN45+AQ45</f>
        <v>0</v>
      </c>
      <c r="AT45" s="478">
        <f t="shared" ref="AT45:AT50" si="97">SUM(AR45:AS45)</f>
        <v>0</v>
      </c>
      <c r="AU45" s="484">
        <f t="shared" ref="AU45:AU50" si="98">I45+AI45</f>
        <v>25681587</v>
      </c>
      <c r="AV45" s="475">
        <f t="shared" ref="AV45:AV50" si="99">J45+X45</f>
        <v>18287235</v>
      </c>
      <c r="AW45" s="475">
        <f t="shared" ref="AW45:AW50" si="100">K45+AB45</f>
        <v>175000</v>
      </c>
      <c r="AX45" s="475">
        <f t="shared" ref="AX45:AY50" si="101">L45+AD45</f>
        <v>6240236</v>
      </c>
      <c r="AY45" s="475">
        <f t="shared" si="101"/>
        <v>365746</v>
      </c>
      <c r="AZ45" s="475">
        <f t="shared" ref="AZ45:AZ50" si="102">N45+AH45</f>
        <v>613370</v>
      </c>
      <c r="BA45" s="476">
        <f t="shared" ref="BA45:BA50" si="103">O45+AT45</f>
        <v>32.4542</v>
      </c>
      <c r="BB45" s="476">
        <f t="shared" ref="BB45:BC50" si="104">P45+AR45</f>
        <v>23.791599999999999</v>
      </c>
      <c r="BC45" s="478">
        <f t="shared" si="104"/>
        <v>8.6625999999999994</v>
      </c>
    </row>
    <row r="46" spans="1:55" ht="12.95" customHeight="1" x14ac:dyDescent="0.25">
      <c r="A46" s="308">
        <v>8</v>
      </c>
      <c r="B46" s="349">
        <v>5445</v>
      </c>
      <c r="C46" s="350">
        <v>600099351</v>
      </c>
      <c r="D46" s="309">
        <v>70155771</v>
      </c>
      <c r="E46" s="351" t="s">
        <v>384</v>
      </c>
      <c r="F46" s="309">
        <v>3113</v>
      </c>
      <c r="G46" s="351" t="s">
        <v>319</v>
      </c>
      <c r="H46" s="312" t="s">
        <v>278</v>
      </c>
      <c r="I46" s="477">
        <v>940900</v>
      </c>
      <c r="J46" s="472">
        <v>689249</v>
      </c>
      <c r="K46" s="472">
        <v>0</v>
      </c>
      <c r="L46" s="472">
        <v>232966</v>
      </c>
      <c r="M46" s="472">
        <v>13785</v>
      </c>
      <c r="N46" s="472">
        <v>4900</v>
      </c>
      <c r="O46" s="473">
        <v>1.91</v>
      </c>
      <c r="P46" s="474">
        <v>1.91</v>
      </c>
      <c r="Q46" s="483">
        <v>0</v>
      </c>
      <c r="R46" s="485">
        <f t="shared" si="88"/>
        <v>0</v>
      </c>
      <c r="S46" s="475">
        <v>17352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10"/>
        <v>17352</v>
      </c>
      <c r="Y46" s="475">
        <v>0</v>
      </c>
      <c r="Z46" s="475">
        <v>0</v>
      </c>
      <c r="AA46" s="475">
        <v>0</v>
      </c>
      <c r="AB46" s="475">
        <f t="shared" si="89"/>
        <v>0</v>
      </c>
      <c r="AC46" s="475">
        <f t="shared" si="90"/>
        <v>17352</v>
      </c>
      <c r="AD46" s="70">
        <f t="shared" si="91"/>
        <v>5865</v>
      </c>
      <c r="AE46" s="70">
        <f t="shared" si="92"/>
        <v>347</v>
      </c>
      <c r="AF46" s="475">
        <v>700</v>
      </c>
      <c r="AG46" s="475">
        <v>0</v>
      </c>
      <c r="AH46" s="475">
        <f t="shared" si="93"/>
        <v>700</v>
      </c>
      <c r="AI46" s="475">
        <f t="shared" si="94"/>
        <v>24264</v>
      </c>
      <c r="AJ46" s="476">
        <v>0</v>
      </c>
      <c r="AK46" s="476">
        <v>0</v>
      </c>
      <c r="AL46" s="476">
        <v>0.2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 t="shared" si="95"/>
        <v>0.2</v>
      </c>
      <c r="AS46" s="476">
        <f t="shared" si="96"/>
        <v>0</v>
      </c>
      <c r="AT46" s="478">
        <f t="shared" si="97"/>
        <v>0.2</v>
      </c>
      <c r="AU46" s="484">
        <f t="shared" si="98"/>
        <v>965164</v>
      </c>
      <c r="AV46" s="475">
        <f t="shared" si="99"/>
        <v>706601</v>
      </c>
      <c r="AW46" s="475">
        <f t="shared" si="100"/>
        <v>0</v>
      </c>
      <c r="AX46" s="475">
        <f t="shared" si="101"/>
        <v>238831</v>
      </c>
      <c r="AY46" s="475">
        <f t="shared" si="101"/>
        <v>14132</v>
      </c>
      <c r="AZ46" s="475">
        <f t="shared" si="102"/>
        <v>5600</v>
      </c>
      <c r="BA46" s="476">
        <f t="shared" si="103"/>
        <v>2.11</v>
      </c>
      <c r="BB46" s="476">
        <f t="shared" si="104"/>
        <v>2.11</v>
      </c>
      <c r="BC46" s="478">
        <f t="shared" si="104"/>
        <v>0</v>
      </c>
    </row>
    <row r="47" spans="1:55" ht="12.95" customHeight="1" x14ac:dyDescent="0.25">
      <c r="A47" s="308">
        <v>8</v>
      </c>
      <c r="B47" s="349">
        <v>5445</v>
      </c>
      <c r="C47" s="350">
        <v>600099351</v>
      </c>
      <c r="D47" s="309">
        <v>70155771</v>
      </c>
      <c r="E47" s="351" t="s">
        <v>384</v>
      </c>
      <c r="F47" s="309">
        <v>3141</v>
      </c>
      <c r="G47" s="351" t="s">
        <v>315</v>
      </c>
      <c r="H47" s="312" t="s">
        <v>278</v>
      </c>
      <c r="I47" s="477">
        <v>1345037</v>
      </c>
      <c r="J47" s="472">
        <v>983108</v>
      </c>
      <c r="K47" s="472">
        <v>0</v>
      </c>
      <c r="L47" s="472">
        <v>332291</v>
      </c>
      <c r="M47" s="472">
        <v>19662</v>
      </c>
      <c r="N47" s="472">
        <v>9976</v>
      </c>
      <c r="O47" s="473">
        <v>3.1</v>
      </c>
      <c r="P47" s="474">
        <v>0</v>
      </c>
      <c r="Q47" s="483">
        <v>3.1</v>
      </c>
      <c r="R47" s="485">
        <f t="shared" si="88"/>
        <v>0</v>
      </c>
      <c r="S47" s="475">
        <v>0</v>
      </c>
      <c r="T47" s="475">
        <v>-2991</v>
      </c>
      <c r="U47" s="475">
        <v>0</v>
      </c>
      <c r="V47" s="475">
        <v>0</v>
      </c>
      <c r="W47" s="475">
        <v>0</v>
      </c>
      <c r="X47" s="475">
        <f t="shared" si="10"/>
        <v>-2991</v>
      </c>
      <c r="Y47" s="475">
        <v>0</v>
      </c>
      <c r="Z47" s="475">
        <v>0</v>
      </c>
      <c r="AA47" s="475">
        <v>0</v>
      </c>
      <c r="AB47" s="475">
        <f t="shared" si="89"/>
        <v>0</v>
      </c>
      <c r="AC47" s="475">
        <f t="shared" si="90"/>
        <v>-2991</v>
      </c>
      <c r="AD47" s="70">
        <f t="shared" si="91"/>
        <v>-1011</v>
      </c>
      <c r="AE47" s="70">
        <f t="shared" si="92"/>
        <v>-60</v>
      </c>
      <c r="AF47" s="475">
        <v>0</v>
      </c>
      <c r="AG47" s="475">
        <v>0</v>
      </c>
      <c r="AH47" s="475">
        <f t="shared" si="93"/>
        <v>0</v>
      </c>
      <c r="AI47" s="475">
        <f t="shared" si="94"/>
        <v>-4062</v>
      </c>
      <c r="AJ47" s="476">
        <v>0</v>
      </c>
      <c r="AK47" s="476">
        <v>0</v>
      </c>
      <c r="AL47" s="476">
        <v>0</v>
      </c>
      <c r="AM47" s="476">
        <v>0</v>
      </c>
      <c r="AN47" s="476">
        <v>-0.01</v>
      </c>
      <c r="AO47" s="476">
        <v>0</v>
      </c>
      <c r="AP47" s="476">
        <v>0</v>
      </c>
      <c r="AQ47" s="476">
        <v>0</v>
      </c>
      <c r="AR47" s="476">
        <f t="shared" si="95"/>
        <v>0</v>
      </c>
      <c r="AS47" s="476">
        <f t="shared" si="96"/>
        <v>-0.01</v>
      </c>
      <c r="AT47" s="478">
        <f t="shared" si="97"/>
        <v>-0.01</v>
      </c>
      <c r="AU47" s="484">
        <f t="shared" si="98"/>
        <v>1340975</v>
      </c>
      <c r="AV47" s="475">
        <f t="shared" si="99"/>
        <v>980117</v>
      </c>
      <c r="AW47" s="475">
        <f t="shared" si="100"/>
        <v>0</v>
      </c>
      <c r="AX47" s="475">
        <f t="shared" si="101"/>
        <v>331280</v>
      </c>
      <c r="AY47" s="475">
        <f t="shared" si="101"/>
        <v>19602</v>
      </c>
      <c r="AZ47" s="475">
        <f t="shared" si="102"/>
        <v>9976</v>
      </c>
      <c r="BA47" s="476">
        <f t="shared" si="103"/>
        <v>3.0900000000000003</v>
      </c>
      <c r="BB47" s="476">
        <f t="shared" si="104"/>
        <v>0</v>
      </c>
      <c r="BC47" s="478">
        <f t="shared" si="104"/>
        <v>3.0900000000000003</v>
      </c>
    </row>
    <row r="48" spans="1:55" ht="12.95" customHeight="1" x14ac:dyDescent="0.25">
      <c r="A48" s="308">
        <v>8</v>
      </c>
      <c r="B48" s="349">
        <v>5445</v>
      </c>
      <c r="C48" s="350">
        <v>600099351</v>
      </c>
      <c r="D48" s="309">
        <v>70155771</v>
      </c>
      <c r="E48" s="351" t="s">
        <v>384</v>
      </c>
      <c r="F48" s="309">
        <v>3143</v>
      </c>
      <c r="G48" s="351" t="s">
        <v>626</v>
      </c>
      <c r="H48" s="312" t="s">
        <v>277</v>
      </c>
      <c r="I48" s="477">
        <v>1769692</v>
      </c>
      <c r="J48" s="472">
        <v>1303161</v>
      </c>
      <c r="K48" s="472">
        <v>0</v>
      </c>
      <c r="L48" s="472">
        <v>440468</v>
      </c>
      <c r="M48" s="472">
        <v>26063</v>
      </c>
      <c r="N48" s="472">
        <v>0</v>
      </c>
      <c r="O48" s="473">
        <v>2.7585999999999999</v>
      </c>
      <c r="P48" s="474">
        <v>2.7585999999999999</v>
      </c>
      <c r="Q48" s="483">
        <v>0</v>
      </c>
      <c r="R48" s="485">
        <f t="shared" si="88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10"/>
        <v>0</v>
      </c>
      <c r="Y48" s="475">
        <v>0</v>
      </c>
      <c r="Z48" s="475">
        <v>0</v>
      </c>
      <c r="AA48" s="475">
        <v>0</v>
      </c>
      <c r="AB48" s="475">
        <f t="shared" si="89"/>
        <v>0</v>
      </c>
      <c r="AC48" s="475">
        <f t="shared" si="90"/>
        <v>0</v>
      </c>
      <c r="AD48" s="70">
        <f t="shared" si="91"/>
        <v>0</v>
      </c>
      <c r="AE48" s="70">
        <f t="shared" si="92"/>
        <v>0</v>
      </c>
      <c r="AF48" s="475">
        <v>0</v>
      </c>
      <c r="AG48" s="475">
        <v>0</v>
      </c>
      <c r="AH48" s="475">
        <f t="shared" si="93"/>
        <v>0</v>
      </c>
      <c r="AI48" s="475">
        <f t="shared" si="94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si="95"/>
        <v>0</v>
      </c>
      <c r="AS48" s="476">
        <f t="shared" si="96"/>
        <v>0</v>
      </c>
      <c r="AT48" s="478">
        <f t="shared" si="97"/>
        <v>0</v>
      </c>
      <c r="AU48" s="484">
        <f t="shared" si="98"/>
        <v>1769692</v>
      </c>
      <c r="AV48" s="475">
        <f t="shared" si="99"/>
        <v>1303161</v>
      </c>
      <c r="AW48" s="475">
        <f t="shared" si="100"/>
        <v>0</v>
      </c>
      <c r="AX48" s="475">
        <f t="shared" si="101"/>
        <v>440468</v>
      </c>
      <c r="AY48" s="475">
        <f t="shared" si="101"/>
        <v>26063</v>
      </c>
      <c r="AZ48" s="475">
        <f t="shared" si="102"/>
        <v>0</v>
      </c>
      <c r="BA48" s="476">
        <f t="shared" si="103"/>
        <v>2.7585999999999999</v>
      </c>
      <c r="BB48" s="476">
        <f t="shared" si="104"/>
        <v>2.7585999999999999</v>
      </c>
      <c r="BC48" s="478">
        <f t="shared" si="104"/>
        <v>0</v>
      </c>
    </row>
    <row r="49" spans="1:55" ht="12.95" customHeight="1" x14ac:dyDescent="0.25">
      <c r="A49" s="308">
        <v>8</v>
      </c>
      <c r="B49" s="349">
        <v>5445</v>
      </c>
      <c r="C49" s="350">
        <v>600099351</v>
      </c>
      <c r="D49" s="309">
        <v>70155771</v>
      </c>
      <c r="E49" s="351" t="s">
        <v>384</v>
      </c>
      <c r="F49" s="309">
        <v>3143</v>
      </c>
      <c r="G49" s="351" t="s">
        <v>627</v>
      </c>
      <c r="H49" s="312" t="s">
        <v>278</v>
      </c>
      <c r="I49" s="477">
        <v>53675</v>
      </c>
      <c r="J49" s="472">
        <v>37957</v>
      </c>
      <c r="K49" s="472">
        <v>0</v>
      </c>
      <c r="L49" s="472">
        <v>12829</v>
      </c>
      <c r="M49" s="472">
        <v>759</v>
      </c>
      <c r="N49" s="472">
        <v>2130</v>
      </c>
      <c r="O49" s="473">
        <v>0.15</v>
      </c>
      <c r="P49" s="474">
        <v>0</v>
      </c>
      <c r="Q49" s="483">
        <v>0.15</v>
      </c>
      <c r="R49" s="485">
        <f t="shared" si="88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10"/>
        <v>0</v>
      </c>
      <c r="Y49" s="475">
        <v>0</v>
      </c>
      <c r="Z49" s="475">
        <v>0</v>
      </c>
      <c r="AA49" s="475">
        <v>0</v>
      </c>
      <c r="AB49" s="475">
        <f t="shared" si="89"/>
        <v>0</v>
      </c>
      <c r="AC49" s="475">
        <f t="shared" si="90"/>
        <v>0</v>
      </c>
      <c r="AD49" s="70">
        <f t="shared" si="91"/>
        <v>0</v>
      </c>
      <c r="AE49" s="70">
        <f t="shared" si="92"/>
        <v>0</v>
      </c>
      <c r="AF49" s="475">
        <v>0</v>
      </c>
      <c r="AG49" s="475">
        <v>0</v>
      </c>
      <c r="AH49" s="475">
        <f t="shared" si="93"/>
        <v>0</v>
      </c>
      <c r="AI49" s="475">
        <f t="shared" si="94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f t="shared" si="95"/>
        <v>0</v>
      </c>
      <c r="AS49" s="476">
        <f t="shared" si="96"/>
        <v>0</v>
      </c>
      <c r="AT49" s="478">
        <f t="shared" si="97"/>
        <v>0</v>
      </c>
      <c r="AU49" s="484">
        <f t="shared" si="98"/>
        <v>53675</v>
      </c>
      <c r="AV49" s="475">
        <f t="shared" si="99"/>
        <v>37957</v>
      </c>
      <c r="AW49" s="475">
        <f t="shared" si="100"/>
        <v>0</v>
      </c>
      <c r="AX49" s="475">
        <f t="shared" si="101"/>
        <v>12829</v>
      </c>
      <c r="AY49" s="475">
        <f t="shared" si="101"/>
        <v>759</v>
      </c>
      <c r="AZ49" s="475">
        <f t="shared" si="102"/>
        <v>2130</v>
      </c>
      <c r="BA49" s="476">
        <f t="shared" si="103"/>
        <v>0.15</v>
      </c>
      <c r="BB49" s="476">
        <f t="shared" si="104"/>
        <v>0</v>
      </c>
      <c r="BC49" s="478">
        <f t="shared" si="104"/>
        <v>0.15</v>
      </c>
    </row>
    <row r="50" spans="1:55" ht="12.95" customHeight="1" x14ac:dyDescent="0.25">
      <c r="A50" s="308">
        <v>8</v>
      </c>
      <c r="B50" s="349">
        <v>5445</v>
      </c>
      <c r="C50" s="350">
        <v>600099351</v>
      </c>
      <c r="D50" s="309">
        <v>70155771</v>
      </c>
      <c r="E50" s="351" t="s">
        <v>384</v>
      </c>
      <c r="F50" s="309">
        <v>3143</v>
      </c>
      <c r="G50" s="351" t="s">
        <v>317</v>
      </c>
      <c r="H50" s="312" t="s">
        <v>278</v>
      </c>
      <c r="I50" s="477">
        <v>277951</v>
      </c>
      <c r="J50" s="472">
        <v>149750</v>
      </c>
      <c r="K50" s="472">
        <v>55000</v>
      </c>
      <c r="L50" s="472">
        <v>69206</v>
      </c>
      <c r="M50" s="472">
        <v>2995</v>
      </c>
      <c r="N50" s="472">
        <v>1000</v>
      </c>
      <c r="O50" s="473">
        <v>0.35</v>
      </c>
      <c r="P50" s="661">
        <v>0.24999999999999997</v>
      </c>
      <c r="Q50" s="483">
        <v>0.1</v>
      </c>
      <c r="R50" s="485">
        <f t="shared" si="88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10"/>
        <v>0</v>
      </c>
      <c r="Y50" s="475">
        <v>0</v>
      </c>
      <c r="Z50" s="475">
        <v>0</v>
      </c>
      <c r="AA50" s="475">
        <v>0</v>
      </c>
      <c r="AB50" s="475">
        <f t="shared" si="89"/>
        <v>0</v>
      </c>
      <c r="AC50" s="475">
        <f t="shared" si="90"/>
        <v>0</v>
      </c>
      <c r="AD50" s="70">
        <f t="shared" si="91"/>
        <v>0</v>
      </c>
      <c r="AE50" s="70">
        <f t="shared" si="92"/>
        <v>0</v>
      </c>
      <c r="AF50" s="475">
        <v>0</v>
      </c>
      <c r="AG50" s="475">
        <v>0</v>
      </c>
      <c r="AH50" s="475">
        <f t="shared" si="93"/>
        <v>0</v>
      </c>
      <c r="AI50" s="475">
        <f t="shared" si="94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si="95"/>
        <v>0</v>
      </c>
      <c r="AS50" s="476">
        <f t="shared" si="96"/>
        <v>0</v>
      </c>
      <c r="AT50" s="478">
        <f t="shared" si="97"/>
        <v>0</v>
      </c>
      <c r="AU50" s="484">
        <f t="shared" si="98"/>
        <v>277951</v>
      </c>
      <c r="AV50" s="475">
        <f t="shared" si="99"/>
        <v>149750</v>
      </c>
      <c r="AW50" s="475">
        <f t="shared" si="100"/>
        <v>55000</v>
      </c>
      <c r="AX50" s="475">
        <f t="shared" si="101"/>
        <v>69206</v>
      </c>
      <c r="AY50" s="475">
        <f t="shared" si="101"/>
        <v>2995</v>
      </c>
      <c r="AZ50" s="475">
        <f t="shared" si="102"/>
        <v>1000</v>
      </c>
      <c r="BA50" s="476">
        <f t="shared" si="103"/>
        <v>0.35</v>
      </c>
      <c r="BB50" s="476">
        <f t="shared" si="104"/>
        <v>0.24999999999999997</v>
      </c>
      <c r="BC50" s="478">
        <f t="shared" si="104"/>
        <v>0.1</v>
      </c>
    </row>
    <row r="51" spans="1:55" ht="12.95" customHeight="1" x14ac:dyDescent="0.25">
      <c r="A51" s="352">
        <v>8</v>
      </c>
      <c r="B51" s="353">
        <v>5445</v>
      </c>
      <c r="C51" s="354">
        <v>600099351</v>
      </c>
      <c r="D51" s="353">
        <v>70155771</v>
      </c>
      <c r="E51" s="355" t="s">
        <v>385</v>
      </c>
      <c r="F51" s="319"/>
      <c r="G51" s="357"/>
      <c r="H51" s="320"/>
      <c r="I51" s="582">
        <v>30068842</v>
      </c>
      <c r="J51" s="578">
        <v>21450460</v>
      </c>
      <c r="K51" s="578">
        <v>230000</v>
      </c>
      <c r="L51" s="578">
        <v>7327996</v>
      </c>
      <c r="M51" s="578">
        <v>429010</v>
      </c>
      <c r="N51" s="578">
        <v>631376</v>
      </c>
      <c r="O51" s="579">
        <v>40.722799999999999</v>
      </c>
      <c r="P51" s="579">
        <v>28.7102</v>
      </c>
      <c r="Q51" s="584">
        <v>12.012599999999999</v>
      </c>
      <c r="R51" s="582">
        <f t="shared" ref="R51:BC51" si="105">SUM(R45:R50)</f>
        <v>0</v>
      </c>
      <c r="S51" s="578">
        <f t="shared" si="105"/>
        <v>17352</v>
      </c>
      <c r="T51" s="578">
        <f t="shared" si="105"/>
        <v>-2991</v>
      </c>
      <c r="U51" s="578">
        <f t="shared" si="105"/>
        <v>0</v>
      </c>
      <c r="V51" s="578">
        <f t="shared" si="105"/>
        <v>0</v>
      </c>
      <c r="W51" s="578">
        <f t="shared" si="105"/>
        <v>0</v>
      </c>
      <c r="X51" s="578">
        <f t="shared" si="105"/>
        <v>14361</v>
      </c>
      <c r="Y51" s="578">
        <f t="shared" si="105"/>
        <v>0</v>
      </c>
      <c r="Z51" s="578">
        <f t="shared" si="105"/>
        <v>0</v>
      </c>
      <c r="AA51" s="578">
        <f t="shared" si="105"/>
        <v>0</v>
      </c>
      <c r="AB51" s="578">
        <f t="shared" si="105"/>
        <v>0</v>
      </c>
      <c r="AC51" s="578">
        <f t="shared" si="105"/>
        <v>14361</v>
      </c>
      <c r="AD51" s="578">
        <f t="shared" si="105"/>
        <v>4854</v>
      </c>
      <c r="AE51" s="578">
        <f t="shared" si="105"/>
        <v>287</v>
      </c>
      <c r="AF51" s="578">
        <f t="shared" si="105"/>
        <v>700</v>
      </c>
      <c r="AG51" s="578">
        <f t="shared" si="105"/>
        <v>0</v>
      </c>
      <c r="AH51" s="578">
        <f t="shared" si="105"/>
        <v>700</v>
      </c>
      <c r="AI51" s="578">
        <f t="shared" si="105"/>
        <v>20202</v>
      </c>
      <c r="AJ51" s="579">
        <f t="shared" si="105"/>
        <v>0</v>
      </c>
      <c r="AK51" s="579">
        <f t="shared" si="105"/>
        <v>0</v>
      </c>
      <c r="AL51" s="579">
        <f t="shared" si="105"/>
        <v>0.2</v>
      </c>
      <c r="AM51" s="579">
        <f t="shared" si="105"/>
        <v>0</v>
      </c>
      <c r="AN51" s="579">
        <f t="shared" si="105"/>
        <v>-0.01</v>
      </c>
      <c r="AO51" s="579">
        <f t="shared" si="105"/>
        <v>0</v>
      </c>
      <c r="AP51" s="579">
        <f t="shared" si="105"/>
        <v>0</v>
      </c>
      <c r="AQ51" s="579">
        <f t="shared" si="105"/>
        <v>0</v>
      </c>
      <c r="AR51" s="579">
        <f t="shared" si="105"/>
        <v>0.2</v>
      </c>
      <c r="AS51" s="579">
        <f t="shared" si="105"/>
        <v>-0.01</v>
      </c>
      <c r="AT51" s="356">
        <f t="shared" si="105"/>
        <v>0.19</v>
      </c>
      <c r="AU51" s="586">
        <f t="shared" si="105"/>
        <v>30089044</v>
      </c>
      <c r="AV51" s="578">
        <f t="shared" si="105"/>
        <v>21464821</v>
      </c>
      <c r="AW51" s="578">
        <f t="shared" si="105"/>
        <v>230000</v>
      </c>
      <c r="AX51" s="578">
        <f t="shared" si="105"/>
        <v>7332850</v>
      </c>
      <c r="AY51" s="578">
        <f t="shared" si="105"/>
        <v>429297</v>
      </c>
      <c r="AZ51" s="578">
        <f t="shared" si="105"/>
        <v>632076</v>
      </c>
      <c r="BA51" s="579">
        <f t="shared" si="105"/>
        <v>40.912800000000004</v>
      </c>
      <c r="BB51" s="579">
        <f t="shared" si="105"/>
        <v>28.9102</v>
      </c>
      <c r="BC51" s="356">
        <f t="shared" si="105"/>
        <v>12.002599999999999</v>
      </c>
    </row>
    <row r="52" spans="1:55" ht="12.95" customHeight="1" x14ac:dyDescent="0.25">
      <c r="A52" s="308">
        <v>9</v>
      </c>
      <c r="B52" s="349">
        <v>5446</v>
      </c>
      <c r="C52" s="362">
        <v>600099393</v>
      </c>
      <c r="D52" s="309">
        <v>856096</v>
      </c>
      <c r="E52" s="351" t="s">
        <v>386</v>
      </c>
      <c r="F52" s="309">
        <v>3231</v>
      </c>
      <c r="G52" s="351" t="s">
        <v>316</v>
      </c>
      <c r="H52" s="312" t="s">
        <v>277</v>
      </c>
      <c r="I52" s="477">
        <v>21262154</v>
      </c>
      <c r="J52" s="472">
        <v>15526848</v>
      </c>
      <c r="K52" s="472">
        <v>78120</v>
      </c>
      <c r="L52" s="472">
        <v>5274479</v>
      </c>
      <c r="M52" s="472">
        <v>310537</v>
      </c>
      <c r="N52" s="472">
        <v>72170</v>
      </c>
      <c r="O52" s="473">
        <v>28.8855</v>
      </c>
      <c r="P52" s="474">
        <v>25.611799999999999</v>
      </c>
      <c r="Q52" s="483">
        <v>3.2737000000000003</v>
      </c>
      <c r="R52" s="485">
        <f t="shared" ref="R52" si="106">Y52*-1</f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10"/>
        <v>0</v>
      </c>
      <c r="Y52" s="475">
        <v>0</v>
      </c>
      <c r="Z52" s="475">
        <v>0</v>
      </c>
      <c r="AA52" s="475">
        <v>0</v>
      </c>
      <c r="AB52" s="475">
        <f t="shared" ref="AB52" si="107">SUM(Y52:AA52)</f>
        <v>0</v>
      </c>
      <c r="AC52" s="475">
        <f t="shared" ref="AC52" si="108">X52+AB52</f>
        <v>0</v>
      </c>
      <c r="AD52" s="70">
        <f t="shared" ref="AD52" si="109">ROUND((X52+Y52+Z52)*33.8%,0)</f>
        <v>0</v>
      </c>
      <c r="AE52" s="70">
        <f t="shared" ref="AE52" si="110">ROUND(X52*2%,0)</f>
        <v>0</v>
      </c>
      <c r="AF52" s="475">
        <v>0</v>
      </c>
      <c r="AG52" s="475">
        <v>0</v>
      </c>
      <c r="AH52" s="475">
        <f t="shared" ref="AH52" si="111">SUM(AF52:AG52)</f>
        <v>0</v>
      </c>
      <c r="AI52" s="475">
        <f t="shared" ref="AI52" si="112">AC52+AD52+AE52+AH52</f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>AJ52+AL52+AM52+AO52+AP52</f>
        <v>0</v>
      </c>
      <c r="AS52" s="476">
        <f>AK52+AN52+AQ52</f>
        <v>0</v>
      </c>
      <c r="AT52" s="478">
        <f t="shared" ref="AT52" si="113">SUM(AR52:AS52)</f>
        <v>0</v>
      </c>
      <c r="AU52" s="484">
        <f>I52+AI52</f>
        <v>21262154</v>
      </c>
      <c r="AV52" s="475">
        <f>J52+X52</f>
        <v>15526848</v>
      </c>
      <c r="AW52" s="475">
        <f>K52+AB52</f>
        <v>78120</v>
      </c>
      <c r="AX52" s="475">
        <f>L52+AD52</f>
        <v>5274479</v>
      </c>
      <c r="AY52" s="475">
        <f>M52+AE52</f>
        <v>310537</v>
      </c>
      <c r="AZ52" s="475">
        <f>N52+AH52</f>
        <v>72170</v>
      </c>
      <c r="BA52" s="476">
        <f>O52+AT52</f>
        <v>28.8855</v>
      </c>
      <c r="BB52" s="476">
        <f>P52+AR52</f>
        <v>25.611799999999999</v>
      </c>
      <c r="BC52" s="478">
        <f>Q52+AS52</f>
        <v>3.2737000000000003</v>
      </c>
    </row>
    <row r="53" spans="1:55" ht="12.95" customHeight="1" x14ac:dyDescent="0.25">
      <c r="A53" s="352">
        <v>9</v>
      </c>
      <c r="B53" s="353">
        <v>5446</v>
      </c>
      <c r="C53" s="354">
        <v>600099393</v>
      </c>
      <c r="D53" s="353">
        <v>856096</v>
      </c>
      <c r="E53" s="355" t="s">
        <v>387</v>
      </c>
      <c r="F53" s="319"/>
      <c r="G53" s="357"/>
      <c r="H53" s="320"/>
      <c r="I53" s="582">
        <v>21262154</v>
      </c>
      <c r="J53" s="578">
        <v>15526848</v>
      </c>
      <c r="K53" s="578">
        <v>78120</v>
      </c>
      <c r="L53" s="578">
        <v>5274479</v>
      </c>
      <c r="M53" s="578">
        <v>310537</v>
      </c>
      <c r="N53" s="578">
        <v>72170</v>
      </c>
      <c r="O53" s="579">
        <v>28.8855</v>
      </c>
      <c r="P53" s="579">
        <v>25.611799999999999</v>
      </c>
      <c r="Q53" s="584">
        <v>3.2737000000000003</v>
      </c>
      <c r="R53" s="582">
        <f t="shared" ref="R53:BC53" si="114">SUM(R52)</f>
        <v>0</v>
      </c>
      <c r="S53" s="578">
        <f t="shared" si="114"/>
        <v>0</v>
      </c>
      <c r="T53" s="578">
        <f t="shared" si="114"/>
        <v>0</v>
      </c>
      <c r="U53" s="578">
        <f t="shared" si="114"/>
        <v>0</v>
      </c>
      <c r="V53" s="578">
        <f t="shared" si="114"/>
        <v>0</v>
      </c>
      <c r="W53" s="578">
        <f t="shared" si="114"/>
        <v>0</v>
      </c>
      <c r="X53" s="578">
        <f t="shared" si="114"/>
        <v>0</v>
      </c>
      <c r="Y53" s="578">
        <f t="shared" si="114"/>
        <v>0</v>
      </c>
      <c r="Z53" s="578">
        <f t="shared" si="114"/>
        <v>0</v>
      </c>
      <c r="AA53" s="578">
        <f t="shared" si="114"/>
        <v>0</v>
      </c>
      <c r="AB53" s="578">
        <f t="shared" si="114"/>
        <v>0</v>
      </c>
      <c r="AC53" s="578">
        <f t="shared" si="114"/>
        <v>0</v>
      </c>
      <c r="AD53" s="578">
        <f t="shared" si="114"/>
        <v>0</v>
      </c>
      <c r="AE53" s="578">
        <f t="shared" si="114"/>
        <v>0</v>
      </c>
      <c r="AF53" s="578">
        <f t="shared" si="114"/>
        <v>0</v>
      </c>
      <c r="AG53" s="578">
        <f t="shared" si="114"/>
        <v>0</v>
      </c>
      <c r="AH53" s="578">
        <f t="shared" si="114"/>
        <v>0</v>
      </c>
      <c r="AI53" s="578">
        <f t="shared" si="114"/>
        <v>0</v>
      </c>
      <c r="AJ53" s="579">
        <f t="shared" si="114"/>
        <v>0</v>
      </c>
      <c r="AK53" s="579">
        <f t="shared" si="114"/>
        <v>0</v>
      </c>
      <c r="AL53" s="579">
        <f t="shared" si="114"/>
        <v>0</v>
      </c>
      <c r="AM53" s="579">
        <f t="shared" si="114"/>
        <v>0</v>
      </c>
      <c r="AN53" s="579">
        <f t="shared" si="114"/>
        <v>0</v>
      </c>
      <c r="AO53" s="579">
        <f t="shared" si="114"/>
        <v>0</v>
      </c>
      <c r="AP53" s="579">
        <f t="shared" si="114"/>
        <v>0</v>
      </c>
      <c r="AQ53" s="579">
        <f t="shared" si="114"/>
        <v>0</v>
      </c>
      <c r="AR53" s="579">
        <f t="shared" si="114"/>
        <v>0</v>
      </c>
      <c r="AS53" s="579">
        <f t="shared" si="114"/>
        <v>0</v>
      </c>
      <c r="AT53" s="356">
        <f t="shared" si="114"/>
        <v>0</v>
      </c>
      <c r="AU53" s="586">
        <f t="shared" si="114"/>
        <v>21262154</v>
      </c>
      <c r="AV53" s="578">
        <f t="shared" si="114"/>
        <v>15526848</v>
      </c>
      <c r="AW53" s="578">
        <f t="shared" si="114"/>
        <v>78120</v>
      </c>
      <c r="AX53" s="578">
        <f t="shared" si="114"/>
        <v>5274479</v>
      </c>
      <c r="AY53" s="578">
        <f t="shared" si="114"/>
        <v>310537</v>
      </c>
      <c r="AZ53" s="578">
        <f t="shared" si="114"/>
        <v>72170</v>
      </c>
      <c r="BA53" s="579">
        <f t="shared" si="114"/>
        <v>28.8855</v>
      </c>
      <c r="BB53" s="579">
        <f t="shared" si="114"/>
        <v>25.611799999999999</v>
      </c>
      <c r="BC53" s="356">
        <f t="shared" si="114"/>
        <v>3.2737000000000003</v>
      </c>
    </row>
    <row r="54" spans="1:55" ht="12.95" customHeight="1" x14ac:dyDescent="0.25">
      <c r="A54" s="308">
        <v>10</v>
      </c>
      <c r="B54" s="349">
        <v>5403</v>
      </c>
      <c r="C54" s="350">
        <v>600098966</v>
      </c>
      <c r="D54" s="309">
        <v>75016931</v>
      </c>
      <c r="E54" s="351" t="s">
        <v>388</v>
      </c>
      <c r="F54" s="309">
        <v>3111</v>
      </c>
      <c r="G54" s="351" t="s">
        <v>325</v>
      </c>
      <c r="H54" s="312" t="s">
        <v>277</v>
      </c>
      <c r="I54" s="477">
        <v>1596680</v>
      </c>
      <c r="J54" s="472">
        <v>1163856</v>
      </c>
      <c r="K54" s="472">
        <v>3000</v>
      </c>
      <c r="L54" s="472">
        <v>394397</v>
      </c>
      <c r="M54" s="472">
        <v>23277</v>
      </c>
      <c r="N54" s="472">
        <v>12150</v>
      </c>
      <c r="O54" s="473">
        <v>2.4464000000000006</v>
      </c>
      <c r="P54" s="474">
        <v>1.9355</v>
      </c>
      <c r="Q54" s="483">
        <v>0.51090000000000002</v>
      </c>
      <c r="R54" s="485">
        <f t="shared" ref="R54:R59" si="115">Y54*-1</f>
        <v>0</v>
      </c>
      <c r="S54" s="475">
        <v>0</v>
      </c>
      <c r="T54" s="475">
        <v>348488</v>
      </c>
      <c r="U54" s="475">
        <v>0</v>
      </c>
      <c r="V54" s="475">
        <v>0</v>
      </c>
      <c r="W54" s="475">
        <v>0</v>
      </c>
      <c r="X54" s="475">
        <f t="shared" si="10"/>
        <v>348488</v>
      </c>
      <c r="Y54" s="475">
        <v>0</v>
      </c>
      <c r="Z54" s="475">
        <v>0</v>
      </c>
      <c r="AA54" s="475">
        <v>0</v>
      </c>
      <c r="AB54" s="475">
        <f t="shared" ref="AB54:AB59" si="116">SUM(Y54:AA54)</f>
        <v>0</v>
      </c>
      <c r="AC54" s="475">
        <f t="shared" ref="AC54:AC59" si="117">X54+AB54</f>
        <v>348488</v>
      </c>
      <c r="AD54" s="70">
        <f t="shared" ref="AD54:AD59" si="118">ROUND((X54+Y54+Z54)*33.8%,0)</f>
        <v>117789</v>
      </c>
      <c r="AE54" s="70">
        <f t="shared" ref="AE54:AE59" si="119">ROUND(X54*2%,0)</f>
        <v>6970</v>
      </c>
      <c r="AF54" s="475">
        <v>0</v>
      </c>
      <c r="AG54" s="475">
        <v>0</v>
      </c>
      <c r="AH54" s="475">
        <f t="shared" ref="AH54:AH59" si="120">SUM(AF54:AG54)</f>
        <v>0</v>
      </c>
      <c r="AI54" s="475">
        <f t="shared" ref="AI54:AI59" si="121">AC54+AD54+AE54+AH54</f>
        <v>473247</v>
      </c>
      <c r="AJ54" s="476">
        <v>0</v>
      </c>
      <c r="AK54" s="476">
        <v>0</v>
      </c>
      <c r="AL54" s="476">
        <v>0</v>
      </c>
      <c r="AM54" s="476">
        <v>0.62</v>
      </c>
      <c r="AN54" s="476">
        <v>0</v>
      </c>
      <c r="AO54" s="476">
        <v>0</v>
      </c>
      <c r="AP54" s="476">
        <v>0</v>
      </c>
      <c r="AQ54" s="476">
        <v>0</v>
      </c>
      <c r="AR54" s="476">
        <f t="shared" ref="AR54:AR59" si="122">AJ54+AL54+AM54+AO54+AP54</f>
        <v>0.62</v>
      </c>
      <c r="AS54" s="476">
        <f t="shared" ref="AS54:AS59" si="123">AK54+AN54+AQ54</f>
        <v>0</v>
      </c>
      <c r="AT54" s="478">
        <f t="shared" ref="AT54:AT59" si="124">SUM(AR54:AS54)</f>
        <v>0.62</v>
      </c>
      <c r="AU54" s="484">
        <f t="shared" ref="AU54:AU59" si="125">I54+AI54</f>
        <v>2069927</v>
      </c>
      <c r="AV54" s="475">
        <f t="shared" ref="AV54:AV59" si="126">J54+X54</f>
        <v>1512344</v>
      </c>
      <c r="AW54" s="475">
        <f t="shared" ref="AW54:AW59" si="127">K54+AB54</f>
        <v>3000</v>
      </c>
      <c r="AX54" s="475">
        <f t="shared" ref="AX54:AY59" si="128">L54+AD54</f>
        <v>512186</v>
      </c>
      <c r="AY54" s="475">
        <f t="shared" si="128"/>
        <v>30247</v>
      </c>
      <c r="AZ54" s="475">
        <f t="shared" ref="AZ54:AZ59" si="129">N54+AH54</f>
        <v>12150</v>
      </c>
      <c r="BA54" s="476">
        <f t="shared" ref="BA54:BA59" si="130">O54+AT54</f>
        <v>3.0664000000000007</v>
      </c>
      <c r="BB54" s="476">
        <f t="shared" ref="BB54:BC59" si="131">P54+AR54</f>
        <v>2.5554999999999999</v>
      </c>
      <c r="BC54" s="478">
        <f t="shared" si="131"/>
        <v>0.51090000000000002</v>
      </c>
    </row>
    <row r="55" spans="1:55" ht="12.95" customHeight="1" x14ac:dyDescent="0.25">
      <c r="A55" s="308">
        <v>10</v>
      </c>
      <c r="B55" s="349">
        <v>5403</v>
      </c>
      <c r="C55" s="350">
        <v>600098966</v>
      </c>
      <c r="D55" s="309">
        <v>75016931</v>
      </c>
      <c r="E55" s="351" t="s">
        <v>388</v>
      </c>
      <c r="F55" s="309">
        <v>3117</v>
      </c>
      <c r="G55" s="351" t="s">
        <v>314</v>
      </c>
      <c r="H55" s="312" t="s">
        <v>277</v>
      </c>
      <c r="I55" s="477">
        <v>3030751</v>
      </c>
      <c r="J55" s="472">
        <v>2124919</v>
      </c>
      <c r="K55" s="472">
        <v>65000</v>
      </c>
      <c r="L55" s="472">
        <v>740193</v>
      </c>
      <c r="M55" s="472">
        <v>42499</v>
      </c>
      <c r="N55" s="472">
        <v>58140</v>
      </c>
      <c r="O55" s="473">
        <v>4.2273000000000005</v>
      </c>
      <c r="P55" s="474">
        <v>2.8929</v>
      </c>
      <c r="Q55" s="483">
        <v>1.3344</v>
      </c>
      <c r="R55" s="485">
        <f t="shared" si="115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0"/>
        <v>0</v>
      </c>
      <c r="Y55" s="475">
        <v>0</v>
      </c>
      <c r="Z55" s="475">
        <v>0</v>
      </c>
      <c r="AA55" s="475">
        <v>0</v>
      </c>
      <c r="AB55" s="475">
        <f t="shared" si="116"/>
        <v>0</v>
      </c>
      <c r="AC55" s="475">
        <f t="shared" si="117"/>
        <v>0</v>
      </c>
      <c r="AD55" s="70">
        <f t="shared" si="118"/>
        <v>0</v>
      </c>
      <c r="AE55" s="70">
        <f t="shared" si="119"/>
        <v>0</v>
      </c>
      <c r="AF55" s="475">
        <v>0</v>
      </c>
      <c r="AG55" s="475">
        <v>0</v>
      </c>
      <c r="AH55" s="475">
        <f t="shared" si="120"/>
        <v>0</v>
      </c>
      <c r="AI55" s="475">
        <f t="shared" si="121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 t="shared" si="122"/>
        <v>0</v>
      </c>
      <c r="AS55" s="476">
        <f t="shared" si="123"/>
        <v>0</v>
      </c>
      <c r="AT55" s="478">
        <f t="shared" si="124"/>
        <v>0</v>
      </c>
      <c r="AU55" s="484">
        <f t="shared" si="125"/>
        <v>3030751</v>
      </c>
      <c r="AV55" s="475">
        <f t="shared" si="126"/>
        <v>2124919</v>
      </c>
      <c r="AW55" s="475">
        <f t="shared" si="127"/>
        <v>65000</v>
      </c>
      <c r="AX55" s="475">
        <f t="shared" si="128"/>
        <v>740193</v>
      </c>
      <c r="AY55" s="475">
        <f t="shared" si="128"/>
        <v>42499</v>
      </c>
      <c r="AZ55" s="475">
        <f t="shared" si="129"/>
        <v>58140</v>
      </c>
      <c r="BA55" s="476">
        <f t="shared" si="130"/>
        <v>4.2273000000000005</v>
      </c>
      <c r="BB55" s="476">
        <f t="shared" si="131"/>
        <v>2.8929</v>
      </c>
      <c r="BC55" s="478">
        <f t="shared" si="131"/>
        <v>1.3344</v>
      </c>
    </row>
    <row r="56" spans="1:55" ht="12.95" customHeight="1" x14ac:dyDescent="0.25">
      <c r="A56" s="308">
        <v>10</v>
      </c>
      <c r="B56" s="349">
        <v>5403</v>
      </c>
      <c r="C56" s="350">
        <v>600098966</v>
      </c>
      <c r="D56" s="309">
        <v>75016931</v>
      </c>
      <c r="E56" s="351" t="s">
        <v>388</v>
      </c>
      <c r="F56" s="309">
        <v>3117</v>
      </c>
      <c r="G56" s="351" t="s">
        <v>319</v>
      </c>
      <c r="H56" s="312" t="s">
        <v>278</v>
      </c>
      <c r="I56" s="477">
        <v>63337</v>
      </c>
      <c r="J56" s="472">
        <v>46272</v>
      </c>
      <c r="K56" s="472">
        <v>0</v>
      </c>
      <c r="L56" s="472">
        <v>15640</v>
      </c>
      <c r="M56" s="472">
        <v>925</v>
      </c>
      <c r="N56" s="472">
        <v>500</v>
      </c>
      <c r="O56" s="473">
        <v>0.1</v>
      </c>
      <c r="P56" s="474">
        <v>0.1</v>
      </c>
      <c r="Q56" s="483">
        <v>0</v>
      </c>
      <c r="R56" s="485">
        <f t="shared" si="115"/>
        <v>0</v>
      </c>
      <c r="S56" s="475">
        <v>21653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0"/>
        <v>21653</v>
      </c>
      <c r="Y56" s="475">
        <v>0</v>
      </c>
      <c r="Z56" s="475">
        <v>0</v>
      </c>
      <c r="AA56" s="475">
        <v>0</v>
      </c>
      <c r="AB56" s="475">
        <f t="shared" si="116"/>
        <v>0</v>
      </c>
      <c r="AC56" s="475">
        <f t="shared" si="117"/>
        <v>21653</v>
      </c>
      <c r="AD56" s="70">
        <f t="shared" si="118"/>
        <v>7319</v>
      </c>
      <c r="AE56" s="70">
        <f t="shared" si="119"/>
        <v>433</v>
      </c>
      <c r="AF56" s="475">
        <v>0</v>
      </c>
      <c r="AG56" s="475">
        <v>0</v>
      </c>
      <c r="AH56" s="475">
        <f t="shared" si="120"/>
        <v>0</v>
      </c>
      <c r="AI56" s="475">
        <f t="shared" si="121"/>
        <v>29405</v>
      </c>
      <c r="AJ56" s="476">
        <v>0</v>
      </c>
      <c r="AK56" s="476">
        <v>0</v>
      </c>
      <c r="AL56" s="476">
        <v>0.06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 t="shared" si="122"/>
        <v>0.06</v>
      </c>
      <c r="AS56" s="476">
        <f t="shared" si="123"/>
        <v>0</v>
      </c>
      <c r="AT56" s="478">
        <f t="shared" si="124"/>
        <v>0.06</v>
      </c>
      <c r="AU56" s="484">
        <f t="shared" si="125"/>
        <v>92742</v>
      </c>
      <c r="AV56" s="475">
        <f t="shared" si="126"/>
        <v>67925</v>
      </c>
      <c r="AW56" s="475">
        <f t="shared" si="127"/>
        <v>0</v>
      </c>
      <c r="AX56" s="475">
        <f t="shared" si="128"/>
        <v>22959</v>
      </c>
      <c r="AY56" s="475">
        <f t="shared" si="128"/>
        <v>1358</v>
      </c>
      <c r="AZ56" s="475">
        <f t="shared" si="129"/>
        <v>500</v>
      </c>
      <c r="BA56" s="476">
        <f t="shared" si="130"/>
        <v>0.16</v>
      </c>
      <c r="BB56" s="476">
        <f t="shared" si="131"/>
        <v>0.16</v>
      </c>
      <c r="BC56" s="478">
        <f t="shared" si="131"/>
        <v>0</v>
      </c>
    </row>
    <row r="57" spans="1:55" ht="12.95" customHeight="1" x14ac:dyDescent="0.25">
      <c r="A57" s="308">
        <v>10</v>
      </c>
      <c r="B57" s="349">
        <v>5403</v>
      </c>
      <c r="C57" s="350">
        <v>600098966</v>
      </c>
      <c r="D57" s="309">
        <v>75016931</v>
      </c>
      <c r="E57" s="351" t="s">
        <v>388</v>
      </c>
      <c r="F57" s="309">
        <v>3141</v>
      </c>
      <c r="G57" s="351" t="s">
        <v>315</v>
      </c>
      <c r="H57" s="312" t="s">
        <v>278</v>
      </c>
      <c r="I57" s="477">
        <v>842337</v>
      </c>
      <c r="J57" s="472">
        <v>595996</v>
      </c>
      <c r="K57" s="472">
        <v>22000</v>
      </c>
      <c r="L57" s="472">
        <v>208883</v>
      </c>
      <c r="M57" s="472">
        <v>11920</v>
      </c>
      <c r="N57" s="472">
        <v>3538</v>
      </c>
      <c r="O57" s="473">
        <v>1.95</v>
      </c>
      <c r="P57" s="474">
        <v>0</v>
      </c>
      <c r="Q57" s="483">
        <v>1.95</v>
      </c>
      <c r="R57" s="485">
        <f t="shared" si="115"/>
        <v>0</v>
      </c>
      <c r="S57" s="475">
        <v>0</v>
      </c>
      <c r="T57" s="475">
        <v>16731</v>
      </c>
      <c r="U57" s="475">
        <v>0</v>
      </c>
      <c r="V57" s="475">
        <v>0</v>
      </c>
      <c r="W57" s="475">
        <v>0</v>
      </c>
      <c r="X57" s="475">
        <f t="shared" si="10"/>
        <v>16731</v>
      </c>
      <c r="Y57" s="475">
        <v>0</v>
      </c>
      <c r="Z57" s="475">
        <v>0</v>
      </c>
      <c r="AA57" s="475">
        <v>0</v>
      </c>
      <c r="AB57" s="475">
        <f t="shared" si="116"/>
        <v>0</v>
      </c>
      <c r="AC57" s="475">
        <f t="shared" si="117"/>
        <v>16731</v>
      </c>
      <c r="AD57" s="70">
        <f t="shared" si="118"/>
        <v>5655</v>
      </c>
      <c r="AE57" s="70">
        <f t="shared" si="119"/>
        <v>335</v>
      </c>
      <c r="AF57" s="475">
        <v>0</v>
      </c>
      <c r="AG57" s="475">
        <v>0</v>
      </c>
      <c r="AH57" s="475">
        <f t="shared" si="120"/>
        <v>0</v>
      </c>
      <c r="AI57" s="475">
        <f t="shared" si="121"/>
        <v>22721</v>
      </c>
      <c r="AJ57" s="476">
        <v>0</v>
      </c>
      <c r="AK57" s="476">
        <v>0</v>
      </c>
      <c r="AL57" s="476">
        <v>0</v>
      </c>
      <c r="AM57" s="476">
        <v>0</v>
      </c>
      <c r="AN57" s="476">
        <v>0.05</v>
      </c>
      <c r="AO57" s="476">
        <v>0</v>
      </c>
      <c r="AP57" s="476">
        <v>0</v>
      </c>
      <c r="AQ57" s="476">
        <v>0</v>
      </c>
      <c r="AR57" s="476">
        <f t="shared" si="122"/>
        <v>0</v>
      </c>
      <c r="AS57" s="476">
        <f t="shared" si="123"/>
        <v>0.05</v>
      </c>
      <c r="AT57" s="478">
        <f t="shared" si="124"/>
        <v>0.05</v>
      </c>
      <c r="AU57" s="484">
        <f t="shared" si="125"/>
        <v>865058</v>
      </c>
      <c r="AV57" s="475">
        <f t="shared" si="126"/>
        <v>612727</v>
      </c>
      <c r="AW57" s="475">
        <f t="shared" si="127"/>
        <v>22000</v>
      </c>
      <c r="AX57" s="475">
        <f t="shared" si="128"/>
        <v>214538</v>
      </c>
      <c r="AY57" s="475">
        <f t="shared" si="128"/>
        <v>12255</v>
      </c>
      <c r="AZ57" s="475">
        <f t="shared" si="129"/>
        <v>3538</v>
      </c>
      <c r="BA57" s="476">
        <f t="shared" si="130"/>
        <v>2</v>
      </c>
      <c r="BB57" s="476">
        <f t="shared" si="131"/>
        <v>0</v>
      </c>
      <c r="BC57" s="478">
        <f t="shared" si="131"/>
        <v>2</v>
      </c>
    </row>
    <row r="58" spans="1:55" ht="12.95" customHeight="1" x14ac:dyDescent="0.25">
      <c r="A58" s="308">
        <v>10</v>
      </c>
      <c r="B58" s="349">
        <v>5403</v>
      </c>
      <c r="C58" s="350">
        <v>600098966</v>
      </c>
      <c r="D58" s="309">
        <v>75016931</v>
      </c>
      <c r="E58" s="351" t="s">
        <v>388</v>
      </c>
      <c r="F58" s="309">
        <v>3143</v>
      </c>
      <c r="G58" s="351" t="s">
        <v>626</v>
      </c>
      <c r="H58" s="312" t="s">
        <v>277</v>
      </c>
      <c r="I58" s="477">
        <v>571963</v>
      </c>
      <c r="J58" s="472">
        <v>416254</v>
      </c>
      <c r="K58" s="472">
        <v>5000</v>
      </c>
      <c r="L58" s="472">
        <v>142384</v>
      </c>
      <c r="M58" s="472">
        <v>8325</v>
      </c>
      <c r="N58" s="472">
        <v>0</v>
      </c>
      <c r="O58" s="473">
        <v>0.89280000000000004</v>
      </c>
      <c r="P58" s="474">
        <v>0.89280000000000004</v>
      </c>
      <c r="Q58" s="483">
        <v>0</v>
      </c>
      <c r="R58" s="485">
        <f t="shared" si="115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0"/>
        <v>0</v>
      </c>
      <c r="Y58" s="475">
        <v>0</v>
      </c>
      <c r="Z58" s="475">
        <v>0</v>
      </c>
      <c r="AA58" s="475">
        <v>0</v>
      </c>
      <c r="AB58" s="475">
        <f t="shared" si="116"/>
        <v>0</v>
      </c>
      <c r="AC58" s="475">
        <f t="shared" si="117"/>
        <v>0</v>
      </c>
      <c r="AD58" s="70">
        <f t="shared" si="118"/>
        <v>0</v>
      </c>
      <c r="AE58" s="70">
        <f t="shared" si="119"/>
        <v>0</v>
      </c>
      <c r="AF58" s="475">
        <v>0</v>
      </c>
      <c r="AG58" s="475">
        <v>0</v>
      </c>
      <c r="AH58" s="475">
        <f t="shared" si="120"/>
        <v>0</v>
      </c>
      <c r="AI58" s="475">
        <f t="shared" si="121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 t="shared" si="122"/>
        <v>0</v>
      </c>
      <c r="AS58" s="476">
        <f t="shared" si="123"/>
        <v>0</v>
      </c>
      <c r="AT58" s="478">
        <f t="shared" si="124"/>
        <v>0</v>
      </c>
      <c r="AU58" s="484">
        <f t="shared" si="125"/>
        <v>571963</v>
      </c>
      <c r="AV58" s="475">
        <f t="shared" si="126"/>
        <v>416254</v>
      </c>
      <c r="AW58" s="475">
        <f t="shared" si="127"/>
        <v>5000</v>
      </c>
      <c r="AX58" s="475">
        <f t="shared" si="128"/>
        <v>142384</v>
      </c>
      <c r="AY58" s="475">
        <f t="shared" si="128"/>
        <v>8325</v>
      </c>
      <c r="AZ58" s="475">
        <f t="shared" si="129"/>
        <v>0</v>
      </c>
      <c r="BA58" s="476">
        <f t="shared" si="130"/>
        <v>0.89280000000000004</v>
      </c>
      <c r="BB58" s="476">
        <f t="shared" si="131"/>
        <v>0.89280000000000004</v>
      </c>
      <c r="BC58" s="478">
        <f t="shared" si="131"/>
        <v>0</v>
      </c>
    </row>
    <row r="59" spans="1:55" ht="12.95" customHeight="1" x14ac:dyDescent="0.25">
      <c r="A59" s="308">
        <v>10</v>
      </c>
      <c r="B59" s="349">
        <v>5403</v>
      </c>
      <c r="C59" s="350">
        <v>600098966</v>
      </c>
      <c r="D59" s="309">
        <v>75016931</v>
      </c>
      <c r="E59" s="351" t="s">
        <v>388</v>
      </c>
      <c r="F59" s="309">
        <v>3143</v>
      </c>
      <c r="G59" s="351" t="s">
        <v>627</v>
      </c>
      <c r="H59" s="312" t="s">
        <v>278</v>
      </c>
      <c r="I59" s="477">
        <v>19656</v>
      </c>
      <c r="J59" s="472">
        <v>13900</v>
      </c>
      <c r="K59" s="472">
        <v>0</v>
      </c>
      <c r="L59" s="472">
        <v>4698</v>
      </c>
      <c r="M59" s="472">
        <v>278</v>
      </c>
      <c r="N59" s="472">
        <v>780</v>
      </c>
      <c r="O59" s="473">
        <v>0.05</v>
      </c>
      <c r="P59" s="474">
        <v>0</v>
      </c>
      <c r="Q59" s="483">
        <v>0.05</v>
      </c>
      <c r="R59" s="485">
        <f t="shared" si="115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0"/>
        <v>0</v>
      </c>
      <c r="Y59" s="475">
        <v>0</v>
      </c>
      <c r="Z59" s="475">
        <v>0</v>
      </c>
      <c r="AA59" s="475">
        <v>0</v>
      </c>
      <c r="AB59" s="475">
        <f t="shared" si="116"/>
        <v>0</v>
      </c>
      <c r="AC59" s="475">
        <f t="shared" si="117"/>
        <v>0</v>
      </c>
      <c r="AD59" s="70">
        <f t="shared" si="118"/>
        <v>0</v>
      </c>
      <c r="AE59" s="70">
        <f t="shared" si="119"/>
        <v>0</v>
      </c>
      <c r="AF59" s="475">
        <v>0</v>
      </c>
      <c r="AG59" s="475">
        <v>0</v>
      </c>
      <c r="AH59" s="475">
        <f t="shared" si="120"/>
        <v>0</v>
      </c>
      <c r="AI59" s="475">
        <f t="shared" si="121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22"/>
        <v>0</v>
      </c>
      <c r="AS59" s="476">
        <f t="shared" si="123"/>
        <v>0</v>
      </c>
      <c r="AT59" s="478">
        <f t="shared" si="124"/>
        <v>0</v>
      </c>
      <c r="AU59" s="484">
        <f t="shared" si="125"/>
        <v>19656</v>
      </c>
      <c r="AV59" s="475">
        <f t="shared" si="126"/>
        <v>13900</v>
      </c>
      <c r="AW59" s="475">
        <f t="shared" si="127"/>
        <v>0</v>
      </c>
      <c r="AX59" s="475">
        <f t="shared" si="128"/>
        <v>4698</v>
      </c>
      <c r="AY59" s="475">
        <f t="shared" si="128"/>
        <v>278</v>
      </c>
      <c r="AZ59" s="475">
        <f t="shared" si="129"/>
        <v>780</v>
      </c>
      <c r="BA59" s="476">
        <f t="shared" si="130"/>
        <v>0.05</v>
      </c>
      <c r="BB59" s="476">
        <f t="shared" si="131"/>
        <v>0</v>
      </c>
      <c r="BC59" s="478">
        <f t="shared" si="131"/>
        <v>0.05</v>
      </c>
    </row>
    <row r="60" spans="1:55" ht="12.95" customHeight="1" x14ac:dyDescent="0.25">
      <c r="A60" s="352">
        <v>10</v>
      </c>
      <c r="B60" s="353">
        <v>5403</v>
      </c>
      <c r="C60" s="354">
        <v>600098966</v>
      </c>
      <c r="D60" s="353">
        <v>75016931</v>
      </c>
      <c r="E60" s="355" t="s">
        <v>389</v>
      </c>
      <c r="F60" s="319"/>
      <c r="G60" s="357"/>
      <c r="H60" s="320"/>
      <c r="I60" s="582">
        <v>6124724</v>
      </c>
      <c r="J60" s="578">
        <v>4361197</v>
      </c>
      <c r="K60" s="578">
        <v>95000</v>
      </c>
      <c r="L60" s="578">
        <v>1506195</v>
      </c>
      <c r="M60" s="578">
        <v>87224</v>
      </c>
      <c r="N60" s="578">
        <v>75108</v>
      </c>
      <c r="O60" s="579">
        <v>9.666500000000001</v>
      </c>
      <c r="P60" s="579">
        <v>5.8212000000000002</v>
      </c>
      <c r="Q60" s="584">
        <v>3.8452999999999999</v>
      </c>
      <c r="R60" s="582">
        <f t="shared" ref="R60:BC60" si="132">SUM(R54:R59)</f>
        <v>0</v>
      </c>
      <c r="S60" s="578">
        <f t="shared" si="132"/>
        <v>21653</v>
      </c>
      <c r="T60" s="578">
        <f t="shared" si="132"/>
        <v>365219</v>
      </c>
      <c r="U60" s="578">
        <f t="shared" si="132"/>
        <v>0</v>
      </c>
      <c r="V60" s="578">
        <f t="shared" si="132"/>
        <v>0</v>
      </c>
      <c r="W60" s="578">
        <f t="shared" si="132"/>
        <v>0</v>
      </c>
      <c r="X60" s="578">
        <f t="shared" si="132"/>
        <v>386872</v>
      </c>
      <c r="Y60" s="578">
        <f t="shared" si="132"/>
        <v>0</v>
      </c>
      <c r="Z60" s="578">
        <f t="shared" si="132"/>
        <v>0</v>
      </c>
      <c r="AA60" s="578">
        <f t="shared" si="132"/>
        <v>0</v>
      </c>
      <c r="AB60" s="578">
        <f t="shared" si="132"/>
        <v>0</v>
      </c>
      <c r="AC60" s="578">
        <f t="shared" si="132"/>
        <v>386872</v>
      </c>
      <c r="AD60" s="578">
        <f t="shared" si="132"/>
        <v>130763</v>
      </c>
      <c r="AE60" s="578">
        <f t="shared" si="132"/>
        <v>7738</v>
      </c>
      <c r="AF60" s="578">
        <f t="shared" si="132"/>
        <v>0</v>
      </c>
      <c r="AG60" s="578">
        <f t="shared" si="132"/>
        <v>0</v>
      </c>
      <c r="AH60" s="578">
        <f t="shared" si="132"/>
        <v>0</v>
      </c>
      <c r="AI60" s="578">
        <f t="shared" si="132"/>
        <v>525373</v>
      </c>
      <c r="AJ60" s="579">
        <f t="shared" si="132"/>
        <v>0</v>
      </c>
      <c r="AK60" s="579">
        <f t="shared" si="132"/>
        <v>0</v>
      </c>
      <c r="AL60" s="579">
        <f t="shared" si="132"/>
        <v>0.06</v>
      </c>
      <c r="AM60" s="579">
        <f t="shared" si="132"/>
        <v>0.62</v>
      </c>
      <c r="AN60" s="579">
        <f t="shared" si="132"/>
        <v>0.05</v>
      </c>
      <c r="AO60" s="579">
        <f t="shared" si="132"/>
        <v>0</v>
      </c>
      <c r="AP60" s="579">
        <f t="shared" si="132"/>
        <v>0</v>
      </c>
      <c r="AQ60" s="579">
        <f t="shared" si="132"/>
        <v>0</v>
      </c>
      <c r="AR60" s="579">
        <f t="shared" si="132"/>
        <v>0.67999999999999994</v>
      </c>
      <c r="AS60" s="579">
        <f t="shared" si="132"/>
        <v>0.05</v>
      </c>
      <c r="AT60" s="356">
        <f t="shared" si="132"/>
        <v>0.73</v>
      </c>
      <c r="AU60" s="586">
        <f t="shared" si="132"/>
        <v>6650097</v>
      </c>
      <c r="AV60" s="578">
        <f t="shared" si="132"/>
        <v>4748069</v>
      </c>
      <c r="AW60" s="578">
        <f t="shared" si="132"/>
        <v>95000</v>
      </c>
      <c r="AX60" s="578">
        <f t="shared" si="132"/>
        <v>1636958</v>
      </c>
      <c r="AY60" s="578">
        <f t="shared" si="132"/>
        <v>94962</v>
      </c>
      <c r="AZ60" s="578">
        <f t="shared" si="132"/>
        <v>75108</v>
      </c>
      <c r="BA60" s="579">
        <f t="shared" si="132"/>
        <v>10.396500000000001</v>
      </c>
      <c r="BB60" s="579">
        <f t="shared" si="132"/>
        <v>6.5011999999999999</v>
      </c>
      <c r="BC60" s="356">
        <f t="shared" si="132"/>
        <v>3.8952999999999998</v>
      </c>
    </row>
    <row r="61" spans="1:55" ht="12.95" customHeight="1" x14ac:dyDescent="0.25">
      <c r="A61" s="308">
        <v>11</v>
      </c>
      <c r="B61" s="349">
        <v>5404</v>
      </c>
      <c r="C61" s="350">
        <v>600098974</v>
      </c>
      <c r="D61" s="309">
        <v>70979812</v>
      </c>
      <c r="E61" s="351" t="s">
        <v>390</v>
      </c>
      <c r="F61" s="309">
        <v>3111</v>
      </c>
      <c r="G61" s="351" t="s">
        <v>325</v>
      </c>
      <c r="H61" s="312" t="s">
        <v>277</v>
      </c>
      <c r="I61" s="477">
        <v>2014237</v>
      </c>
      <c r="J61" s="472">
        <v>1469374</v>
      </c>
      <c r="K61" s="472">
        <v>6000</v>
      </c>
      <c r="L61" s="472">
        <v>498676</v>
      </c>
      <c r="M61" s="472">
        <v>29387</v>
      </c>
      <c r="N61" s="472">
        <v>10800</v>
      </c>
      <c r="O61" s="473">
        <v>2.7874000000000003</v>
      </c>
      <c r="P61" s="474">
        <v>2.3065000000000002</v>
      </c>
      <c r="Q61" s="483">
        <v>0.48089999999999999</v>
      </c>
      <c r="R61" s="485">
        <f t="shared" ref="R61:R66" si="133">Y61*-1</f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0"/>
        <v>0</v>
      </c>
      <c r="Y61" s="475">
        <v>0</v>
      </c>
      <c r="Z61" s="475">
        <v>0</v>
      </c>
      <c r="AA61" s="475">
        <v>0</v>
      </c>
      <c r="AB61" s="475">
        <f t="shared" ref="AB61:AB66" si="134">SUM(Y61:AA61)</f>
        <v>0</v>
      </c>
      <c r="AC61" s="475">
        <f t="shared" ref="AC61:AC66" si="135">X61+AB61</f>
        <v>0</v>
      </c>
      <c r="AD61" s="70">
        <f t="shared" ref="AD61:AD66" si="136">ROUND((X61+Y61+Z61)*33.8%,0)</f>
        <v>0</v>
      </c>
      <c r="AE61" s="70">
        <f t="shared" ref="AE61:AE66" si="137">ROUND(X61*2%,0)</f>
        <v>0</v>
      </c>
      <c r="AF61" s="475">
        <v>0</v>
      </c>
      <c r="AG61" s="475">
        <v>0</v>
      </c>
      <c r="AH61" s="475">
        <f t="shared" ref="AH61:AH66" si="138">SUM(AF61:AG61)</f>
        <v>0</v>
      </c>
      <c r="AI61" s="475">
        <f t="shared" ref="AI61:AI66" si="139">AC61+AD61+AE61+AH61</f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ref="AR61:AR66" si="140">AJ61+AL61+AM61+AO61+AP61</f>
        <v>0</v>
      </c>
      <c r="AS61" s="476">
        <f t="shared" ref="AS61:AS66" si="141">AK61+AN61+AQ61</f>
        <v>0</v>
      </c>
      <c r="AT61" s="478">
        <f t="shared" ref="AT61:AT66" si="142">SUM(AR61:AS61)</f>
        <v>0</v>
      </c>
      <c r="AU61" s="484">
        <f t="shared" ref="AU61:AU66" si="143">I61+AI61</f>
        <v>2014237</v>
      </c>
      <c r="AV61" s="475">
        <f t="shared" ref="AV61:AV66" si="144">J61+X61</f>
        <v>1469374</v>
      </c>
      <c r="AW61" s="475">
        <f t="shared" ref="AW61:AW66" si="145">K61+AB61</f>
        <v>6000</v>
      </c>
      <c r="AX61" s="475">
        <f t="shared" ref="AX61:AY66" si="146">L61+AD61</f>
        <v>498676</v>
      </c>
      <c r="AY61" s="475">
        <f t="shared" si="146"/>
        <v>29387</v>
      </c>
      <c r="AZ61" s="475">
        <f t="shared" ref="AZ61:AZ66" si="147">N61+AH61</f>
        <v>10800</v>
      </c>
      <c r="BA61" s="476">
        <f t="shared" ref="BA61:BA66" si="148">O61+AT61</f>
        <v>2.7874000000000003</v>
      </c>
      <c r="BB61" s="476">
        <f t="shared" ref="BB61:BC66" si="149">P61+AR61</f>
        <v>2.3065000000000002</v>
      </c>
      <c r="BC61" s="478">
        <f t="shared" si="149"/>
        <v>0.48089999999999999</v>
      </c>
    </row>
    <row r="62" spans="1:55" ht="12.95" customHeight="1" x14ac:dyDescent="0.25">
      <c r="A62" s="308">
        <v>11</v>
      </c>
      <c r="B62" s="349">
        <v>5404</v>
      </c>
      <c r="C62" s="350">
        <v>600098974</v>
      </c>
      <c r="D62" s="309">
        <v>70979812</v>
      </c>
      <c r="E62" s="351" t="s">
        <v>390</v>
      </c>
      <c r="F62" s="309">
        <v>3117</v>
      </c>
      <c r="G62" s="351" t="s">
        <v>314</v>
      </c>
      <c r="H62" s="312" t="s">
        <v>277</v>
      </c>
      <c r="I62" s="477">
        <v>2698538</v>
      </c>
      <c r="J62" s="472">
        <v>1953142</v>
      </c>
      <c r="K62" s="472">
        <v>0</v>
      </c>
      <c r="L62" s="472">
        <v>660163</v>
      </c>
      <c r="M62" s="472">
        <v>39063</v>
      </c>
      <c r="N62" s="472">
        <v>46170</v>
      </c>
      <c r="O62" s="473">
        <v>3.9723999999999999</v>
      </c>
      <c r="P62" s="474">
        <v>2.5</v>
      </c>
      <c r="Q62" s="483">
        <v>1.4723999999999999</v>
      </c>
      <c r="R62" s="485">
        <f t="shared" si="133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0"/>
        <v>0</v>
      </c>
      <c r="Y62" s="475">
        <v>0</v>
      </c>
      <c r="Z62" s="475">
        <v>0</v>
      </c>
      <c r="AA62" s="475">
        <v>0</v>
      </c>
      <c r="AB62" s="475">
        <f t="shared" si="134"/>
        <v>0</v>
      </c>
      <c r="AC62" s="475">
        <f t="shared" si="135"/>
        <v>0</v>
      </c>
      <c r="AD62" s="70">
        <f t="shared" si="136"/>
        <v>0</v>
      </c>
      <c r="AE62" s="70">
        <f t="shared" si="137"/>
        <v>0</v>
      </c>
      <c r="AF62" s="475">
        <v>0</v>
      </c>
      <c r="AG62" s="475">
        <v>0</v>
      </c>
      <c r="AH62" s="475">
        <f t="shared" si="138"/>
        <v>0</v>
      </c>
      <c r="AI62" s="475">
        <f t="shared" si="139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40"/>
        <v>0</v>
      </c>
      <c r="AS62" s="476">
        <f t="shared" si="141"/>
        <v>0</v>
      </c>
      <c r="AT62" s="478">
        <f t="shared" si="142"/>
        <v>0</v>
      </c>
      <c r="AU62" s="484">
        <f t="shared" si="143"/>
        <v>2698538</v>
      </c>
      <c r="AV62" s="475">
        <f t="shared" si="144"/>
        <v>1953142</v>
      </c>
      <c r="AW62" s="475">
        <f t="shared" si="145"/>
        <v>0</v>
      </c>
      <c r="AX62" s="475">
        <f t="shared" si="146"/>
        <v>660163</v>
      </c>
      <c r="AY62" s="475">
        <f t="shared" si="146"/>
        <v>39063</v>
      </c>
      <c r="AZ62" s="475">
        <f t="shared" si="147"/>
        <v>46170</v>
      </c>
      <c r="BA62" s="476">
        <f t="shared" si="148"/>
        <v>3.9723999999999999</v>
      </c>
      <c r="BB62" s="476">
        <f t="shared" si="149"/>
        <v>2.5</v>
      </c>
      <c r="BC62" s="478">
        <f t="shared" si="149"/>
        <v>1.4723999999999999</v>
      </c>
    </row>
    <row r="63" spans="1:55" ht="12.95" customHeight="1" x14ac:dyDescent="0.25">
      <c r="A63" s="308">
        <v>11</v>
      </c>
      <c r="B63" s="349">
        <v>5404</v>
      </c>
      <c r="C63" s="350">
        <v>600098974</v>
      </c>
      <c r="D63" s="309">
        <v>70979812</v>
      </c>
      <c r="E63" s="351" t="s">
        <v>390</v>
      </c>
      <c r="F63" s="309">
        <v>3117</v>
      </c>
      <c r="G63" s="351" t="s">
        <v>319</v>
      </c>
      <c r="H63" s="312" t="s">
        <v>278</v>
      </c>
      <c r="I63" s="477">
        <v>484248</v>
      </c>
      <c r="J63" s="472">
        <v>356074</v>
      </c>
      <c r="K63" s="472">
        <v>0</v>
      </c>
      <c r="L63" s="472">
        <v>120353</v>
      </c>
      <c r="M63" s="472">
        <v>7121</v>
      </c>
      <c r="N63" s="472">
        <v>700</v>
      </c>
      <c r="O63" s="473">
        <v>1.03</v>
      </c>
      <c r="P63" s="474">
        <v>1.03</v>
      </c>
      <c r="Q63" s="483">
        <v>0</v>
      </c>
      <c r="R63" s="485">
        <f t="shared" si="133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0"/>
        <v>0</v>
      </c>
      <c r="Y63" s="475">
        <v>0</v>
      </c>
      <c r="Z63" s="475">
        <v>0</v>
      </c>
      <c r="AA63" s="475">
        <v>0</v>
      </c>
      <c r="AB63" s="475">
        <f t="shared" si="134"/>
        <v>0</v>
      </c>
      <c r="AC63" s="475">
        <f t="shared" si="135"/>
        <v>0</v>
      </c>
      <c r="AD63" s="70">
        <f t="shared" si="136"/>
        <v>0</v>
      </c>
      <c r="AE63" s="70">
        <f t="shared" si="137"/>
        <v>0</v>
      </c>
      <c r="AF63" s="475">
        <v>0</v>
      </c>
      <c r="AG63" s="475">
        <v>0</v>
      </c>
      <c r="AH63" s="475">
        <f t="shared" si="138"/>
        <v>0</v>
      </c>
      <c r="AI63" s="475">
        <f t="shared" si="139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476">
        <f t="shared" si="140"/>
        <v>0</v>
      </c>
      <c r="AS63" s="476">
        <f t="shared" si="141"/>
        <v>0</v>
      </c>
      <c r="AT63" s="478">
        <f t="shared" si="142"/>
        <v>0</v>
      </c>
      <c r="AU63" s="484">
        <f t="shared" si="143"/>
        <v>484248</v>
      </c>
      <c r="AV63" s="475">
        <f t="shared" si="144"/>
        <v>356074</v>
      </c>
      <c r="AW63" s="475">
        <f t="shared" si="145"/>
        <v>0</v>
      </c>
      <c r="AX63" s="475">
        <f t="shared" si="146"/>
        <v>120353</v>
      </c>
      <c r="AY63" s="475">
        <f t="shared" si="146"/>
        <v>7121</v>
      </c>
      <c r="AZ63" s="475">
        <f t="shared" si="147"/>
        <v>700</v>
      </c>
      <c r="BA63" s="476">
        <f t="shared" si="148"/>
        <v>1.03</v>
      </c>
      <c r="BB63" s="476">
        <f t="shared" si="149"/>
        <v>1.03</v>
      </c>
      <c r="BC63" s="478">
        <f t="shared" si="149"/>
        <v>0</v>
      </c>
    </row>
    <row r="64" spans="1:55" ht="12.95" customHeight="1" x14ac:dyDescent="0.25">
      <c r="A64" s="308">
        <v>11</v>
      </c>
      <c r="B64" s="349">
        <v>5404</v>
      </c>
      <c r="C64" s="350">
        <v>600098974</v>
      </c>
      <c r="D64" s="309">
        <v>70979812</v>
      </c>
      <c r="E64" s="351" t="s">
        <v>390</v>
      </c>
      <c r="F64" s="309">
        <v>3141</v>
      </c>
      <c r="G64" s="351" t="s">
        <v>315</v>
      </c>
      <c r="H64" s="312" t="s">
        <v>278</v>
      </c>
      <c r="I64" s="477">
        <v>707172</v>
      </c>
      <c r="J64" s="472">
        <v>504859</v>
      </c>
      <c r="K64" s="472">
        <v>14000</v>
      </c>
      <c r="L64" s="472">
        <v>175374</v>
      </c>
      <c r="M64" s="472">
        <v>10097</v>
      </c>
      <c r="N64" s="472">
        <v>2842</v>
      </c>
      <c r="O64" s="473">
        <v>1.63</v>
      </c>
      <c r="P64" s="474">
        <v>0</v>
      </c>
      <c r="Q64" s="483">
        <v>1.63</v>
      </c>
      <c r="R64" s="485">
        <f t="shared" si="133"/>
        <v>0</v>
      </c>
      <c r="S64" s="475">
        <v>0</v>
      </c>
      <c r="T64" s="475">
        <v>15221</v>
      </c>
      <c r="U64" s="475">
        <v>0</v>
      </c>
      <c r="V64" s="475">
        <v>0</v>
      </c>
      <c r="W64" s="475">
        <v>0</v>
      </c>
      <c r="X64" s="475">
        <f t="shared" si="10"/>
        <v>15221</v>
      </c>
      <c r="Y64" s="475">
        <v>0</v>
      </c>
      <c r="Z64" s="475">
        <v>0</v>
      </c>
      <c r="AA64" s="475">
        <v>0</v>
      </c>
      <c r="AB64" s="475">
        <f t="shared" si="134"/>
        <v>0</v>
      </c>
      <c r="AC64" s="475">
        <f t="shared" si="135"/>
        <v>15221</v>
      </c>
      <c r="AD64" s="70">
        <f t="shared" si="136"/>
        <v>5145</v>
      </c>
      <c r="AE64" s="70">
        <f t="shared" si="137"/>
        <v>304</v>
      </c>
      <c r="AF64" s="475">
        <v>0</v>
      </c>
      <c r="AG64" s="475">
        <v>0</v>
      </c>
      <c r="AH64" s="475">
        <f t="shared" si="138"/>
        <v>0</v>
      </c>
      <c r="AI64" s="475">
        <f t="shared" si="139"/>
        <v>20670</v>
      </c>
      <c r="AJ64" s="476">
        <v>0</v>
      </c>
      <c r="AK64" s="476">
        <v>0</v>
      </c>
      <c r="AL64" s="476">
        <v>0</v>
      </c>
      <c r="AM64" s="476">
        <v>0</v>
      </c>
      <c r="AN64" s="476">
        <v>0.05</v>
      </c>
      <c r="AO64" s="476">
        <v>0</v>
      </c>
      <c r="AP64" s="476">
        <v>0</v>
      </c>
      <c r="AQ64" s="476">
        <v>0</v>
      </c>
      <c r="AR64" s="476">
        <f t="shared" si="140"/>
        <v>0</v>
      </c>
      <c r="AS64" s="476">
        <f t="shared" si="141"/>
        <v>0.05</v>
      </c>
      <c r="AT64" s="478">
        <f t="shared" si="142"/>
        <v>0.05</v>
      </c>
      <c r="AU64" s="484">
        <f t="shared" si="143"/>
        <v>727842</v>
      </c>
      <c r="AV64" s="475">
        <f t="shared" si="144"/>
        <v>520080</v>
      </c>
      <c r="AW64" s="475">
        <f t="shared" si="145"/>
        <v>14000</v>
      </c>
      <c r="AX64" s="475">
        <f t="shared" si="146"/>
        <v>180519</v>
      </c>
      <c r="AY64" s="475">
        <f t="shared" si="146"/>
        <v>10401</v>
      </c>
      <c r="AZ64" s="475">
        <f t="shared" si="147"/>
        <v>2842</v>
      </c>
      <c r="BA64" s="476">
        <f t="shared" si="148"/>
        <v>1.68</v>
      </c>
      <c r="BB64" s="476">
        <f t="shared" si="149"/>
        <v>0</v>
      </c>
      <c r="BC64" s="478">
        <f t="shared" si="149"/>
        <v>1.68</v>
      </c>
    </row>
    <row r="65" spans="1:55" ht="12.95" customHeight="1" x14ac:dyDescent="0.25">
      <c r="A65" s="308">
        <v>11</v>
      </c>
      <c r="B65" s="349">
        <v>5404</v>
      </c>
      <c r="C65" s="350">
        <v>600098974</v>
      </c>
      <c r="D65" s="309">
        <v>70979812</v>
      </c>
      <c r="E65" s="351" t="s">
        <v>390</v>
      </c>
      <c r="F65" s="309">
        <v>3143</v>
      </c>
      <c r="G65" s="351" t="s">
        <v>626</v>
      </c>
      <c r="H65" s="312" t="s">
        <v>277</v>
      </c>
      <c r="I65" s="477">
        <v>458366</v>
      </c>
      <c r="J65" s="472">
        <v>337530</v>
      </c>
      <c r="K65" s="472">
        <v>0</v>
      </c>
      <c r="L65" s="472">
        <v>114085</v>
      </c>
      <c r="M65" s="472">
        <v>6751</v>
      </c>
      <c r="N65" s="472">
        <v>0</v>
      </c>
      <c r="O65" s="473">
        <v>0.70520000000000005</v>
      </c>
      <c r="P65" s="474">
        <v>0.70520000000000005</v>
      </c>
      <c r="Q65" s="483">
        <v>0</v>
      </c>
      <c r="R65" s="485">
        <f t="shared" si="133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0"/>
        <v>0</v>
      </c>
      <c r="Y65" s="475">
        <v>0</v>
      </c>
      <c r="Z65" s="475">
        <v>0</v>
      </c>
      <c r="AA65" s="475">
        <v>0</v>
      </c>
      <c r="AB65" s="475">
        <f t="shared" si="134"/>
        <v>0</v>
      </c>
      <c r="AC65" s="475">
        <f t="shared" si="135"/>
        <v>0</v>
      </c>
      <c r="AD65" s="70">
        <f t="shared" si="136"/>
        <v>0</v>
      </c>
      <c r="AE65" s="70">
        <f t="shared" si="137"/>
        <v>0</v>
      </c>
      <c r="AF65" s="475">
        <v>0</v>
      </c>
      <c r="AG65" s="475">
        <v>0</v>
      </c>
      <c r="AH65" s="475">
        <f t="shared" si="138"/>
        <v>0</v>
      </c>
      <c r="AI65" s="475">
        <f t="shared" si="139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 t="shared" si="140"/>
        <v>0</v>
      </c>
      <c r="AS65" s="476">
        <f t="shared" si="141"/>
        <v>0</v>
      </c>
      <c r="AT65" s="478">
        <f t="shared" si="142"/>
        <v>0</v>
      </c>
      <c r="AU65" s="484">
        <f t="shared" si="143"/>
        <v>458366</v>
      </c>
      <c r="AV65" s="475">
        <f t="shared" si="144"/>
        <v>337530</v>
      </c>
      <c r="AW65" s="475">
        <f t="shared" si="145"/>
        <v>0</v>
      </c>
      <c r="AX65" s="475">
        <f t="shared" si="146"/>
        <v>114085</v>
      </c>
      <c r="AY65" s="475">
        <f t="shared" si="146"/>
        <v>6751</v>
      </c>
      <c r="AZ65" s="475">
        <f t="shared" si="147"/>
        <v>0</v>
      </c>
      <c r="BA65" s="476">
        <f t="shared" si="148"/>
        <v>0.70520000000000005</v>
      </c>
      <c r="BB65" s="476">
        <f t="shared" si="149"/>
        <v>0.70520000000000005</v>
      </c>
      <c r="BC65" s="478">
        <f t="shared" si="149"/>
        <v>0</v>
      </c>
    </row>
    <row r="66" spans="1:55" ht="12.95" customHeight="1" x14ac:dyDescent="0.25">
      <c r="A66" s="308">
        <v>11</v>
      </c>
      <c r="B66" s="349">
        <v>5404</v>
      </c>
      <c r="C66" s="350">
        <v>600098974</v>
      </c>
      <c r="D66" s="309">
        <v>70979812</v>
      </c>
      <c r="E66" s="351" t="s">
        <v>390</v>
      </c>
      <c r="F66" s="309">
        <v>3143</v>
      </c>
      <c r="G66" s="351" t="s">
        <v>627</v>
      </c>
      <c r="H66" s="312" t="s">
        <v>278</v>
      </c>
      <c r="I66" s="477">
        <v>11339</v>
      </c>
      <c r="J66" s="472">
        <v>8019</v>
      </c>
      <c r="K66" s="472">
        <v>0</v>
      </c>
      <c r="L66" s="472">
        <v>2710</v>
      </c>
      <c r="M66" s="472">
        <v>160</v>
      </c>
      <c r="N66" s="472">
        <v>450</v>
      </c>
      <c r="O66" s="473">
        <v>0.03</v>
      </c>
      <c r="P66" s="474">
        <v>0</v>
      </c>
      <c r="Q66" s="483">
        <v>0.03</v>
      </c>
      <c r="R66" s="485">
        <f t="shared" si="133"/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0"/>
        <v>0</v>
      </c>
      <c r="Y66" s="475">
        <v>0</v>
      </c>
      <c r="Z66" s="475">
        <v>0</v>
      </c>
      <c r="AA66" s="475">
        <v>0</v>
      </c>
      <c r="AB66" s="475">
        <f t="shared" si="134"/>
        <v>0</v>
      </c>
      <c r="AC66" s="475">
        <f t="shared" si="135"/>
        <v>0</v>
      </c>
      <c r="AD66" s="70">
        <f t="shared" si="136"/>
        <v>0</v>
      </c>
      <c r="AE66" s="70">
        <f t="shared" si="137"/>
        <v>0</v>
      </c>
      <c r="AF66" s="475">
        <v>0</v>
      </c>
      <c r="AG66" s="475">
        <v>0</v>
      </c>
      <c r="AH66" s="475">
        <f t="shared" si="138"/>
        <v>0</v>
      </c>
      <c r="AI66" s="475">
        <f t="shared" si="139"/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si="140"/>
        <v>0</v>
      </c>
      <c r="AS66" s="476">
        <f t="shared" si="141"/>
        <v>0</v>
      </c>
      <c r="AT66" s="478">
        <f t="shared" si="142"/>
        <v>0</v>
      </c>
      <c r="AU66" s="484">
        <f t="shared" si="143"/>
        <v>11339</v>
      </c>
      <c r="AV66" s="475">
        <f t="shared" si="144"/>
        <v>8019</v>
      </c>
      <c r="AW66" s="475">
        <f t="shared" si="145"/>
        <v>0</v>
      </c>
      <c r="AX66" s="475">
        <f t="shared" si="146"/>
        <v>2710</v>
      </c>
      <c r="AY66" s="475">
        <f t="shared" si="146"/>
        <v>160</v>
      </c>
      <c r="AZ66" s="475">
        <f t="shared" si="147"/>
        <v>450</v>
      </c>
      <c r="BA66" s="476">
        <f t="shared" si="148"/>
        <v>0.03</v>
      </c>
      <c r="BB66" s="476">
        <f t="shared" si="149"/>
        <v>0</v>
      </c>
      <c r="BC66" s="478">
        <f t="shared" si="149"/>
        <v>0.03</v>
      </c>
    </row>
    <row r="67" spans="1:55" ht="12.95" customHeight="1" x14ac:dyDescent="0.25">
      <c r="A67" s="352">
        <v>11</v>
      </c>
      <c r="B67" s="353">
        <v>5404</v>
      </c>
      <c r="C67" s="354">
        <v>600098974</v>
      </c>
      <c r="D67" s="353">
        <v>70979812</v>
      </c>
      <c r="E67" s="355" t="s">
        <v>391</v>
      </c>
      <c r="F67" s="319"/>
      <c r="G67" s="357"/>
      <c r="H67" s="320"/>
      <c r="I67" s="582">
        <v>6373900</v>
      </c>
      <c r="J67" s="578">
        <v>4628998</v>
      </c>
      <c r="K67" s="578">
        <v>20000</v>
      </c>
      <c r="L67" s="578">
        <v>1571361</v>
      </c>
      <c r="M67" s="578">
        <v>92579</v>
      </c>
      <c r="N67" s="578">
        <v>60962</v>
      </c>
      <c r="O67" s="579">
        <v>10.154999999999999</v>
      </c>
      <c r="P67" s="579">
        <v>6.5417000000000005</v>
      </c>
      <c r="Q67" s="584">
        <v>3.6132999999999997</v>
      </c>
      <c r="R67" s="582">
        <f t="shared" ref="R67:BC67" si="150">SUM(R61:R66)</f>
        <v>0</v>
      </c>
      <c r="S67" s="578">
        <f t="shared" si="150"/>
        <v>0</v>
      </c>
      <c r="T67" s="578">
        <f t="shared" si="150"/>
        <v>15221</v>
      </c>
      <c r="U67" s="578">
        <f t="shared" si="150"/>
        <v>0</v>
      </c>
      <c r="V67" s="578">
        <f t="shared" si="150"/>
        <v>0</v>
      </c>
      <c r="W67" s="578">
        <f t="shared" si="150"/>
        <v>0</v>
      </c>
      <c r="X67" s="578">
        <f t="shared" si="150"/>
        <v>15221</v>
      </c>
      <c r="Y67" s="578">
        <f t="shared" si="150"/>
        <v>0</v>
      </c>
      <c r="Z67" s="578">
        <f t="shared" si="150"/>
        <v>0</v>
      </c>
      <c r="AA67" s="578">
        <f t="shared" si="150"/>
        <v>0</v>
      </c>
      <c r="AB67" s="578">
        <f t="shared" si="150"/>
        <v>0</v>
      </c>
      <c r="AC67" s="578">
        <f t="shared" si="150"/>
        <v>15221</v>
      </c>
      <c r="AD67" s="578">
        <f t="shared" si="150"/>
        <v>5145</v>
      </c>
      <c r="AE67" s="578">
        <f t="shared" si="150"/>
        <v>304</v>
      </c>
      <c r="AF67" s="578">
        <f t="shared" si="150"/>
        <v>0</v>
      </c>
      <c r="AG67" s="578">
        <f t="shared" si="150"/>
        <v>0</v>
      </c>
      <c r="AH67" s="578">
        <f t="shared" si="150"/>
        <v>0</v>
      </c>
      <c r="AI67" s="578">
        <f t="shared" si="150"/>
        <v>20670</v>
      </c>
      <c r="AJ67" s="579">
        <f t="shared" si="150"/>
        <v>0</v>
      </c>
      <c r="AK67" s="579">
        <f t="shared" si="150"/>
        <v>0</v>
      </c>
      <c r="AL67" s="579">
        <f t="shared" si="150"/>
        <v>0</v>
      </c>
      <c r="AM67" s="579">
        <f t="shared" si="150"/>
        <v>0</v>
      </c>
      <c r="AN67" s="579">
        <f t="shared" si="150"/>
        <v>0.05</v>
      </c>
      <c r="AO67" s="579">
        <f t="shared" si="150"/>
        <v>0</v>
      </c>
      <c r="AP67" s="579">
        <f t="shared" si="150"/>
        <v>0</v>
      </c>
      <c r="AQ67" s="579">
        <f t="shared" si="150"/>
        <v>0</v>
      </c>
      <c r="AR67" s="579">
        <f t="shared" si="150"/>
        <v>0</v>
      </c>
      <c r="AS67" s="579">
        <f t="shared" si="150"/>
        <v>0.05</v>
      </c>
      <c r="AT67" s="356">
        <f t="shared" si="150"/>
        <v>0.05</v>
      </c>
      <c r="AU67" s="586">
        <f t="shared" si="150"/>
        <v>6394570</v>
      </c>
      <c r="AV67" s="578">
        <f t="shared" si="150"/>
        <v>4644219</v>
      </c>
      <c r="AW67" s="578">
        <f t="shared" si="150"/>
        <v>20000</v>
      </c>
      <c r="AX67" s="578">
        <f t="shared" si="150"/>
        <v>1576506</v>
      </c>
      <c r="AY67" s="578">
        <f t="shared" si="150"/>
        <v>92883</v>
      </c>
      <c r="AZ67" s="578">
        <f t="shared" si="150"/>
        <v>60962</v>
      </c>
      <c r="BA67" s="579">
        <f t="shared" si="150"/>
        <v>10.205</v>
      </c>
      <c r="BB67" s="579">
        <f t="shared" si="150"/>
        <v>6.5417000000000005</v>
      </c>
      <c r="BC67" s="356">
        <f t="shared" si="150"/>
        <v>3.6633</v>
      </c>
    </row>
    <row r="68" spans="1:55" ht="12.95" customHeight="1" x14ac:dyDescent="0.25">
      <c r="A68" s="308">
        <v>12</v>
      </c>
      <c r="B68" s="349">
        <v>5407</v>
      </c>
      <c r="C68" s="350">
        <v>600099148</v>
      </c>
      <c r="D68" s="309">
        <v>70939403</v>
      </c>
      <c r="E68" s="351" t="s">
        <v>392</v>
      </c>
      <c r="F68" s="309">
        <v>3111</v>
      </c>
      <c r="G68" s="351" t="s">
        <v>325</v>
      </c>
      <c r="H68" s="312" t="s">
        <v>277</v>
      </c>
      <c r="I68" s="477">
        <v>2417031</v>
      </c>
      <c r="J68" s="472">
        <v>1769242</v>
      </c>
      <c r="K68" s="472">
        <v>0</v>
      </c>
      <c r="L68" s="472">
        <v>598004</v>
      </c>
      <c r="M68" s="472">
        <v>35385</v>
      </c>
      <c r="N68" s="472">
        <v>14400</v>
      </c>
      <c r="O68" s="473">
        <v>3.9218000000000002</v>
      </c>
      <c r="P68" s="474">
        <v>3</v>
      </c>
      <c r="Q68" s="483">
        <v>0.92179999999999995</v>
      </c>
      <c r="R68" s="485">
        <f t="shared" ref="R68:R73" si="151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0"/>
        <v>0</v>
      </c>
      <c r="Y68" s="475">
        <v>0</v>
      </c>
      <c r="Z68" s="475">
        <v>0</v>
      </c>
      <c r="AA68" s="475">
        <v>0</v>
      </c>
      <c r="AB68" s="475">
        <f t="shared" ref="AB68:AB73" si="152">SUM(Y68:AA68)</f>
        <v>0</v>
      </c>
      <c r="AC68" s="475">
        <f t="shared" ref="AC68:AC73" si="153">X68+AB68</f>
        <v>0</v>
      </c>
      <c r="AD68" s="70">
        <f t="shared" ref="AD68:AD73" si="154">ROUND((X68+Y68+Z68)*33.8%,0)</f>
        <v>0</v>
      </c>
      <c r="AE68" s="70">
        <f t="shared" ref="AE68:AE73" si="155">ROUND(X68*2%,0)</f>
        <v>0</v>
      </c>
      <c r="AF68" s="475">
        <v>0</v>
      </c>
      <c r="AG68" s="475">
        <v>0</v>
      </c>
      <c r="AH68" s="475">
        <f t="shared" ref="AH68:AH73" si="156">SUM(AF68:AG68)</f>
        <v>0</v>
      </c>
      <c r="AI68" s="475">
        <f t="shared" ref="AI68:AI73" si="157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ref="AR68:AR73" si="158">AJ68+AL68+AM68+AO68+AP68</f>
        <v>0</v>
      </c>
      <c r="AS68" s="476">
        <f t="shared" ref="AS68:AS73" si="159">AK68+AN68+AQ68</f>
        <v>0</v>
      </c>
      <c r="AT68" s="478">
        <f t="shared" ref="AT68:AT73" si="160">SUM(AR68:AS68)</f>
        <v>0</v>
      </c>
      <c r="AU68" s="484">
        <f t="shared" ref="AU68:AU73" si="161">I68+AI68</f>
        <v>2417031</v>
      </c>
      <c r="AV68" s="475">
        <f t="shared" ref="AV68:AV73" si="162">J68+X68</f>
        <v>1769242</v>
      </c>
      <c r="AW68" s="475">
        <f t="shared" ref="AW68:AW73" si="163">K68+AB68</f>
        <v>0</v>
      </c>
      <c r="AX68" s="475">
        <f t="shared" ref="AX68:AY73" si="164">L68+AD68</f>
        <v>598004</v>
      </c>
      <c r="AY68" s="475">
        <f t="shared" si="164"/>
        <v>35385</v>
      </c>
      <c r="AZ68" s="475">
        <f t="shared" ref="AZ68:AZ73" si="165">N68+AH68</f>
        <v>14400</v>
      </c>
      <c r="BA68" s="476">
        <f t="shared" ref="BA68:BA73" si="166">O68+AT68</f>
        <v>3.9218000000000002</v>
      </c>
      <c r="BB68" s="476">
        <f t="shared" ref="BB68:BC73" si="167">P68+AR68</f>
        <v>3</v>
      </c>
      <c r="BC68" s="478">
        <f t="shared" si="167"/>
        <v>0.92179999999999995</v>
      </c>
    </row>
    <row r="69" spans="1:55" ht="12.95" customHeight="1" x14ac:dyDescent="0.25">
      <c r="A69" s="308">
        <v>12</v>
      </c>
      <c r="B69" s="349">
        <v>5407</v>
      </c>
      <c r="C69" s="350">
        <v>600099148</v>
      </c>
      <c r="D69" s="309">
        <v>70939403</v>
      </c>
      <c r="E69" s="351" t="s">
        <v>392</v>
      </c>
      <c r="F69" s="309">
        <v>3113</v>
      </c>
      <c r="G69" s="351" t="s">
        <v>329</v>
      </c>
      <c r="H69" s="312" t="s">
        <v>277</v>
      </c>
      <c r="I69" s="477">
        <v>9434576</v>
      </c>
      <c r="J69" s="472">
        <v>6828783</v>
      </c>
      <c r="K69" s="472">
        <v>10000</v>
      </c>
      <c r="L69" s="472">
        <v>2311508</v>
      </c>
      <c r="M69" s="472">
        <v>136575</v>
      </c>
      <c r="N69" s="472">
        <v>147710</v>
      </c>
      <c r="O69" s="473">
        <v>12.407800000000002</v>
      </c>
      <c r="P69" s="474">
        <v>9.1363000000000003</v>
      </c>
      <c r="Q69" s="483">
        <v>3.2715000000000001</v>
      </c>
      <c r="R69" s="485">
        <f t="shared" si="151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0"/>
        <v>0</v>
      </c>
      <c r="Y69" s="475">
        <v>0</v>
      </c>
      <c r="Z69" s="475">
        <v>0</v>
      </c>
      <c r="AA69" s="475">
        <v>0</v>
      </c>
      <c r="AB69" s="475">
        <f t="shared" si="152"/>
        <v>0</v>
      </c>
      <c r="AC69" s="475">
        <f t="shared" si="153"/>
        <v>0</v>
      </c>
      <c r="AD69" s="70">
        <f t="shared" si="154"/>
        <v>0</v>
      </c>
      <c r="AE69" s="70">
        <f t="shared" si="155"/>
        <v>0</v>
      </c>
      <c r="AF69" s="475">
        <v>0</v>
      </c>
      <c r="AG69" s="475">
        <v>0</v>
      </c>
      <c r="AH69" s="475">
        <f t="shared" si="156"/>
        <v>0</v>
      </c>
      <c r="AI69" s="475">
        <f t="shared" si="157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 t="shared" si="158"/>
        <v>0</v>
      </c>
      <c r="AS69" s="476">
        <f t="shared" si="159"/>
        <v>0</v>
      </c>
      <c r="AT69" s="478">
        <f t="shared" si="160"/>
        <v>0</v>
      </c>
      <c r="AU69" s="484">
        <f t="shared" si="161"/>
        <v>9434576</v>
      </c>
      <c r="AV69" s="475">
        <f t="shared" si="162"/>
        <v>6828783</v>
      </c>
      <c r="AW69" s="475">
        <f t="shared" si="163"/>
        <v>10000</v>
      </c>
      <c r="AX69" s="475">
        <f t="shared" si="164"/>
        <v>2311508</v>
      </c>
      <c r="AY69" s="475">
        <f t="shared" si="164"/>
        <v>136575</v>
      </c>
      <c r="AZ69" s="475">
        <f t="shared" si="165"/>
        <v>147710</v>
      </c>
      <c r="BA69" s="476">
        <f t="shared" si="166"/>
        <v>12.407800000000002</v>
      </c>
      <c r="BB69" s="476">
        <f t="shared" si="167"/>
        <v>9.1363000000000003</v>
      </c>
      <c r="BC69" s="478">
        <f t="shared" si="167"/>
        <v>3.2715000000000001</v>
      </c>
    </row>
    <row r="70" spans="1:55" ht="12.95" customHeight="1" x14ac:dyDescent="0.25">
      <c r="A70" s="308">
        <v>12</v>
      </c>
      <c r="B70" s="349">
        <v>5407</v>
      </c>
      <c r="C70" s="350">
        <v>600099148</v>
      </c>
      <c r="D70" s="309">
        <v>70939403</v>
      </c>
      <c r="E70" s="351" t="s">
        <v>392</v>
      </c>
      <c r="F70" s="309">
        <v>3113</v>
      </c>
      <c r="G70" s="351" t="s">
        <v>319</v>
      </c>
      <c r="H70" s="312" t="s">
        <v>278</v>
      </c>
      <c r="I70" s="477">
        <v>975464</v>
      </c>
      <c r="J70" s="472">
        <v>717941</v>
      </c>
      <c r="K70" s="472">
        <v>0</v>
      </c>
      <c r="L70" s="472">
        <v>242664</v>
      </c>
      <c r="M70" s="472">
        <v>14359</v>
      </c>
      <c r="N70" s="472">
        <v>500</v>
      </c>
      <c r="O70" s="473">
        <v>2.06</v>
      </c>
      <c r="P70" s="474">
        <v>2.06</v>
      </c>
      <c r="Q70" s="483">
        <v>0</v>
      </c>
      <c r="R70" s="485">
        <f t="shared" si="151"/>
        <v>0</v>
      </c>
      <c r="S70" s="475">
        <v>-43305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0"/>
        <v>-43305</v>
      </c>
      <c r="Y70" s="475">
        <v>0</v>
      </c>
      <c r="Z70" s="475">
        <v>0</v>
      </c>
      <c r="AA70" s="475">
        <v>0</v>
      </c>
      <c r="AB70" s="475">
        <f t="shared" si="152"/>
        <v>0</v>
      </c>
      <c r="AC70" s="475">
        <f t="shared" si="153"/>
        <v>-43305</v>
      </c>
      <c r="AD70" s="70">
        <f t="shared" si="154"/>
        <v>-14637</v>
      </c>
      <c r="AE70" s="70">
        <f t="shared" si="155"/>
        <v>-866</v>
      </c>
      <c r="AF70" s="475">
        <v>0</v>
      </c>
      <c r="AG70" s="475">
        <v>0</v>
      </c>
      <c r="AH70" s="475">
        <f t="shared" si="156"/>
        <v>0</v>
      </c>
      <c r="AI70" s="475">
        <f t="shared" si="157"/>
        <v>-58808</v>
      </c>
      <c r="AJ70" s="476">
        <v>0</v>
      </c>
      <c r="AK70" s="476">
        <v>0</v>
      </c>
      <c r="AL70" s="476">
        <v>-0.12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476">
        <f t="shared" si="158"/>
        <v>-0.12</v>
      </c>
      <c r="AS70" s="476">
        <f t="shared" si="159"/>
        <v>0</v>
      </c>
      <c r="AT70" s="478">
        <f t="shared" si="160"/>
        <v>-0.12</v>
      </c>
      <c r="AU70" s="484">
        <f t="shared" si="161"/>
        <v>916656</v>
      </c>
      <c r="AV70" s="475">
        <f t="shared" si="162"/>
        <v>674636</v>
      </c>
      <c r="AW70" s="475">
        <f t="shared" si="163"/>
        <v>0</v>
      </c>
      <c r="AX70" s="475">
        <f t="shared" si="164"/>
        <v>228027</v>
      </c>
      <c r="AY70" s="475">
        <f t="shared" si="164"/>
        <v>13493</v>
      </c>
      <c r="AZ70" s="475">
        <f t="shared" si="165"/>
        <v>500</v>
      </c>
      <c r="BA70" s="476">
        <f t="shared" si="166"/>
        <v>1.94</v>
      </c>
      <c r="BB70" s="476">
        <f t="shared" si="167"/>
        <v>1.94</v>
      </c>
      <c r="BC70" s="478">
        <f t="shared" si="167"/>
        <v>0</v>
      </c>
    </row>
    <row r="71" spans="1:55" ht="12.95" customHeight="1" x14ac:dyDescent="0.25">
      <c r="A71" s="308">
        <v>12</v>
      </c>
      <c r="B71" s="349">
        <v>5407</v>
      </c>
      <c r="C71" s="350">
        <v>600099148</v>
      </c>
      <c r="D71" s="309">
        <v>70939403</v>
      </c>
      <c r="E71" s="351" t="s">
        <v>392</v>
      </c>
      <c r="F71" s="309">
        <v>3141</v>
      </c>
      <c r="G71" s="351" t="s">
        <v>315</v>
      </c>
      <c r="H71" s="312" t="s">
        <v>278</v>
      </c>
      <c r="I71" s="477">
        <v>1432725</v>
      </c>
      <c r="J71" s="472">
        <v>1049294</v>
      </c>
      <c r="K71" s="472">
        <v>0</v>
      </c>
      <c r="L71" s="472">
        <v>354661</v>
      </c>
      <c r="M71" s="472">
        <v>20986</v>
      </c>
      <c r="N71" s="472">
        <v>7784</v>
      </c>
      <c r="O71" s="473">
        <v>3.3</v>
      </c>
      <c r="P71" s="474">
        <v>0</v>
      </c>
      <c r="Q71" s="483">
        <v>3.3</v>
      </c>
      <c r="R71" s="485">
        <f t="shared" si="151"/>
        <v>0</v>
      </c>
      <c r="S71" s="475">
        <v>0</v>
      </c>
      <c r="T71" s="475">
        <v>-11094</v>
      </c>
      <c r="U71" s="475">
        <v>0</v>
      </c>
      <c r="V71" s="475">
        <v>0</v>
      </c>
      <c r="W71" s="475">
        <v>0</v>
      </c>
      <c r="X71" s="475">
        <f t="shared" si="10"/>
        <v>-11094</v>
      </c>
      <c r="Y71" s="475">
        <v>0</v>
      </c>
      <c r="Z71" s="475">
        <v>0</v>
      </c>
      <c r="AA71" s="475">
        <v>0</v>
      </c>
      <c r="AB71" s="475">
        <f t="shared" si="152"/>
        <v>0</v>
      </c>
      <c r="AC71" s="475">
        <f t="shared" si="153"/>
        <v>-11094</v>
      </c>
      <c r="AD71" s="70">
        <f t="shared" si="154"/>
        <v>-3750</v>
      </c>
      <c r="AE71" s="70">
        <f t="shared" si="155"/>
        <v>-222</v>
      </c>
      <c r="AF71" s="475">
        <v>0</v>
      </c>
      <c r="AG71" s="475">
        <v>0</v>
      </c>
      <c r="AH71" s="475">
        <f t="shared" si="156"/>
        <v>0</v>
      </c>
      <c r="AI71" s="475">
        <f t="shared" si="157"/>
        <v>-15066</v>
      </c>
      <c r="AJ71" s="476">
        <v>0</v>
      </c>
      <c r="AK71" s="476">
        <v>0</v>
      </c>
      <c r="AL71" s="476">
        <v>0</v>
      </c>
      <c r="AM71" s="476">
        <v>0</v>
      </c>
      <c r="AN71" s="476">
        <v>-0.03</v>
      </c>
      <c r="AO71" s="476">
        <v>0</v>
      </c>
      <c r="AP71" s="476">
        <v>0</v>
      </c>
      <c r="AQ71" s="476">
        <v>0</v>
      </c>
      <c r="AR71" s="476">
        <f t="shared" si="158"/>
        <v>0</v>
      </c>
      <c r="AS71" s="476">
        <f t="shared" si="159"/>
        <v>-0.03</v>
      </c>
      <c r="AT71" s="478">
        <f t="shared" si="160"/>
        <v>-0.03</v>
      </c>
      <c r="AU71" s="484">
        <f t="shared" si="161"/>
        <v>1417659</v>
      </c>
      <c r="AV71" s="475">
        <f t="shared" si="162"/>
        <v>1038200</v>
      </c>
      <c r="AW71" s="475">
        <f t="shared" si="163"/>
        <v>0</v>
      </c>
      <c r="AX71" s="475">
        <f t="shared" si="164"/>
        <v>350911</v>
      </c>
      <c r="AY71" s="475">
        <f t="shared" si="164"/>
        <v>20764</v>
      </c>
      <c r="AZ71" s="475">
        <f t="shared" si="165"/>
        <v>7784</v>
      </c>
      <c r="BA71" s="476">
        <f t="shared" si="166"/>
        <v>3.27</v>
      </c>
      <c r="BB71" s="476">
        <f t="shared" si="167"/>
        <v>0</v>
      </c>
      <c r="BC71" s="478">
        <f t="shared" si="167"/>
        <v>3.27</v>
      </c>
    </row>
    <row r="72" spans="1:55" ht="12.95" customHeight="1" x14ac:dyDescent="0.25">
      <c r="A72" s="308">
        <v>12</v>
      </c>
      <c r="B72" s="349">
        <v>5407</v>
      </c>
      <c r="C72" s="350">
        <v>600099148</v>
      </c>
      <c r="D72" s="309">
        <v>70939403</v>
      </c>
      <c r="E72" s="351" t="s">
        <v>392</v>
      </c>
      <c r="F72" s="309">
        <v>3143</v>
      </c>
      <c r="G72" s="351" t="s">
        <v>626</v>
      </c>
      <c r="H72" s="312" t="s">
        <v>277</v>
      </c>
      <c r="I72" s="477">
        <v>399926</v>
      </c>
      <c r="J72" s="472">
        <v>294496</v>
      </c>
      <c r="K72" s="472">
        <v>0</v>
      </c>
      <c r="L72" s="472">
        <v>99540</v>
      </c>
      <c r="M72" s="472">
        <v>5890</v>
      </c>
      <c r="N72" s="472">
        <v>0</v>
      </c>
      <c r="O72" s="473">
        <v>0.65</v>
      </c>
      <c r="P72" s="474">
        <v>0.65</v>
      </c>
      <c r="Q72" s="483">
        <v>0</v>
      </c>
      <c r="R72" s="485">
        <f t="shared" si="151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0"/>
        <v>0</v>
      </c>
      <c r="Y72" s="475">
        <v>0</v>
      </c>
      <c r="Z72" s="475">
        <v>0</v>
      </c>
      <c r="AA72" s="475">
        <v>0</v>
      </c>
      <c r="AB72" s="475">
        <f t="shared" si="152"/>
        <v>0</v>
      </c>
      <c r="AC72" s="475">
        <f t="shared" si="153"/>
        <v>0</v>
      </c>
      <c r="AD72" s="70">
        <f t="shared" si="154"/>
        <v>0</v>
      </c>
      <c r="AE72" s="70">
        <f t="shared" si="155"/>
        <v>0</v>
      </c>
      <c r="AF72" s="475">
        <v>0</v>
      </c>
      <c r="AG72" s="475">
        <v>0</v>
      </c>
      <c r="AH72" s="475">
        <f t="shared" si="156"/>
        <v>0</v>
      </c>
      <c r="AI72" s="475">
        <f t="shared" si="157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58"/>
        <v>0</v>
      </c>
      <c r="AS72" s="476">
        <f t="shared" si="159"/>
        <v>0</v>
      </c>
      <c r="AT72" s="478">
        <f t="shared" si="160"/>
        <v>0</v>
      </c>
      <c r="AU72" s="484">
        <f t="shared" si="161"/>
        <v>399926</v>
      </c>
      <c r="AV72" s="475">
        <f t="shared" si="162"/>
        <v>294496</v>
      </c>
      <c r="AW72" s="475">
        <f t="shared" si="163"/>
        <v>0</v>
      </c>
      <c r="AX72" s="475">
        <f t="shared" si="164"/>
        <v>99540</v>
      </c>
      <c r="AY72" s="475">
        <f t="shared" si="164"/>
        <v>5890</v>
      </c>
      <c r="AZ72" s="475">
        <f t="shared" si="165"/>
        <v>0</v>
      </c>
      <c r="BA72" s="476">
        <f t="shared" si="166"/>
        <v>0.65</v>
      </c>
      <c r="BB72" s="476">
        <f t="shared" si="167"/>
        <v>0.65</v>
      </c>
      <c r="BC72" s="478">
        <f t="shared" si="167"/>
        <v>0</v>
      </c>
    </row>
    <row r="73" spans="1:55" ht="12.95" customHeight="1" x14ac:dyDescent="0.25">
      <c r="A73" s="308">
        <v>12</v>
      </c>
      <c r="B73" s="349">
        <v>5407</v>
      </c>
      <c r="C73" s="350">
        <v>600099148</v>
      </c>
      <c r="D73" s="309">
        <v>70939403</v>
      </c>
      <c r="E73" s="351" t="s">
        <v>392</v>
      </c>
      <c r="F73" s="309">
        <v>3143</v>
      </c>
      <c r="G73" s="351" t="s">
        <v>627</v>
      </c>
      <c r="H73" s="312" t="s">
        <v>278</v>
      </c>
      <c r="I73" s="477">
        <v>15120</v>
      </c>
      <c r="J73" s="472">
        <v>10692</v>
      </c>
      <c r="K73" s="472">
        <v>0</v>
      </c>
      <c r="L73" s="472">
        <v>3614</v>
      </c>
      <c r="M73" s="472">
        <v>214</v>
      </c>
      <c r="N73" s="472">
        <v>600</v>
      </c>
      <c r="O73" s="473">
        <v>0.04</v>
      </c>
      <c r="P73" s="474">
        <v>0</v>
      </c>
      <c r="Q73" s="483">
        <v>0.04</v>
      </c>
      <c r="R73" s="485">
        <f t="shared" si="151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0"/>
        <v>0</v>
      </c>
      <c r="Y73" s="475">
        <v>0</v>
      </c>
      <c r="Z73" s="475">
        <v>0</v>
      </c>
      <c r="AA73" s="475">
        <v>0</v>
      </c>
      <c r="AB73" s="475">
        <f t="shared" si="152"/>
        <v>0</v>
      </c>
      <c r="AC73" s="475">
        <f t="shared" si="153"/>
        <v>0</v>
      </c>
      <c r="AD73" s="70">
        <f t="shared" si="154"/>
        <v>0</v>
      </c>
      <c r="AE73" s="70">
        <f t="shared" si="155"/>
        <v>0</v>
      </c>
      <c r="AF73" s="475">
        <v>0</v>
      </c>
      <c r="AG73" s="475">
        <v>0</v>
      </c>
      <c r="AH73" s="475">
        <f t="shared" si="156"/>
        <v>0</v>
      </c>
      <c r="AI73" s="475">
        <f t="shared" si="157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si="158"/>
        <v>0</v>
      </c>
      <c r="AS73" s="476">
        <f t="shared" si="159"/>
        <v>0</v>
      </c>
      <c r="AT73" s="478">
        <f t="shared" si="160"/>
        <v>0</v>
      </c>
      <c r="AU73" s="484">
        <f t="shared" si="161"/>
        <v>15120</v>
      </c>
      <c r="AV73" s="475">
        <f t="shared" si="162"/>
        <v>10692</v>
      </c>
      <c r="AW73" s="475">
        <f t="shared" si="163"/>
        <v>0</v>
      </c>
      <c r="AX73" s="475">
        <f t="shared" si="164"/>
        <v>3614</v>
      </c>
      <c r="AY73" s="475">
        <f t="shared" si="164"/>
        <v>214</v>
      </c>
      <c r="AZ73" s="475">
        <f t="shared" si="165"/>
        <v>600</v>
      </c>
      <c r="BA73" s="476">
        <f t="shared" si="166"/>
        <v>0.04</v>
      </c>
      <c r="BB73" s="476">
        <f t="shared" si="167"/>
        <v>0</v>
      </c>
      <c r="BC73" s="478">
        <f t="shared" si="167"/>
        <v>0.04</v>
      </c>
    </row>
    <row r="74" spans="1:55" ht="12.95" customHeight="1" x14ac:dyDescent="0.25">
      <c r="A74" s="352">
        <v>12</v>
      </c>
      <c r="B74" s="353">
        <v>5407</v>
      </c>
      <c r="C74" s="354">
        <v>600099148</v>
      </c>
      <c r="D74" s="353">
        <v>70939403</v>
      </c>
      <c r="E74" s="355" t="s">
        <v>393</v>
      </c>
      <c r="F74" s="319"/>
      <c r="G74" s="357"/>
      <c r="H74" s="320"/>
      <c r="I74" s="582">
        <v>14674842</v>
      </c>
      <c r="J74" s="578">
        <v>10670448</v>
      </c>
      <c r="K74" s="578">
        <v>10000</v>
      </c>
      <c r="L74" s="578">
        <v>3609991</v>
      </c>
      <c r="M74" s="578">
        <v>213409</v>
      </c>
      <c r="N74" s="578">
        <v>170994</v>
      </c>
      <c r="O74" s="579">
        <v>22.3796</v>
      </c>
      <c r="P74" s="579">
        <v>14.846300000000001</v>
      </c>
      <c r="Q74" s="584">
        <v>7.5332999999999997</v>
      </c>
      <c r="R74" s="582">
        <f t="shared" ref="R74:BC74" si="168">SUM(R68:R73)</f>
        <v>0</v>
      </c>
      <c r="S74" s="578">
        <f t="shared" si="168"/>
        <v>-43305</v>
      </c>
      <c r="T74" s="578">
        <f t="shared" si="168"/>
        <v>-11094</v>
      </c>
      <c r="U74" s="578">
        <f t="shared" si="168"/>
        <v>0</v>
      </c>
      <c r="V74" s="578">
        <f t="shared" si="168"/>
        <v>0</v>
      </c>
      <c r="W74" s="578">
        <f t="shared" si="168"/>
        <v>0</v>
      </c>
      <c r="X74" s="578">
        <f t="shared" si="168"/>
        <v>-54399</v>
      </c>
      <c r="Y74" s="578">
        <f t="shared" si="168"/>
        <v>0</v>
      </c>
      <c r="Z74" s="578">
        <f t="shared" si="168"/>
        <v>0</v>
      </c>
      <c r="AA74" s="578">
        <f t="shared" si="168"/>
        <v>0</v>
      </c>
      <c r="AB74" s="578">
        <f t="shared" si="168"/>
        <v>0</v>
      </c>
      <c r="AC74" s="578">
        <f t="shared" si="168"/>
        <v>-54399</v>
      </c>
      <c r="AD74" s="578">
        <f t="shared" si="168"/>
        <v>-18387</v>
      </c>
      <c r="AE74" s="578">
        <f t="shared" si="168"/>
        <v>-1088</v>
      </c>
      <c r="AF74" s="578">
        <f t="shared" si="168"/>
        <v>0</v>
      </c>
      <c r="AG74" s="578">
        <f t="shared" si="168"/>
        <v>0</v>
      </c>
      <c r="AH74" s="578">
        <f t="shared" si="168"/>
        <v>0</v>
      </c>
      <c r="AI74" s="578">
        <f t="shared" si="168"/>
        <v>-73874</v>
      </c>
      <c r="AJ74" s="579">
        <f t="shared" si="168"/>
        <v>0</v>
      </c>
      <c r="AK74" s="579">
        <f t="shared" si="168"/>
        <v>0</v>
      </c>
      <c r="AL74" s="579">
        <f t="shared" si="168"/>
        <v>-0.12</v>
      </c>
      <c r="AM74" s="579">
        <f t="shared" si="168"/>
        <v>0</v>
      </c>
      <c r="AN74" s="579">
        <f t="shared" si="168"/>
        <v>-0.03</v>
      </c>
      <c r="AO74" s="579">
        <f t="shared" si="168"/>
        <v>0</v>
      </c>
      <c r="AP74" s="579">
        <f t="shared" si="168"/>
        <v>0</v>
      </c>
      <c r="AQ74" s="579">
        <f t="shared" si="168"/>
        <v>0</v>
      </c>
      <c r="AR74" s="579">
        <f t="shared" si="168"/>
        <v>-0.12</v>
      </c>
      <c r="AS74" s="579">
        <f t="shared" si="168"/>
        <v>-0.03</v>
      </c>
      <c r="AT74" s="356">
        <f t="shared" si="168"/>
        <v>-0.15</v>
      </c>
      <c r="AU74" s="586">
        <f t="shared" si="168"/>
        <v>14600968</v>
      </c>
      <c r="AV74" s="578">
        <f t="shared" si="168"/>
        <v>10616049</v>
      </c>
      <c r="AW74" s="578">
        <f t="shared" si="168"/>
        <v>10000</v>
      </c>
      <c r="AX74" s="578">
        <f t="shared" si="168"/>
        <v>3591604</v>
      </c>
      <c r="AY74" s="578">
        <f t="shared" si="168"/>
        <v>212321</v>
      </c>
      <c r="AZ74" s="578">
        <f t="shared" si="168"/>
        <v>170994</v>
      </c>
      <c r="BA74" s="579">
        <f t="shared" si="168"/>
        <v>22.229600000000001</v>
      </c>
      <c r="BB74" s="579">
        <f t="shared" si="168"/>
        <v>14.7263</v>
      </c>
      <c r="BC74" s="356">
        <f t="shared" si="168"/>
        <v>7.5033000000000003</v>
      </c>
    </row>
    <row r="75" spans="1:55" ht="12.95" customHeight="1" x14ac:dyDescent="0.25">
      <c r="A75" s="308">
        <v>13</v>
      </c>
      <c r="B75" s="349">
        <v>5411</v>
      </c>
      <c r="C75" s="350">
        <v>650034244</v>
      </c>
      <c r="D75" s="309">
        <v>70985375</v>
      </c>
      <c r="E75" s="351" t="s">
        <v>394</v>
      </c>
      <c r="F75" s="309">
        <v>3111</v>
      </c>
      <c r="G75" s="351" t="s">
        <v>325</v>
      </c>
      <c r="H75" s="312" t="s">
        <v>277</v>
      </c>
      <c r="I75" s="477">
        <v>2404703</v>
      </c>
      <c r="J75" s="472">
        <v>1727910</v>
      </c>
      <c r="K75" s="472">
        <v>32400</v>
      </c>
      <c r="L75" s="472">
        <v>594985</v>
      </c>
      <c r="M75" s="472">
        <v>34558</v>
      </c>
      <c r="N75" s="472">
        <v>14850</v>
      </c>
      <c r="O75" s="473">
        <v>3.9318000000000004</v>
      </c>
      <c r="P75" s="474">
        <v>3.0100000000000002</v>
      </c>
      <c r="Q75" s="483">
        <v>0.92179999999999995</v>
      </c>
      <c r="R75" s="485">
        <f t="shared" ref="R75:R80" si="169">Y75*-1</f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0"/>
        <v>0</v>
      </c>
      <c r="Y75" s="475">
        <v>0</v>
      </c>
      <c r="Z75" s="475">
        <v>0</v>
      </c>
      <c r="AA75" s="475">
        <v>0</v>
      </c>
      <c r="AB75" s="475">
        <f t="shared" ref="AB75:AB80" si="170">SUM(Y75:AA75)</f>
        <v>0</v>
      </c>
      <c r="AC75" s="475">
        <f t="shared" ref="AC75:AC80" si="171">X75+AB75</f>
        <v>0</v>
      </c>
      <c r="AD75" s="70">
        <f t="shared" ref="AD75:AD80" si="172">ROUND((X75+Y75+Z75)*33.8%,0)</f>
        <v>0</v>
      </c>
      <c r="AE75" s="70">
        <f t="shared" ref="AE75:AE80" si="173">ROUND(X75*2%,0)</f>
        <v>0</v>
      </c>
      <c r="AF75" s="475">
        <v>0</v>
      </c>
      <c r="AG75" s="475">
        <v>0</v>
      </c>
      <c r="AH75" s="475">
        <f t="shared" ref="AH75:AH80" si="174">SUM(AF75:AG75)</f>
        <v>0</v>
      </c>
      <c r="AI75" s="475">
        <f t="shared" ref="AI75:AI80" si="175">AC75+AD75+AE75+AH75</f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ref="AR75:AR80" si="176">AJ75+AL75+AM75+AO75+AP75</f>
        <v>0</v>
      </c>
      <c r="AS75" s="476">
        <f t="shared" ref="AS75:AS80" si="177">AK75+AN75+AQ75</f>
        <v>0</v>
      </c>
      <c r="AT75" s="478">
        <f t="shared" ref="AT75:AT80" si="178">SUM(AR75:AS75)</f>
        <v>0</v>
      </c>
      <c r="AU75" s="484">
        <f t="shared" ref="AU75:AU80" si="179">I75+AI75</f>
        <v>2404703</v>
      </c>
      <c r="AV75" s="475">
        <f t="shared" ref="AV75:AV80" si="180">J75+X75</f>
        <v>1727910</v>
      </c>
      <c r="AW75" s="475">
        <f t="shared" ref="AW75:AW80" si="181">K75+AB75</f>
        <v>32400</v>
      </c>
      <c r="AX75" s="475">
        <f t="shared" ref="AX75:AY80" si="182">L75+AD75</f>
        <v>594985</v>
      </c>
      <c r="AY75" s="475">
        <f t="shared" si="182"/>
        <v>34558</v>
      </c>
      <c r="AZ75" s="475">
        <f t="shared" ref="AZ75:AZ80" si="183">N75+AH75</f>
        <v>14850</v>
      </c>
      <c r="BA75" s="476">
        <f t="shared" ref="BA75:BA80" si="184">O75+AT75</f>
        <v>3.9318000000000004</v>
      </c>
      <c r="BB75" s="476">
        <f t="shared" ref="BB75:BC80" si="185">P75+AR75</f>
        <v>3.0100000000000002</v>
      </c>
      <c r="BC75" s="478">
        <f t="shared" si="185"/>
        <v>0.92179999999999995</v>
      </c>
    </row>
    <row r="76" spans="1:55" ht="12.95" customHeight="1" x14ac:dyDescent="0.25">
      <c r="A76" s="308">
        <v>13</v>
      </c>
      <c r="B76" s="349">
        <v>5411</v>
      </c>
      <c r="C76" s="350">
        <v>650034244</v>
      </c>
      <c r="D76" s="309">
        <v>70985375</v>
      </c>
      <c r="E76" s="351" t="s">
        <v>394</v>
      </c>
      <c r="F76" s="309">
        <v>3117</v>
      </c>
      <c r="G76" s="351" t="s">
        <v>314</v>
      </c>
      <c r="H76" s="312" t="s">
        <v>277</v>
      </c>
      <c r="I76" s="477">
        <v>3976007</v>
      </c>
      <c r="J76" s="472">
        <v>2873695</v>
      </c>
      <c r="K76" s="472">
        <v>0</v>
      </c>
      <c r="L76" s="472">
        <v>971308</v>
      </c>
      <c r="M76" s="472">
        <v>57474</v>
      </c>
      <c r="N76" s="472">
        <v>73530</v>
      </c>
      <c r="O76" s="473">
        <v>5.1031999999999993</v>
      </c>
      <c r="P76" s="474">
        <v>3.2726999999999999</v>
      </c>
      <c r="Q76" s="483">
        <v>1.8304999999999998</v>
      </c>
      <c r="R76" s="485">
        <f t="shared" si="169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0"/>
        <v>0</v>
      </c>
      <c r="Y76" s="475">
        <v>0</v>
      </c>
      <c r="Z76" s="475">
        <v>0</v>
      </c>
      <c r="AA76" s="475">
        <v>0</v>
      </c>
      <c r="AB76" s="475">
        <f t="shared" si="170"/>
        <v>0</v>
      </c>
      <c r="AC76" s="475">
        <f t="shared" si="171"/>
        <v>0</v>
      </c>
      <c r="AD76" s="70">
        <f t="shared" si="172"/>
        <v>0</v>
      </c>
      <c r="AE76" s="70">
        <f t="shared" si="173"/>
        <v>0</v>
      </c>
      <c r="AF76" s="475">
        <v>0</v>
      </c>
      <c r="AG76" s="475">
        <v>0</v>
      </c>
      <c r="AH76" s="475">
        <f t="shared" si="174"/>
        <v>0</v>
      </c>
      <c r="AI76" s="475">
        <f t="shared" si="175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si="176"/>
        <v>0</v>
      </c>
      <c r="AS76" s="476">
        <f t="shared" si="177"/>
        <v>0</v>
      </c>
      <c r="AT76" s="478">
        <f t="shared" si="178"/>
        <v>0</v>
      </c>
      <c r="AU76" s="484">
        <f t="shared" si="179"/>
        <v>3976007</v>
      </c>
      <c r="AV76" s="475">
        <f t="shared" si="180"/>
        <v>2873695</v>
      </c>
      <c r="AW76" s="475">
        <f t="shared" si="181"/>
        <v>0</v>
      </c>
      <c r="AX76" s="475">
        <f t="shared" si="182"/>
        <v>971308</v>
      </c>
      <c r="AY76" s="475">
        <f t="shared" si="182"/>
        <v>57474</v>
      </c>
      <c r="AZ76" s="475">
        <f t="shared" si="183"/>
        <v>73530</v>
      </c>
      <c r="BA76" s="476">
        <f t="shared" si="184"/>
        <v>5.1031999999999993</v>
      </c>
      <c r="BB76" s="476">
        <f t="shared" si="185"/>
        <v>3.2726999999999999</v>
      </c>
      <c r="BC76" s="478">
        <f t="shared" si="185"/>
        <v>1.8304999999999998</v>
      </c>
    </row>
    <row r="77" spans="1:55" ht="12.95" customHeight="1" x14ac:dyDescent="0.25">
      <c r="A77" s="308">
        <v>13</v>
      </c>
      <c r="B77" s="349">
        <v>5411</v>
      </c>
      <c r="C77" s="350">
        <v>650034244</v>
      </c>
      <c r="D77" s="309">
        <v>70985375</v>
      </c>
      <c r="E77" s="351" t="s">
        <v>394</v>
      </c>
      <c r="F77" s="309">
        <v>3117</v>
      </c>
      <c r="G77" s="351" t="s">
        <v>319</v>
      </c>
      <c r="H77" s="312" t="s">
        <v>278</v>
      </c>
      <c r="I77" s="477">
        <v>0</v>
      </c>
      <c r="J77" s="472">
        <v>0</v>
      </c>
      <c r="K77" s="472">
        <v>0</v>
      </c>
      <c r="L77" s="472">
        <v>0</v>
      </c>
      <c r="M77" s="472">
        <v>0</v>
      </c>
      <c r="N77" s="472">
        <v>0</v>
      </c>
      <c r="O77" s="473">
        <v>0</v>
      </c>
      <c r="P77" s="474">
        <v>0</v>
      </c>
      <c r="Q77" s="483">
        <v>0</v>
      </c>
      <c r="R77" s="485">
        <f t="shared" si="169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ref="X77:X140" si="186">SUM(R77:W77)</f>
        <v>0</v>
      </c>
      <c r="Y77" s="475">
        <v>0</v>
      </c>
      <c r="Z77" s="475">
        <v>0</v>
      </c>
      <c r="AA77" s="475">
        <v>0</v>
      </c>
      <c r="AB77" s="475">
        <f t="shared" si="170"/>
        <v>0</v>
      </c>
      <c r="AC77" s="475">
        <f t="shared" si="171"/>
        <v>0</v>
      </c>
      <c r="AD77" s="70">
        <f t="shared" si="172"/>
        <v>0</v>
      </c>
      <c r="AE77" s="70">
        <f t="shared" si="173"/>
        <v>0</v>
      </c>
      <c r="AF77" s="475">
        <v>0</v>
      </c>
      <c r="AG77" s="475">
        <v>0</v>
      </c>
      <c r="AH77" s="475">
        <f t="shared" si="174"/>
        <v>0</v>
      </c>
      <c r="AI77" s="475">
        <f t="shared" si="175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 t="shared" si="176"/>
        <v>0</v>
      </c>
      <c r="AS77" s="476">
        <f t="shared" si="177"/>
        <v>0</v>
      </c>
      <c r="AT77" s="478">
        <f t="shared" si="178"/>
        <v>0</v>
      </c>
      <c r="AU77" s="484">
        <f t="shared" si="179"/>
        <v>0</v>
      </c>
      <c r="AV77" s="475">
        <f t="shared" si="180"/>
        <v>0</v>
      </c>
      <c r="AW77" s="475">
        <f t="shared" si="181"/>
        <v>0</v>
      </c>
      <c r="AX77" s="475">
        <f t="shared" si="182"/>
        <v>0</v>
      </c>
      <c r="AY77" s="475">
        <f t="shared" si="182"/>
        <v>0</v>
      </c>
      <c r="AZ77" s="475">
        <f t="shared" si="183"/>
        <v>0</v>
      </c>
      <c r="BA77" s="476">
        <f t="shared" si="184"/>
        <v>0</v>
      </c>
      <c r="BB77" s="476">
        <f t="shared" si="185"/>
        <v>0</v>
      </c>
      <c r="BC77" s="478">
        <f t="shared" si="185"/>
        <v>0</v>
      </c>
    </row>
    <row r="78" spans="1:55" ht="12.95" customHeight="1" x14ac:dyDescent="0.25">
      <c r="A78" s="308">
        <v>13</v>
      </c>
      <c r="B78" s="349">
        <v>5411</v>
      </c>
      <c r="C78" s="350">
        <v>650034244</v>
      </c>
      <c r="D78" s="309">
        <v>70985375</v>
      </c>
      <c r="E78" s="351" t="s">
        <v>394</v>
      </c>
      <c r="F78" s="309">
        <v>3141</v>
      </c>
      <c r="G78" s="351" t="s">
        <v>315</v>
      </c>
      <c r="H78" s="312" t="s">
        <v>278</v>
      </c>
      <c r="I78" s="477">
        <v>985566</v>
      </c>
      <c r="J78" s="472">
        <v>719842</v>
      </c>
      <c r="K78" s="472">
        <v>2700</v>
      </c>
      <c r="L78" s="472">
        <v>244219</v>
      </c>
      <c r="M78" s="472">
        <v>14397</v>
      </c>
      <c r="N78" s="472">
        <v>4408</v>
      </c>
      <c r="O78" s="473">
        <v>2.27</v>
      </c>
      <c r="P78" s="474">
        <v>0</v>
      </c>
      <c r="Q78" s="483">
        <v>2.27</v>
      </c>
      <c r="R78" s="485">
        <f t="shared" si="169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86"/>
        <v>0</v>
      </c>
      <c r="Y78" s="475">
        <v>0</v>
      </c>
      <c r="Z78" s="475">
        <v>0</v>
      </c>
      <c r="AA78" s="475">
        <v>0</v>
      </c>
      <c r="AB78" s="475">
        <f t="shared" si="170"/>
        <v>0</v>
      </c>
      <c r="AC78" s="475">
        <f t="shared" si="171"/>
        <v>0</v>
      </c>
      <c r="AD78" s="70">
        <f t="shared" si="172"/>
        <v>0</v>
      </c>
      <c r="AE78" s="70">
        <f t="shared" si="173"/>
        <v>0</v>
      </c>
      <c r="AF78" s="475">
        <v>0</v>
      </c>
      <c r="AG78" s="475">
        <v>0</v>
      </c>
      <c r="AH78" s="475">
        <f t="shared" si="174"/>
        <v>0</v>
      </c>
      <c r="AI78" s="475">
        <f t="shared" si="175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si="176"/>
        <v>0</v>
      </c>
      <c r="AS78" s="476">
        <f t="shared" si="177"/>
        <v>0</v>
      </c>
      <c r="AT78" s="478">
        <f t="shared" si="178"/>
        <v>0</v>
      </c>
      <c r="AU78" s="484">
        <f t="shared" si="179"/>
        <v>985566</v>
      </c>
      <c r="AV78" s="475">
        <f t="shared" si="180"/>
        <v>719842</v>
      </c>
      <c r="AW78" s="475">
        <f t="shared" si="181"/>
        <v>2700</v>
      </c>
      <c r="AX78" s="475">
        <f t="shared" si="182"/>
        <v>244219</v>
      </c>
      <c r="AY78" s="475">
        <f t="shared" si="182"/>
        <v>14397</v>
      </c>
      <c r="AZ78" s="475">
        <f t="shared" si="183"/>
        <v>4408</v>
      </c>
      <c r="BA78" s="476">
        <f t="shared" si="184"/>
        <v>2.27</v>
      </c>
      <c r="BB78" s="476">
        <f t="shared" si="185"/>
        <v>0</v>
      </c>
      <c r="BC78" s="478">
        <f t="shared" si="185"/>
        <v>2.27</v>
      </c>
    </row>
    <row r="79" spans="1:55" ht="12.95" customHeight="1" x14ac:dyDescent="0.25">
      <c r="A79" s="308">
        <v>13</v>
      </c>
      <c r="B79" s="349">
        <v>5411</v>
      </c>
      <c r="C79" s="350">
        <v>650034244</v>
      </c>
      <c r="D79" s="309">
        <v>70985375</v>
      </c>
      <c r="E79" s="351" t="s">
        <v>394</v>
      </c>
      <c r="F79" s="309">
        <v>3143</v>
      </c>
      <c r="G79" s="351" t="s">
        <v>626</v>
      </c>
      <c r="H79" s="312" t="s">
        <v>277</v>
      </c>
      <c r="I79" s="477">
        <v>505762</v>
      </c>
      <c r="J79" s="472">
        <v>355484</v>
      </c>
      <c r="K79" s="472">
        <v>17200</v>
      </c>
      <c r="L79" s="472">
        <v>125968</v>
      </c>
      <c r="M79" s="472">
        <v>7110</v>
      </c>
      <c r="N79" s="472">
        <v>0</v>
      </c>
      <c r="O79" s="473">
        <v>0.71729999999999994</v>
      </c>
      <c r="P79" s="474">
        <v>0.71729999999999994</v>
      </c>
      <c r="Q79" s="483">
        <v>0</v>
      </c>
      <c r="R79" s="485">
        <f t="shared" si="169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86"/>
        <v>0</v>
      </c>
      <c r="Y79" s="475">
        <v>0</v>
      </c>
      <c r="Z79" s="475">
        <v>0</v>
      </c>
      <c r="AA79" s="475">
        <v>0</v>
      </c>
      <c r="AB79" s="475">
        <f t="shared" si="170"/>
        <v>0</v>
      </c>
      <c r="AC79" s="475">
        <f t="shared" si="171"/>
        <v>0</v>
      </c>
      <c r="AD79" s="70">
        <f t="shared" si="172"/>
        <v>0</v>
      </c>
      <c r="AE79" s="70">
        <f t="shared" si="173"/>
        <v>0</v>
      </c>
      <c r="AF79" s="475">
        <v>0</v>
      </c>
      <c r="AG79" s="475">
        <v>0</v>
      </c>
      <c r="AH79" s="475">
        <f t="shared" si="174"/>
        <v>0</v>
      </c>
      <c r="AI79" s="475">
        <f t="shared" si="175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 t="shared" si="176"/>
        <v>0</v>
      </c>
      <c r="AS79" s="476">
        <f t="shared" si="177"/>
        <v>0</v>
      </c>
      <c r="AT79" s="478">
        <f t="shared" si="178"/>
        <v>0</v>
      </c>
      <c r="AU79" s="484">
        <f t="shared" si="179"/>
        <v>505762</v>
      </c>
      <c r="AV79" s="475">
        <f t="shared" si="180"/>
        <v>355484</v>
      </c>
      <c r="AW79" s="475">
        <f t="shared" si="181"/>
        <v>17200</v>
      </c>
      <c r="AX79" s="475">
        <f t="shared" si="182"/>
        <v>125968</v>
      </c>
      <c r="AY79" s="475">
        <f t="shared" si="182"/>
        <v>7110</v>
      </c>
      <c r="AZ79" s="475">
        <f t="shared" si="183"/>
        <v>0</v>
      </c>
      <c r="BA79" s="476">
        <f t="shared" si="184"/>
        <v>0.71729999999999994</v>
      </c>
      <c r="BB79" s="476">
        <f t="shared" si="185"/>
        <v>0.71729999999999994</v>
      </c>
      <c r="BC79" s="478">
        <f t="shared" si="185"/>
        <v>0</v>
      </c>
    </row>
    <row r="80" spans="1:55" ht="12.95" customHeight="1" x14ac:dyDescent="0.25">
      <c r="A80" s="308">
        <v>13</v>
      </c>
      <c r="B80" s="349">
        <v>5411</v>
      </c>
      <c r="C80" s="350">
        <v>650034244</v>
      </c>
      <c r="D80" s="309">
        <v>70985375</v>
      </c>
      <c r="E80" s="351" t="s">
        <v>394</v>
      </c>
      <c r="F80" s="309">
        <v>3143</v>
      </c>
      <c r="G80" s="351" t="s">
        <v>627</v>
      </c>
      <c r="H80" s="312" t="s">
        <v>278</v>
      </c>
      <c r="I80" s="477">
        <v>21168</v>
      </c>
      <c r="J80" s="472">
        <v>14969</v>
      </c>
      <c r="K80" s="472">
        <v>0</v>
      </c>
      <c r="L80" s="472">
        <v>5060</v>
      </c>
      <c r="M80" s="472">
        <v>299</v>
      </c>
      <c r="N80" s="472">
        <v>840</v>
      </c>
      <c r="O80" s="473">
        <v>0.06</v>
      </c>
      <c r="P80" s="474">
        <v>0</v>
      </c>
      <c r="Q80" s="483">
        <v>0.06</v>
      </c>
      <c r="R80" s="485">
        <f t="shared" si="169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86"/>
        <v>0</v>
      </c>
      <c r="Y80" s="475">
        <v>0</v>
      </c>
      <c r="Z80" s="475">
        <v>0</v>
      </c>
      <c r="AA80" s="475">
        <v>0</v>
      </c>
      <c r="AB80" s="475">
        <f t="shared" si="170"/>
        <v>0</v>
      </c>
      <c r="AC80" s="475">
        <f t="shared" si="171"/>
        <v>0</v>
      </c>
      <c r="AD80" s="70">
        <f t="shared" si="172"/>
        <v>0</v>
      </c>
      <c r="AE80" s="70">
        <f t="shared" si="173"/>
        <v>0</v>
      </c>
      <c r="AF80" s="475">
        <v>0</v>
      </c>
      <c r="AG80" s="475">
        <v>0</v>
      </c>
      <c r="AH80" s="475">
        <f t="shared" si="174"/>
        <v>0</v>
      </c>
      <c r="AI80" s="475">
        <f t="shared" si="175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si="176"/>
        <v>0</v>
      </c>
      <c r="AS80" s="476">
        <f t="shared" si="177"/>
        <v>0</v>
      </c>
      <c r="AT80" s="478">
        <f t="shared" si="178"/>
        <v>0</v>
      </c>
      <c r="AU80" s="484">
        <f t="shared" si="179"/>
        <v>21168</v>
      </c>
      <c r="AV80" s="475">
        <f t="shared" si="180"/>
        <v>14969</v>
      </c>
      <c r="AW80" s="475">
        <f t="shared" si="181"/>
        <v>0</v>
      </c>
      <c r="AX80" s="475">
        <f t="shared" si="182"/>
        <v>5060</v>
      </c>
      <c r="AY80" s="475">
        <f t="shared" si="182"/>
        <v>299</v>
      </c>
      <c r="AZ80" s="475">
        <f t="shared" si="183"/>
        <v>840</v>
      </c>
      <c r="BA80" s="476">
        <f t="shared" si="184"/>
        <v>0.06</v>
      </c>
      <c r="BB80" s="476">
        <f t="shared" si="185"/>
        <v>0</v>
      </c>
      <c r="BC80" s="478">
        <f t="shared" si="185"/>
        <v>0.06</v>
      </c>
    </row>
    <row r="81" spans="1:55" ht="12.95" customHeight="1" x14ac:dyDescent="0.25">
      <c r="A81" s="352">
        <v>13</v>
      </c>
      <c r="B81" s="353">
        <v>5411</v>
      </c>
      <c r="C81" s="354">
        <v>650034244</v>
      </c>
      <c r="D81" s="353">
        <v>70985375</v>
      </c>
      <c r="E81" s="355" t="s">
        <v>395</v>
      </c>
      <c r="F81" s="319"/>
      <c r="G81" s="357"/>
      <c r="H81" s="320"/>
      <c r="I81" s="582">
        <v>7893206</v>
      </c>
      <c r="J81" s="578">
        <v>5691900</v>
      </c>
      <c r="K81" s="578">
        <v>52300</v>
      </c>
      <c r="L81" s="578">
        <v>1941540</v>
      </c>
      <c r="M81" s="578">
        <v>113838</v>
      </c>
      <c r="N81" s="578">
        <v>93628</v>
      </c>
      <c r="O81" s="579">
        <v>12.0823</v>
      </c>
      <c r="P81" s="579">
        <v>7</v>
      </c>
      <c r="Q81" s="584">
        <v>5.0822999999999992</v>
      </c>
      <c r="R81" s="582">
        <f t="shared" ref="R81:BC81" si="187">SUM(R75:R80)</f>
        <v>0</v>
      </c>
      <c r="S81" s="578">
        <f t="shared" si="187"/>
        <v>0</v>
      </c>
      <c r="T81" s="578">
        <f t="shared" si="187"/>
        <v>0</v>
      </c>
      <c r="U81" s="578">
        <f t="shared" si="187"/>
        <v>0</v>
      </c>
      <c r="V81" s="578">
        <f t="shared" si="187"/>
        <v>0</v>
      </c>
      <c r="W81" s="578">
        <f t="shared" si="187"/>
        <v>0</v>
      </c>
      <c r="X81" s="578">
        <f t="shared" si="187"/>
        <v>0</v>
      </c>
      <c r="Y81" s="578">
        <f t="shared" si="187"/>
        <v>0</v>
      </c>
      <c r="Z81" s="578">
        <f t="shared" si="187"/>
        <v>0</v>
      </c>
      <c r="AA81" s="578">
        <f t="shared" si="187"/>
        <v>0</v>
      </c>
      <c r="AB81" s="578">
        <f t="shared" si="187"/>
        <v>0</v>
      </c>
      <c r="AC81" s="578">
        <f t="shared" si="187"/>
        <v>0</v>
      </c>
      <c r="AD81" s="578">
        <f t="shared" si="187"/>
        <v>0</v>
      </c>
      <c r="AE81" s="578">
        <f t="shared" si="187"/>
        <v>0</v>
      </c>
      <c r="AF81" s="578">
        <f t="shared" si="187"/>
        <v>0</v>
      </c>
      <c r="AG81" s="578">
        <f t="shared" si="187"/>
        <v>0</v>
      </c>
      <c r="AH81" s="578">
        <f t="shared" si="187"/>
        <v>0</v>
      </c>
      <c r="AI81" s="578">
        <f t="shared" si="187"/>
        <v>0</v>
      </c>
      <c r="AJ81" s="579">
        <f t="shared" si="187"/>
        <v>0</v>
      </c>
      <c r="AK81" s="579">
        <f t="shared" si="187"/>
        <v>0</v>
      </c>
      <c r="AL81" s="579">
        <f t="shared" si="187"/>
        <v>0</v>
      </c>
      <c r="AM81" s="579">
        <f t="shared" si="187"/>
        <v>0</v>
      </c>
      <c r="AN81" s="579">
        <f t="shared" si="187"/>
        <v>0</v>
      </c>
      <c r="AO81" s="579">
        <f t="shared" si="187"/>
        <v>0</v>
      </c>
      <c r="AP81" s="579">
        <f t="shared" si="187"/>
        <v>0</v>
      </c>
      <c r="AQ81" s="579">
        <f t="shared" si="187"/>
        <v>0</v>
      </c>
      <c r="AR81" s="579">
        <f t="shared" si="187"/>
        <v>0</v>
      </c>
      <c r="AS81" s="579">
        <f t="shared" si="187"/>
        <v>0</v>
      </c>
      <c r="AT81" s="356">
        <f t="shared" si="187"/>
        <v>0</v>
      </c>
      <c r="AU81" s="586">
        <f t="shared" si="187"/>
        <v>7893206</v>
      </c>
      <c r="AV81" s="578">
        <f t="shared" si="187"/>
        <v>5691900</v>
      </c>
      <c r="AW81" s="578">
        <f t="shared" si="187"/>
        <v>52300</v>
      </c>
      <c r="AX81" s="578">
        <f t="shared" si="187"/>
        <v>1941540</v>
      </c>
      <c r="AY81" s="578">
        <f t="shared" si="187"/>
        <v>113838</v>
      </c>
      <c r="AZ81" s="578">
        <f t="shared" si="187"/>
        <v>93628</v>
      </c>
      <c r="BA81" s="579">
        <f t="shared" si="187"/>
        <v>12.0823</v>
      </c>
      <c r="BB81" s="579">
        <f t="shared" si="187"/>
        <v>7</v>
      </c>
      <c r="BC81" s="356">
        <f t="shared" si="187"/>
        <v>5.0822999999999992</v>
      </c>
    </row>
    <row r="82" spans="1:55" ht="12.95" customHeight="1" x14ac:dyDescent="0.25">
      <c r="A82" s="308">
        <v>14</v>
      </c>
      <c r="B82" s="349">
        <v>5412</v>
      </c>
      <c r="C82" s="350">
        <v>600099130</v>
      </c>
      <c r="D82" s="309">
        <v>70698066</v>
      </c>
      <c r="E82" s="351" t="s">
        <v>396</v>
      </c>
      <c r="F82" s="309">
        <v>3111</v>
      </c>
      <c r="G82" s="351" t="s">
        <v>325</v>
      </c>
      <c r="H82" s="312" t="s">
        <v>277</v>
      </c>
      <c r="I82" s="477">
        <v>1654856</v>
      </c>
      <c r="J82" s="472">
        <v>1205645</v>
      </c>
      <c r="K82" s="472">
        <v>6420</v>
      </c>
      <c r="L82" s="472">
        <v>409678</v>
      </c>
      <c r="M82" s="472">
        <v>24113</v>
      </c>
      <c r="N82" s="472">
        <v>9000</v>
      </c>
      <c r="O82" s="473">
        <v>2.4509000000000003</v>
      </c>
      <c r="P82" s="474">
        <v>1.99</v>
      </c>
      <c r="Q82" s="483">
        <v>0.46089999999999998</v>
      </c>
      <c r="R82" s="485">
        <f t="shared" ref="R82:R87" si="188">Y82*-1</f>
        <v>0</v>
      </c>
      <c r="S82" s="475">
        <v>0</v>
      </c>
      <c r="T82" s="475">
        <v>86195</v>
      </c>
      <c r="U82" s="475">
        <v>0</v>
      </c>
      <c r="V82" s="475">
        <v>0</v>
      </c>
      <c r="W82" s="475">
        <v>0</v>
      </c>
      <c r="X82" s="475">
        <f t="shared" si="186"/>
        <v>86195</v>
      </c>
      <c r="Y82" s="475">
        <v>0</v>
      </c>
      <c r="Z82" s="475">
        <v>0</v>
      </c>
      <c r="AA82" s="475">
        <v>0</v>
      </c>
      <c r="AB82" s="475">
        <f t="shared" ref="AB82:AB87" si="189">SUM(Y82:AA82)</f>
        <v>0</v>
      </c>
      <c r="AC82" s="475">
        <f t="shared" ref="AC82:AC87" si="190">X82+AB82</f>
        <v>86195</v>
      </c>
      <c r="AD82" s="70">
        <f t="shared" ref="AD82:AD87" si="191">ROUND((X82+Y82+Z82)*33.8%,0)</f>
        <v>29134</v>
      </c>
      <c r="AE82" s="70">
        <f t="shared" ref="AE82:AE87" si="192">ROUND(X82*2%,0)</f>
        <v>1724</v>
      </c>
      <c r="AF82" s="475">
        <v>0</v>
      </c>
      <c r="AG82" s="475">
        <v>0</v>
      </c>
      <c r="AH82" s="475">
        <f t="shared" ref="AH82:AH87" si="193">SUM(AF82:AG82)</f>
        <v>0</v>
      </c>
      <c r="AI82" s="475">
        <f t="shared" ref="AI82:AI87" si="194">AC82+AD82+AE82+AH82</f>
        <v>117053</v>
      </c>
      <c r="AJ82" s="476">
        <v>0</v>
      </c>
      <c r="AK82" s="476">
        <v>0</v>
      </c>
      <c r="AL82" s="476">
        <v>0</v>
      </c>
      <c r="AM82" s="476">
        <v>0.16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ref="AR82:AR87" si="195">AJ82+AL82+AM82+AO82+AP82</f>
        <v>0.16</v>
      </c>
      <c r="AS82" s="476">
        <f t="shared" ref="AS82:AS87" si="196">AK82+AN82+AQ82</f>
        <v>0</v>
      </c>
      <c r="AT82" s="478">
        <f t="shared" ref="AT82:AT87" si="197">SUM(AR82:AS82)</f>
        <v>0.16</v>
      </c>
      <c r="AU82" s="484">
        <f t="shared" ref="AU82:AU87" si="198">I82+AI82</f>
        <v>1771909</v>
      </c>
      <c r="AV82" s="475">
        <f t="shared" ref="AV82:AV87" si="199">J82+X82</f>
        <v>1291840</v>
      </c>
      <c r="AW82" s="475">
        <f t="shared" ref="AW82:AW87" si="200">K82+AB82</f>
        <v>6420</v>
      </c>
      <c r="AX82" s="475">
        <f t="shared" ref="AX82:AY87" si="201">L82+AD82</f>
        <v>438812</v>
      </c>
      <c r="AY82" s="475">
        <f t="shared" si="201"/>
        <v>25837</v>
      </c>
      <c r="AZ82" s="475">
        <f t="shared" ref="AZ82:AZ87" si="202">N82+AH82</f>
        <v>9000</v>
      </c>
      <c r="BA82" s="476">
        <f t="shared" ref="BA82:BA87" si="203">O82+AT82</f>
        <v>2.6109000000000004</v>
      </c>
      <c r="BB82" s="476">
        <f t="shared" ref="BB82:BC87" si="204">P82+AR82</f>
        <v>2.15</v>
      </c>
      <c r="BC82" s="478">
        <f t="shared" si="204"/>
        <v>0.46089999999999998</v>
      </c>
    </row>
    <row r="83" spans="1:55" ht="12.95" customHeight="1" x14ac:dyDescent="0.25">
      <c r="A83" s="308">
        <v>14</v>
      </c>
      <c r="B83" s="349">
        <v>5412</v>
      </c>
      <c r="C83" s="350">
        <v>600099130</v>
      </c>
      <c r="D83" s="309">
        <v>70698066</v>
      </c>
      <c r="E83" s="351" t="s">
        <v>396</v>
      </c>
      <c r="F83" s="309">
        <v>3117</v>
      </c>
      <c r="G83" s="351" t="s">
        <v>314</v>
      </c>
      <c r="H83" s="312" t="s">
        <v>277</v>
      </c>
      <c r="I83" s="477">
        <v>2517499</v>
      </c>
      <c r="J83" s="472">
        <v>1818570</v>
      </c>
      <c r="K83" s="472">
        <v>0</v>
      </c>
      <c r="L83" s="472">
        <v>614677</v>
      </c>
      <c r="M83" s="472">
        <v>36372</v>
      </c>
      <c r="N83" s="472">
        <v>47880</v>
      </c>
      <c r="O83" s="473">
        <v>3.4731000000000001</v>
      </c>
      <c r="P83" s="474">
        <v>2.2726999999999999</v>
      </c>
      <c r="Q83" s="483">
        <v>1.2004000000000001</v>
      </c>
      <c r="R83" s="485">
        <f t="shared" si="188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86"/>
        <v>0</v>
      </c>
      <c r="Y83" s="475">
        <v>0</v>
      </c>
      <c r="Z83" s="475">
        <v>0</v>
      </c>
      <c r="AA83" s="475">
        <v>0</v>
      </c>
      <c r="AB83" s="475">
        <f t="shared" si="189"/>
        <v>0</v>
      </c>
      <c r="AC83" s="475">
        <f t="shared" si="190"/>
        <v>0</v>
      </c>
      <c r="AD83" s="70">
        <f t="shared" si="191"/>
        <v>0</v>
      </c>
      <c r="AE83" s="70">
        <f t="shared" si="192"/>
        <v>0</v>
      </c>
      <c r="AF83" s="475">
        <v>0</v>
      </c>
      <c r="AG83" s="475">
        <v>0</v>
      </c>
      <c r="AH83" s="475">
        <f t="shared" si="193"/>
        <v>0</v>
      </c>
      <c r="AI83" s="475">
        <f t="shared" si="194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si="195"/>
        <v>0</v>
      </c>
      <c r="AS83" s="476">
        <f t="shared" si="196"/>
        <v>0</v>
      </c>
      <c r="AT83" s="478">
        <f t="shared" si="197"/>
        <v>0</v>
      </c>
      <c r="AU83" s="484">
        <f t="shared" si="198"/>
        <v>2517499</v>
      </c>
      <c r="AV83" s="475">
        <f t="shared" si="199"/>
        <v>1818570</v>
      </c>
      <c r="AW83" s="475">
        <f t="shared" si="200"/>
        <v>0</v>
      </c>
      <c r="AX83" s="475">
        <f t="shared" si="201"/>
        <v>614677</v>
      </c>
      <c r="AY83" s="475">
        <f t="shared" si="201"/>
        <v>36372</v>
      </c>
      <c r="AZ83" s="475">
        <f t="shared" si="202"/>
        <v>47880</v>
      </c>
      <c r="BA83" s="476">
        <f t="shared" si="203"/>
        <v>3.4731000000000001</v>
      </c>
      <c r="BB83" s="476">
        <f t="shared" si="204"/>
        <v>2.2726999999999999</v>
      </c>
      <c r="BC83" s="478">
        <f t="shared" si="204"/>
        <v>1.2004000000000001</v>
      </c>
    </row>
    <row r="84" spans="1:55" ht="12.95" customHeight="1" x14ac:dyDescent="0.25">
      <c r="A84" s="308">
        <v>14</v>
      </c>
      <c r="B84" s="349">
        <v>5412</v>
      </c>
      <c r="C84" s="350">
        <v>600099130</v>
      </c>
      <c r="D84" s="309">
        <v>70698066</v>
      </c>
      <c r="E84" s="351" t="s">
        <v>396</v>
      </c>
      <c r="F84" s="309">
        <v>3117</v>
      </c>
      <c r="G84" s="351" t="s">
        <v>319</v>
      </c>
      <c r="H84" s="312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188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86"/>
        <v>0</v>
      </c>
      <c r="Y84" s="475">
        <v>0</v>
      </c>
      <c r="Z84" s="475">
        <v>0</v>
      </c>
      <c r="AA84" s="475">
        <v>0</v>
      </c>
      <c r="AB84" s="475">
        <f t="shared" si="189"/>
        <v>0</v>
      </c>
      <c r="AC84" s="475">
        <f t="shared" si="190"/>
        <v>0</v>
      </c>
      <c r="AD84" s="70">
        <f t="shared" si="191"/>
        <v>0</v>
      </c>
      <c r="AE84" s="70">
        <f t="shared" si="192"/>
        <v>0</v>
      </c>
      <c r="AF84" s="475">
        <v>0</v>
      </c>
      <c r="AG84" s="475">
        <v>0</v>
      </c>
      <c r="AH84" s="475">
        <f t="shared" si="193"/>
        <v>0</v>
      </c>
      <c r="AI84" s="475">
        <f t="shared" si="194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 t="shared" si="195"/>
        <v>0</v>
      </c>
      <c r="AS84" s="476">
        <f t="shared" si="196"/>
        <v>0</v>
      </c>
      <c r="AT84" s="478">
        <f t="shared" si="197"/>
        <v>0</v>
      </c>
      <c r="AU84" s="484">
        <f t="shared" si="198"/>
        <v>0</v>
      </c>
      <c r="AV84" s="475">
        <f t="shared" si="199"/>
        <v>0</v>
      </c>
      <c r="AW84" s="475">
        <f t="shared" si="200"/>
        <v>0</v>
      </c>
      <c r="AX84" s="475">
        <f t="shared" si="201"/>
        <v>0</v>
      </c>
      <c r="AY84" s="475">
        <f t="shared" si="201"/>
        <v>0</v>
      </c>
      <c r="AZ84" s="475">
        <f t="shared" si="202"/>
        <v>0</v>
      </c>
      <c r="BA84" s="476">
        <f t="shared" si="203"/>
        <v>0</v>
      </c>
      <c r="BB84" s="476">
        <f t="shared" si="204"/>
        <v>0</v>
      </c>
      <c r="BC84" s="478">
        <f t="shared" si="204"/>
        <v>0</v>
      </c>
    </row>
    <row r="85" spans="1:55" ht="12.95" customHeight="1" x14ac:dyDescent="0.25">
      <c r="A85" s="308">
        <v>14</v>
      </c>
      <c r="B85" s="349">
        <v>5412</v>
      </c>
      <c r="C85" s="350">
        <v>600099130</v>
      </c>
      <c r="D85" s="309">
        <v>70698066</v>
      </c>
      <c r="E85" s="351" t="s">
        <v>396</v>
      </c>
      <c r="F85" s="309">
        <v>3141</v>
      </c>
      <c r="G85" s="351" t="s">
        <v>315</v>
      </c>
      <c r="H85" s="312" t="s">
        <v>278</v>
      </c>
      <c r="I85" s="477">
        <v>677934</v>
      </c>
      <c r="J85" s="472">
        <v>497208</v>
      </c>
      <c r="K85" s="472">
        <v>0</v>
      </c>
      <c r="L85" s="472">
        <v>168056</v>
      </c>
      <c r="M85" s="472">
        <v>9944</v>
      </c>
      <c r="N85" s="472">
        <v>2726</v>
      </c>
      <c r="O85" s="473">
        <v>1.57</v>
      </c>
      <c r="P85" s="474">
        <v>0</v>
      </c>
      <c r="Q85" s="483">
        <v>1.57</v>
      </c>
      <c r="R85" s="485">
        <f t="shared" si="188"/>
        <v>0</v>
      </c>
      <c r="S85" s="475">
        <v>0</v>
      </c>
      <c r="T85" s="475">
        <v>-3437</v>
      </c>
      <c r="U85" s="475">
        <v>0</v>
      </c>
      <c r="V85" s="475">
        <v>0</v>
      </c>
      <c r="W85" s="475">
        <v>0</v>
      </c>
      <c r="X85" s="475">
        <f t="shared" si="186"/>
        <v>-3437</v>
      </c>
      <c r="Y85" s="475">
        <v>0</v>
      </c>
      <c r="Z85" s="475">
        <v>0</v>
      </c>
      <c r="AA85" s="475">
        <v>0</v>
      </c>
      <c r="AB85" s="475">
        <f t="shared" si="189"/>
        <v>0</v>
      </c>
      <c r="AC85" s="475">
        <f t="shared" si="190"/>
        <v>-3437</v>
      </c>
      <c r="AD85" s="70">
        <f t="shared" si="191"/>
        <v>-1162</v>
      </c>
      <c r="AE85" s="70">
        <f t="shared" si="192"/>
        <v>-69</v>
      </c>
      <c r="AF85" s="475">
        <v>0</v>
      </c>
      <c r="AG85" s="475">
        <v>0</v>
      </c>
      <c r="AH85" s="475">
        <f t="shared" si="193"/>
        <v>0</v>
      </c>
      <c r="AI85" s="475">
        <f t="shared" si="194"/>
        <v>-4668</v>
      </c>
      <c r="AJ85" s="476">
        <v>0</v>
      </c>
      <c r="AK85" s="476">
        <v>0</v>
      </c>
      <c r="AL85" s="476">
        <v>0</v>
      </c>
      <c r="AM85" s="476">
        <v>0</v>
      </c>
      <c r="AN85" s="476">
        <v>-0.01</v>
      </c>
      <c r="AO85" s="476">
        <v>0</v>
      </c>
      <c r="AP85" s="476">
        <v>0</v>
      </c>
      <c r="AQ85" s="476">
        <v>0</v>
      </c>
      <c r="AR85" s="476">
        <f t="shared" si="195"/>
        <v>0</v>
      </c>
      <c r="AS85" s="476">
        <f t="shared" si="196"/>
        <v>-0.01</v>
      </c>
      <c r="AT85" s="478">
        <f t="shared" si="197"/>
        <v>-0.01</v>
      </c>
      <c r="AU85" s="484">
        <f t="shared" si="198"/>
        <v>673266</v>
      </c>
      <c r="AV85" s="475">
        <f t="shared" si="199"/>
        <v>493771</v>
      </c>
      <c r="AW85" s="475">
        <f t="shared" si="200"/>
        <v>0</v>
      </c>
      <c r="AX85" s="475">
        <f t="shared" si="201"/>
        <v>166894</v>
      </c>
      <c r="AY85" s="475">
        <f t="shared" si="201"/>
        <v>9875</v>
      </c>
      <c r="AZ85" s="475">
        <f t="shared" si="202"/>
        <v>2726</v>
      </c>
      <c r="BA85" s="476">
        <f t="shared" si="203"/>
        <v>1.56</v>
      </c>
      <c r="BB85" s="476">
        <f t="shared" si="204"/>
        <v>0</v>
      </c>
      <c r="BC85" s="478">
        <f t="shared" si="204"/>
        <v>1.56</v>
      </c>
    </row>
    <row r="86" spans="1:55" ht="12.95" customHeight="1" x14ac:dyDescent="0.25">
      <c r="A86" s="308">
        <v>14</v>
      </c>
      <c r="B86" s="349">
        <v>5412</v>
      </c>
      <c r="C86" s="350">
        <v>600099130</v>
      </c>
      <c r="D86" s="309">
        <v>70698066</v>
      </c>
      <c r="E86" s="351" t="s">
        <v>396</v>
      </c>
      <c r="F86" s="309">
        <v>3143</v>
      </c>
      <c r="G86" s="351" t="s">
        <v>626</v>
      </c>
      <c r="H86" s="312" t="s">
        <v>277</v>
      </c>
      <c r="I86" s="477">
        <v>296169</v>
      </c>
      <c r="J86" s="472">
        <v>218092</v>
      </c>
      <c r="K86" s="472">
        <v>0</v>
      </c>
      <c r="L86" s="472">
        <v>73715</v>
      </c>
      <c r="M86" s="472">
        <v>4362</v>
      </c>
      <c r="N86" s="472">
        <v>0</v>
      </c>
      <c r="O86" s="473">
        <v>0.5</v>
      </c>
      <c r="P86" s="474">
        <v>0.5</v>
      </c>
      <c r="Q86" s="483">
        <v>0</v>
      </c>
      <c r="R86" s="485">
        <f t="shared" si="188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86"/>
        <v>0</v>
      </c>
      <c r="Y86" s="475">
        <v>0</v>
      </c>
      <c r="Z86" s="475">
        <v>0</v>
      </c>
      <c r="AA86" s="475">
        <v>0</v>
      </c>
      <c r="AB86" s="475">
        <f t="shared" si="189"/>
        <v>0</v>
      </c>
      <c r="AC86" s="475">
        <f t="shared" si="190"/>
        <v>0</v>
      </c>
      <c r="AD86" s="70">
        <f t="shared" si="191"/>
        <v>0</v>
      </c>
      <c r="AE86" s="70">
        <f t="shared" si="192"/>
        <v>0</v>
      </c>
      <c r="AF86" s="475">
        <v>0</v>
      </c>
      <c r="AG86" s="475">
        <v>0</v>
      </c>
      <c r="AH86" s="475">
        <f t="shared" si="193"/>
        <v>0</v>
      </c>
      <c r="AI86" s="475">
        <f t="shared" si="194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476">
        <f t="shared" si="195"/>
        <v>0</v>
      </c>
      <c r="AS86" s="476">
        <f t="shared" si="196"/>
        <v>0</v>
      </c>
      <c r="AT86" s="478">
        <f t="shared" si="197"/>
        <v>0</v>
      </c>
      <c r="AU86" s="484">
        <f t="shared" si="198"/>
        <v>296169</v>
      </c>
      <c r="AV86" s="475">
        <f t="shared" si="199"/>
        <v>218092</v>
      </c>
      <c r="AW86" s="475">
        <f t="shared" si="200"/>
        <v>0</v>
      </c>
      <c r="AX86" s="475">
        <f t="shared" si="201"/>
        <v>73715</v>
      </c>
      <c r="AY86" s="475">
        <f t="shared" si="201"/>
        <v>4362</v>
      </c>
      <c r="AZ86" s="475">
        <f t="shared" si="202"/>
        <v>0</v>
      </c>
      <c r="BA86" s="476">
        <f t="shared" si="203"/>
        <v>0.5</v>
      </c>
      <c r="BB86" s="476">
        <f t="shared" si="204"/>
        <v>0.5</v>
      </c>
      <c r="BC86" s="478">
        <f t="shared" si="204"/>
        <v>0</v>
      </c>
    </row>
    <row r="87" spans="1:55" ht="12.95" customHeight="1" x14ac:dyDescent="0.25">
      <c r="A87" s="308">
        <v>14</v>
      </c>
      <c r="B87" s="349">
        <v>5412</v>
      </c>
      <c r="C87" s="350">
        <v>600099130</v>
      </c>
      <c r="D87" s="309">
        <v>70698066</v>
      </c>
      <c r="E87" s="351" t="s">
        <v>396</v>
      </c>
      <c r="F87" s="309">
        <v>3143</v>
      </c>
      <c r="G87" s="351" t="s">
        <v>627</v>
      </c>
      <c r="H87" s="312" t="s">
        <v>278</v>
      </c>
      <c r="I87" s="477">
        <v>7560</v>
      </c>
      <c r="J87" s="472">
        <v>5346</v>
      </c>
      <c r="K87" s="472">
        <v>0</v>
      </c>
      <c r="L87" s="472">
        <v>1807</v>
      </c>
      <c r="M87" s="472">
        <v>107</v>
      </c>
      <c r="N87" s="472">
        <v>300</v>
      </c>
      <c r="O87" s="473">
        <v>0.02</v>
      </c>
      <c r="P87" s="474">
        <v>0</v>
      </c>
      <c r="Q87" s="483">
        <v>0.02</v>
      </c>
      <c r="R87" s="485">
        <f t="shared" si="188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86"/>
        <v>0</v>
      </c>
      <c r="Y87" s="475">
        <v>0</v>
      </c>
      <c r="Z87" s="475">
        <v>0</v>
      </c>
      <c r="AA87" s="475">
        <v>0</v>
      </c>
      <c r="AB87" s="475">
        <f t="shared" si="189"/>
        <v>0</v>
      </c>
      <c r="AC87" s="475">
        <f t="shared" si="190"/>
        <v>0</v>
      </c>
      <c r="AD87" s="70">
        <f t="shared" si="191"/>
        <v>0</v>
      </c>
      <c r="AE87" s="70">
        <f t="shared" si="192"/>
        <v>0</v>
      </c>
      <c r="AF87" s="475">
        <v>0</v>
      </c>
      <c r="AG87" s="475">
        <v>0</v>
      </c>
      <c r="AH87" s="475">
        <f t="shared" si="193"/>
        <v>0</v>
      </c>
      <c r="AI87" s="475">
        <f t="shared" si="194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si="195"/>
        <v>0</v>
      </c>
      <c r="AS87" s="476">
        <f t="shared" si="196"/>
        <v>0</v>
      </c>
      <c r="AT87" s="478">
        <f t="shared" si="197"/>
        <v>0</v>
      </c>
      <c r="AU87" s="484">
        <f t="shared" si="198"/>
        <v>7560</v>
      </c>
      <c r="AV87" s="475">
        <f t="shared" si="199"/>
        <v>5346</v>
      </c>
      <c r="AW87" s="475">
        <f t="shared" si="200"/>
        <v>0</v>
      </c>
      <c r="AX87" s="475">
        <f t="shared" si="201"/>
        <v>1807</v>
      </c>
      <c r="AY87" s="475">
        <f t="shared" si="201"/>
        <v>107</v>
      </c>
      <c r="AZ87" s="475">
        <f t="shared" si="202"/>
        <v>300</v>
      </c>
      <c r="BA87" s="476">
        <f t="shared" si="203"/>
        <v>0.02</v>
      </c>
      <c r="BB87" s="476">
        <f t="shared" si="204"/>
        <v>0</v>
      </c>
      <c r="BC87" s="478">
        <f t="shared" si="204"/>
        <v>0.02</v>
      </c>
    </row>
    <row r="88" spans="1:55" ht="12.95" customHeight="1" x14ac:dyDescent="0.25">
      <c r="A88" s="352">
        <v>14</v>
      </c>
      <c r="B88" s="353">
        <v>5412</v>
      </c>
      <c r="C88" s="354">
        <v>600099130</v>
      </c>
      <c r="D88" s="353">
        <v>70698066</v>
      </c>
      <c r="E88" s="355" t="s">
        <v>397</v>
      </c>
      <c r="F88" s="319"/>
      <c r="G88" s="357"/>
      <c r="H88" s="320"/>
      <c r="I88" s="582">
        <v>5154018</v>
      </c>
      <c r="J88" s="578">
        <v>3744861</v>
      </c>
      <c r="K88" s="578">
        <v>6420</v>
      </c>
      <c r="L88" s="578">
        <v>1267933</v>
      </c>
      <c r="M88" s="578">
        <v>74898</v>
      </c>
      <c r="N88" s="578">
        <v>59906</v>
      </c>
      <c r="O88" s="579">
        <v>8.0140000000000011</v>
      </c>
      <c r="P88" s="579">
        <v>4.7626999999999997</v>
      </c>
      <c r="Q88" s="584">
        <v>3.2513000000000001</v>
      </c>
      <c r="R88" s="582">
        <f t="shared" ref="R88:BC88" si="205">SUM(R82:R87)</f>
        <v>0</v>
      </c>
      <c r="S88" s="578">
        <f t="shared" si="205"/>
        <v>0</v>
      </c>
      <c r="T88" s="578">
        <f t="shared" si="205"/>
        <v>82758</v>
      </c>
      <c r="U88" s="578">
        <f t="shared" si="205"/>
        <v>0</v>
      </c>
      <c r="V88" s="578">
        <f t="shared" si="205"/>
        <v>0</v>
      </c>
      <c r="W88" s="578">
        <f t="shared" si="205"/>
        <v>0</v>
      </c>
      <c r="X88" s="578">
        <f t="shared" si="205"/>
        <v>82758</v>
      </c>
      <c r="Y88" s="578">
        <f t="shared" si="205"/>
        <v>0</v>
      </c>
      <c r="Z88" s="578">
        <f t="shared" si="205"/>
        <v>0</v>
      </c>
      <c r="AA88" s="578">
        <f t="shared" si="205"/>
        <v>0</v>
      </c>
      <c r="AB88" s="578">
        <f t="shared" si="205"/>
        <v>0</v>
      </c>
      <c r="AC88" s="578">
        <f t="shared" si="205"/>
        <v>82758</v>
      </c>
      <c r="AD88" s="578">
        <f t="shared" si="205"/>
        <v>27972</v>
      </c>
      <c r="AE88" s="578">
        <f t="shared" si="205"/>
        <v>1655</v>
      </c>
      <c r="AF88" s="578">
        <f t="shared" si="205"/>
        <v>0</v>
      </c>
      <c r="AG88" s="578">
        <f t="shared" si="205"/>
        <v>0</v>
      </c>
      <c r="AH88" s="578">
        <f t="shared" si="205"/>
        <v>0</v>
      </c>
      <c r="AI88" s="578">
        <f t="shared" si="205"/>
        <v>112385</v>
      </c>
      <c r="AJ88" s="579">
        <f t="shared" si="205"/>
        <v>0</v>
      </c>
      <c r="AK88" s="579">
        <f t="shared" si="205"/>
        <v>0</v>
      </c>
      <c r="AL88" s="579">
        <f t="shared" si="205"/>
        <v>0</v>
      </c>
      <c r="AM88" s="579">
        <f t="shared" si="205"/>
        <v>0.16</v>
      </c>
      <c r="AN88" s="579">
        <f t="shared" si="205"/>
        <v>-0.01</v>
      </c>
      <c r="AO88" s="579">
        <f t="shared" si="205"/>
        <v>0</v>
      </c>
      <c r="AP88" s="579">
        <f t="shared" si="205"/>
        <v>0</v>
      </c>
      <c r="AQ88" s="579">
        <f t="shared" si="205"/>
        <v>0</v>
      </c>
      <c r="AR88" s="579">
        <f t="shared" si="205"/>
        <v>0.16</v>
      </c>
      <c r="AS88" s="579">
        <f t="shared" si="205"/>
        <v>-0.01</v>
      </c>
      <c r="AT88" s="356">
        <f t="shared" si="205"/>
        <v>0.15</v>
      </c>
      <c r="AU88" s="586">
        <f t="shared" si="205"/>
        <v>5266403</v>
      </c>
      <c r="AV88" s="578">
        <f t="shared" si="205"/>
        <v>3827619</v>
      </c>
      <c r="AW88" s="578">
        <f t="shared" si="205"/>
        <v>6420</v>
      </c>
      <c r="AX88" s="578">
        <f t="shared" si="205"/>
        <v>1295905</v>
      </c>
      <c r="AY88" s="578">
        <f t="shared" si="205"/>
        <v>76553</v>
      </c>
      <c r="AZ88" s="578">
        <f t="shared" si="205"/>
        <v>59906</v>
      </c>
      <c r="BA88" s="579">
        <f t="shared" si="205"/>
        <v>8.1639999999999997</v>
      </c>
      <c r="BB88" s="579">
        <f t="shared" si="205"/>
        <v>4.9226999999999999</v>
      </c>
      <c r="BC88" s="356">
        <f t="shared" si="205"/>
        <v>3.2413000000000003</v>
      </c>
    </row>
    <row r="89" spans="1:55" ht="12.95" customHeight="1" x14ac:dyDescent="0.25">
      <c r="A89" s="308">
        <v>15</v>
      </c>
      <c r="B89" s="349">
        <v>5418</v>
      </c>
      <c r="C89" s="350">
        <v>600098508</v>
      </c>
      <c r="D89" s="309">
        <v>70156573</v>
      </c>
      <c r="E89" s="351" t="s">
        <v>398</v>
      </c>
      <c r="F89" s="309">
        <v>3111</v>
      </c>
      <c r="G89" s="351" t="s">
        <v>325</v>
      </c>
      <c r="H89" s="312" t="s">
        <v>277</v>
      </c>
      <c r="I89" s="477">
        <v>4599912</v>
      </c>
      <c r="J89" s="472">
        <v>3367056</v>
      </c>
      <c r="K89" s="472">
        <v>0</v>
      </c>
      <c r="L89" s="472">
        <v>1138065</v>
      </c>
      <c r="M89" s="472">
        <v>67341</v>
      </c>
      <c r="N89" s="472">
        <v>27450</v>
      </c>
      <c r="O89" s="473">
        <v>7.7703000000000007</v>
      </c>
      <c r="P89" s="474">
        <v>5.7903000000000002</v>
      </c>
      <c r="Q89" s="483">
        <v>1.98</v>
      </c>
      <c r="R89" s="485">
        <f t="shared" ref="R89:R91" si="206">Y89*-1</f>
        <v>0</v>
      </c>
      <c r="S89" s="475">
        <v>0</v>
      </c>
      <c r="T89" s="475">
        <v>0</v>
      </c>
      <c r="U89" s="475">
        <v>0</v>
      </c>
      <c r="V89" s="475">
        <v>-11046</v>
      </c>
      <c r="W89" s="475">
        <v>0</v>
      </c>
      <c r="X89" s="475">
        <f t="shared" si="186"/>
        <v>-11046</v>
      </c>
      <c r="Y89" s="475">
        <v>0</v>
      </c>
      <c r="Z89" s="475">
        <v>0</v>
      </c>
      <c r="AA89" s="475">
        <v>0</v>
      </c>
      <c r="AB89" s="475">
        <f t="shared" ref="AB89:AB91" si="207">SUM(Y89:AA89)</f>
        <v>0</v>
      </c>
      <c r="AC89" s="475">
        <f t="shared" ref="AC89:AC91" si="208">X89+AB89</f>
        <v>-11046</v>
      </c>
      <c r="AD89" s="70">
        <f t="shared" ref="AD89:AD91" si="209">ROUND((X89+Y89+Z89)*33.8%,0)</f>
        <v>-3734</v>
      </c>
      <c r="AE89" s="70">
        <f t="shared" ref="AE89:AE91" si="210">ROUND(X89*2%,0)</f>
        <v>-221</v>
      </c>
      <c r="AF89" s="475">
        <v>0</v>
      </c>
      <c r="AG89" s="475">
        <v>15001</v>
      </c>
      <c r="AH89" s="475">
        <f t="shared" ref="AH89:AH91" si="211">SUM(AF89:AG89)</f>
        <v>15001</v>
      </c>
      <c r="AI89" s="475">
        <f t="shared" ref="AI89:AI91" si="212">AC89+AD89+AE89+AH89</f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ref="AT89:AT91" si="213">SUM(AR89:AS89)</f>
        <v>0</v>
      </c>
      <c r="AU89" s="484">
        <f>I89+AI89</f>
        <v>4599912</v>
      </c>
      <c r="AV89" s="475">
        <f>J89+X89</f>
        <v>3356010</v>
      </c>
      <c r="AW89" s="475">
        <f t="shared" ref="AW89:AW91" si="214">K89+AB89</f>
        <v>0</v>
      </c>
      <c r="AX89" s="475">
        <f t="shared" ref="AX89:AY91" si="215">L89+AD89</f>
        <v>1134331</v>
      </c>
      <c r="AY89" s="475">
        <f t="shared" si="215"/>
        <v>67120</v>
      </c>
      <c r="AZ89" s="475">
        <f>N89+AH89</f>
        <v>42451</v>
      </c>
      <c r="BA89" s="476">
        <f>O89+AT89</f>
        <v>7.7703000000000007</v>
      </c>
      <c r="BB89" s="476">
        <f t="shared" ref="BB89:BC91" si="216">P89+AR89</f>
        <v>5.7903000000000002</v>
      </c>
      <c r="BC89" s="478">
        <f t="shared" si="216"/>
        <v>1.98</v>
      </c>
    </row>
    <row r="90" spans="1:55" ht="12.95" customHeight="1" x14ac:dyDescent="0.25">
      <c r="A90" s="308">
        <v>15</v>
      </c>
      <c r="B90" s="349">
        <v>5418</v>
      </c>
      <c r="C90" s="350">
        <v>600098508</v>
      </c>
      <c r="D90" s="309">
        <v>70156573</v>
      </c>
      <c r="E90" s="351" t="s">
        <v>398</v>
      </c>
      <c r="F90" s="309">
        <v>3111</v>
      </c>
      <c r="G90" s="351" t="s">
        <v>319</v>
      </c>
      <c r="H90" s="312" t="s">
        <v>278</v>
      </c>
      <c r="I90" s="477">
        <v>235235</v>
      </c>
      <c r="J90" s="472">
        <v>173222</v>
      </c>
      <c r="K90" s="472">
        <v>0</v>
      </c>
      <c r="L90" s="472">
        <v>58549</v>
      </c>
      <c r="M90" s="472">
        <v>3464</v>
      </c>
      <c r="N90" s="472">
        <v>0</v>
      </c>
      <c r="O90" s="473">
        <v>0.5</v>
      </c>
      <c r="P90" s="474">
        <v>0.5</v>
      </c>
      <c r="Q90" s="483">
        <v>0</v>
      </c>
      <c r="R90" s="485">
        <f t="shared" si="206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86"/>
        <v>0</v>
      </c>
      <c r="Y90" s="475">
        <v>0</v>
      </c>
      <c r="Z90" s="475">
        <v>0</v>
      </c>
      <c r="AA90" s="475">
        <v>0</v>
      </c>
      <c r="AB90" s="475">
        <f t="shared" si="207"/>
        <v>0</v>
      </c>
      <c r="AC90" s="475">
        <f t="shared" si="208"/>
        <v>0</v>
      </c>
      <c r="AD90" s="70">
        <f t="shared" si="209"/>
        <v>0</v>
      </c>
      <c r="AE90" s="70">
        <f t="shared" si="210"/>
        <v>0</v>
      </c>
      <c r="AF90" s="475">
        <v>0</v>
      </c>
      <c r="AG90" s="475">
        <v>0</v>
      </c>
      <c r="AH90" s="475">
        <f t="shared" si="211"/>
        <v>0</v>
      </c>
      <c r="AI90" s="475">
        <f t="shared" si="212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>AJ90+AL90+AM90+AO90+AP90</f>
        <v>0</v>
      </c>
      <c r="AS90" s="476">
        <f>AK90+AN90+AQ90</f>
        <v>0</v>
      </c>
      <c r="AT90" s="478">
        <f t="shared" si="213"/>
        <v>0</v>
      </c>
      <c r="AU90" s="484">
        <f>I90+AI90</f>
        <v>235235</v>
      </c>
      <c r="AV90" s="475">
        <f>J90+X90</f>
        <v>173222</v>
      </c>
      <c r="AW90" s="475">
        <f t="shared" si="214"/>
        <v>0</v>
      </c>
      <c r="AX90" s="475">
        <f t="shared" si="215"/>
        <v>58549</v>
      </c>
      <c r="AY90" s="475">
        <f t="shared" si="215"/>
        <v>3464</v>
      </c>
      <c r="AZ90" s="475">
        <f>N90+AH90</f>
        <v>0</v>
      </c>
      <c r="BA90" s="476">
        <f>O90+AT90</f>
        <v>0.5</v>
      </c>
      <c r="BB90" s="476">
        <f t="shared" si="216"/>
        <v>0.5</v>
      </c>
      <c r="BC90" s="478">
        <f t="shared" si="216"/>
        <v>0</v>
      </c>
    </row>
    <row r="91" spans="1:55" ht="12.95" customHeight="1" x14ac:dyDescent="0.25">
      <c r="A91" s="308">
        <v>15</v>
      </c>
      <c r="B91" s="349">
        <v>5418</v>
      </c>
      <c r="C91" s="350">
        <v>600098508</v>
      </c>
      <c r="D91" s="309">
        <v>70156573</v>
      </c>
      <c r="E91" s="351" t="s">
        <v>398</v>
      </c>
      <c r="F91" s="309">
        <v>3141</v>
      </c>
      <c r="G91" s="351" t="s">
        <v>315</v>
      </c>
      <c r="H91" s="312" t="s">
        <v>278</v>
      </c>
      <c r="I91" s="477">
        <v>742799</v>
      </c>
      <c r="J91" s="472">
        <v>544588</v>
      </c>
      <c r="K91" s="472">
        <v>0</v>
      </c>
      <c r="L91" s="472">
        <v>184071</v>
      </c>
      <c r="M91" s="472">
        <v>10892</v>
      </c>
      <c r="N91" s="472">
        <v>3248</v>
      </c>
      <c r="O91" s="473">
        <v>1.72</v>
      </c>
      <c r="P91" s="474">
        <v>0</v>
      </c>
      <c r="Q91" s="483">
        <v>1.72</v>
      </c>
      <c r="R91" s="485">
        <f t="shared" si="206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86"/>
        <v>0</v>
      </c>
      <c r="Y91" s="475">
        <v>0</v>
      </c>
      <c r="Z91" s="475">
        <v>0</v>
      </c>
      <c r="AA91" s="475">
        <v>0</v>
      </c>
      <c r="AB91" s="475">
        <f t="shared" si="207"/>
        <v>0</v>
      </c>
      <c r="AC91" s="475">
        <f t="shared" si="208"/>
        <v>0</v>
      </c>
      <c r="AD91" s="70">
        <f t="shared" si="209"/>
        <v>0</v>
      </c>
      <c r="AE91" s="70">
        <f t="shared" si="210"/>
        <v>0</v>
      </c>
      <c r="AF91" s="475">
        <v>0</v>
      </c>
      <c r="AG91" s="475">
        <v>0</v>
      </c>
      <c r="AH91" s="475">
        <f t="shared" si="211"/>
        <v>0</v>
      </c>
      <c r="AI91" s="475">
        <f t="shared" si="212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si="213"/>
        <v>0</v>
      </c>
      <c r="AU91" s="484">
        <f>I91+AI91</f>
        <v>742799</v>
      </c>
      <c r="AV91" s="475">
        <f>J91+X91</f>
        <v>544588</v>
      </c>
      <c r="AW91" s="475">
        <f t="shared" si="214"/>
        <v>0</v>
      </c>
      <c r="AX91" s="475">
        <f t="shared" si="215"/>
        <v>184071</v>
      </c>
      <c r="AY91" s="475">
        <f t="shared" si="215"/>
        <v>10892</v>
      </c>
      <c r="AZ91" s="475">
        <f>N91+AH91</f>
        <v>3248</v>
      </c>
      <c r="BA91" s="476">
        <f>O91+AT91</f>
        <v>1.72</v>
      </c>
      <c r="BB91" s="476">
        <f t="shared" si="216"/>
        <v>0</v>
      </c>
      <c r="BC91" s="478">
        <f t="shared" si="216"/>
        <v>1.72</v>
      </c>
    </row>
    <row r="92" spans="1:55" ht="12.95" customHeight="1" x14ac:dyDescent="0.25">
      <c r="A92" s="352">
        <v>15</v>
      </c>
      <c r="B92" s="353">
        <v>5418</v>
      </c>
      <c r="C92" s="354">
        <v>600098508</v>
      </c>
      <c r="D92" s="353">
        <v>70156573</v>
      </c>
      <c r="E92" s="355" t="s">
        <v>399</v>
      </c>
      <c r="F92" s="319"/>
      <c r="G92" s="357"/>
      <c r="H92" s="320"/>
      <c r="I92" s="582">
        <v>5577946</v>
      </c>
      <c r="J92" s="578">
        <v>4084866</v>
      </c>
      <c r="K92" s="578">
        <v>0</v>
      </c>
      <c r="L92" s="578">
        <v>1380685</v>
      </c>
      <c r="M92" s="578">
        <v>81697</v>
      </c>
      <c r="N92" s="578">
        <v>30698</v>
      </c>
      <c r="O92" s="579">
        <v>9.9903000000000013</v>
      </c>
      <c r="P92" s="579">
        <v>6.2903000000000002</v>
      </c>
      <c r="Q92" s="584">
        <v>3.7</v>
      </c>
      <c r="R92" s="582">
        <f t="shared" ref="R92:BC92" si="217">SUM(R89:R91)</f>
        <v>0</v>
      </c>
      <c r="S92" s="578">
        <f t="shared" si="217"/>
        <v>0</v>
      </c>
      <c r="T92" s="578">
        <f t="shared" si="217"/>
        <v>0</v>
      </c>
      <c r="U92" s="578">
        <f t="shared" si="217"/>
        <v>0</v>
      </c>
      <c r="V92" s="578">
        <f t="shared" si="217"/>
        <v>-11046</v>
      </c>
      <c r="W92" s="578">
        <f t="shared" si="217"/>
        <v>0</v>
      </c>
      <c r="X92" s="578">
        <f t="shared" si="217"/>
        <v>-11046</v>
      </c>
      <c r="Y92" s="578">
        <f t="shared" si="217"/>
        <v>0</v>
      </c>
      <c r="Z92" s="578">
        <f t="shared" si="217"/>
        <v>0</v>
      </c>
      <c r="AA92" s="578">
        <f t="shared" si="217"/>
        <v>0</v>
      </c>
      <c r="AB92" s="578">
        <f t="shared" si="217"/>
        <v>0</v>
      </c>
      <c r="AC92" s="578">
        <f t="shared" si="217"/>
        <v>-11046</v>
      </c>
      <c r="AD92" s="578">
        <f t="shared" si="217"/>
        <v>-3734</v>
      </c>
      <c r="AE92" s="578">
        <f t="shared" si="217"/>
        <v>-221</v>
      </c>
      <c r="AF92" s="578">
        <f t="shared" si="217"/>
        <v>0</v>
      </c>
      <c r="AG92" s="578">
        <f t="shared" si="217"/>
        <v>15001</v>
      </c>
      <c r="AH92" s="578">
        <f t="shared" si="217"/>
        <v>15001</v>
      </c>
      <c r="AI92" s="578">
        <f t="shared" si="217"/>
        <v>0</v>
      </c>
      <c r="AJ92" s="579">
        <f t="shared" si="217"/>
        <v>0</v>
      </c>
      <c r="AK92" s="579">
        <f t="shared" si="217"/>
        <v>0</v>
      </c>
      <c r="AL92" s="579">
        <f t="shared" si="217"/>
        <v>0</v>
      </c>
      <c r="AM92" s="579">
        <f t="shared" si="217"/>
        <v>0</v>
      </c>
      <c r="AN92" s="579">
        <f t="shared" si="217"/>
        <v>0</v>
      </c>
      <c r="AO92" s="579">
        <f t="shared" si="217"/>
        <v>0</v>
      </c>
      <c r="AP92" s="579">
        <f t="shared" si="217"/>
        <v>0</v>
      </c>
      <c r="AQ92" s="579">
        <f t="shared" si="217"/>
        <v>0</v>
      </c>
      <c r="AR92" s="579">
        <f t="shared" si="217"/>
        <v>0</v>
      </c>
      <c r="AS92" s="579">
        <f t="shared" si="217"/>
        <v>0</v>
      </c>
      <c r="AT92" s="356">
        <f t="shared" si="217"/>
        <v>0</v>
      </c>
      <c r="AU92" s="586">
        <f t="shared" si="217"/>
        <v>5577946</v>
      </c>
      <c r="AV92" s="578">
        <f t="shared" si="217"/>
        <v>4073820</v>
      </c>
      <c r="AW92" s="578">
        <f t="shared" si="217"/>
        <v>0</v>
      </c>
      <c r="AX92" s="578">
        <f t="shared" si="217"/>
        <v>1376951</v>
      </c>
      <c r="AY92" s="578">
        <f t="shared" si="217"/>
        <v>81476</v>
      </c>
      <c r="AZ92" s="578">
        <f t="shared" si="217"/>
        <v>45699</v>
      </c>
      <c r="BA92" s="579">
        <f t="shared" si="217"/>
        <v>9.9903000000000013</v>
      </c>
      <c r="BB92" s="579">
        <f t="shared" si="217"/>
        <v>6.2903000000000002</v>
      </c>
      <c r="BC92" s="356">
        <f t="shared" si="217"/>
        <v>3.7</v>
      </c>
    </row>
    <row r="93" spans="1:55" ht="12.95" customHeight="1" x14ac:dyDescent="0.25">
      <c r="A93" s="308">
        <v>16</v>
      </c>
      <c r="B93" s="349">
        <v>5417</v>
      </c>
      <c r="C93" s="350">
        <v>600099113</v>
      </c>
      <c r="D93" s="309">
        <v>70156565</v>
      </c>
      <c r="E93" s="351" t="s">
        <v>400</v>
      </c>
      <c r="F93" s="309">
        <v>3117</v>
      </c>
      <c r="G93" s="351" t="s">
        <v>314</v>
      </c>
      <c r="H93" s="312" t="s">
        <v>277</v>
      </c>
      <c r="I93" s="477">
        <v>5703331</v>
      </c>
      <c r="J93" s="472">
        <v>4090803</v>
      </c>
      <c r="K93" s="472">
        <v>25000</v>
      </c>
      <c r="L93" s="472">
        <v>1391142</v>
      </c>
      <c r="M93" s="472">
        <v>81816</v>
      </c>
      <c r="N93" s="472">
        <v>114570</v>
      </c>
      <c r="O93" s="473">
        <v>7.8111999999999995</v>
      </c>
      <c r="P93" s="474">
        <v>5.7725999999999997</v>
      </c>
      <c r="Q93" s="483">
        <v>2.0385999999999997</v>
      </c>
      <c r="R93" s="485">
        <f t="shared" ref="R93:R97" si="218">Y93*-1</f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186"/>
        <v>0</v>
      </c>
      <c r="Y93" s="475">
        <v>0</v>
      </c>
      <c r="Z93" s="475">
        <v>0</v>
      </c>
      <c r="AA93" s="475">
        <v>0</v>
      </c>
      <c r="AB93" s="475">
        <f t="shared" ref="AB93:AB97" si="219">SUM(Y93:AA93)</f>
        <v>0</v>
      </c>
      <c r="AC93" s="475">
        <f t="shared" ref="AC93:AC97" si="220">X93+AB93</f>
        <v>0</v>
      </c>
      <c r="AD93" s="70">
        <f t="shared" ref="AD93:AD97" si="221">ROUND((X93+Y93+Z93)*33.8%,0)</f>
        <v>0</v>
      </c>
      <c r="AE93" s="70">
        <f t="shared" ref="AE93:AE97" si="222">ROUND(X93*2%,0)</f>
        <v>0</v>
      </c>
      <c r="AF93" s="475">
        <v>0</v>
      </c>
      <c r="AG93" s="475">
        <v>0</v>
      </c>
      <c r="AH93" s="475">
        <f t="shared" ref="AH93:AH97" si="223">SUM(AF93:AG93)</f>
        <v>0</v>
      </c>
      <c r="AI93" s="475">
        <f t="shared" ref="AI93:AI97" si="224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ref="AT93:AT97" si="225">SUM(AR93:AS93)</f>
        <v>0</v>
      </c>
      <c r="AU93" s="484">
        <f>I93+AI93</f>
        <v>5703331</v>
      </c>
      <c r="AV93" s="475">
        <f>J93+X93</f>
        <v>4090803</v>
      </c>
      <c r="AW93" s="475">
        <f t="shared" ref="AW93:AW97" si="226">K93+AB93</f>
        <v>25000</v>
      </c>
      <c r="AX93" s="475">
        <f t="shared" ref="AX93:AY97" si="227">L93+AD93</f>
        <v>1391142</v>
      </c>
      <c r="AY93" s="475">
        <f t="shared" si="227"/>
        <v>81816</v>
      </c>
      <c r="AZ93" s="475">
        <f>N93+AH93</f>
        <v>114570</v>
      </c>
      <c r="BA93" s="476">
        <f>O93+AT93</f>
        <v>7.8111999999999995</v>
      </c>
      <c r="BB93" s="476">
        <f t="shared" ref="BB93:BC97" si="228">P93+AR93</f>
        <v>5.7725999999999997</v>
      </c>
      <c r="BC93" s="478">
        <f t="shared" si="228"/>
        <v>2.0385999999999997</v>
      </c>
    </row>
    <row r="94" spans="1:55" ht="12.95" customHeight="1" x14ac:dyDescent="0.25">
      <c r="A94" s="308">
        <v>16</v>
      </c>
      <c r="B94" s="349">
        <v>5417</v>
      </c>
      <c r="C94" s="350">
        <v>600099113</v>
      </c>
      <c r="D94" s="309">
        <v>70156565</v>
      </c>
      <c r="E94" s="351" t="s">
        <v>400</v>
      </c>
      <c r="F94" s="309">
        <v>3117</v>
      </c>
      <c r="G94" s="351" t="s">
        <v>319</v>
      </c>
      <c r="H94" s="312" t="s">
        <v>278</v>
      </c>
      <c r="I94" s="477">
        <v>0</v>
      </c>
      <c r="J94" s="472">
        <v>0</v>
      </c>
      <c r="K94" s="472">
        <v>0</v>
      </c>
      <c r="L94" s="472">
        <v>0</v>
      </c>
      <c r="M94" s="472">
        <v>0</v>
      </c>
      <c r="N94" s="472">
        <v>0</v>
      </c>
      <c r="O94" s="473">
        <v>0</v>
      </c>
      <c r="P94" s="474">
        <v>0</v>
      </c>
      <c r="Q94" s="483">
        <v>0</v>
      </c>
      <c r="R94" s="485">
        <f t="shared" si="218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186"/>
        <v>0</v>
      </c>
      <c r="Y94" s="475">
        <v>0</v>
      </c>
      <c r="Z94" s="475">
        <v>0</v>
      </c>
      <c r="AA94" s="475">
        <v>0</v>
      </c>
      <c r="AB94" s="475">
        <f t="shared" si="219"/>
        <v>0</v>
      </c>
      <c r="AC94" s="475">
        <f t="shared" si="220"/>
        <v>0</v>
      </c>
      <c r="AD94" s="70">
        <f t="shared" si="221"/>
        <v>0</v>
      </c>
      <c r="AE94" s="70">
        <f t="shared" si="222"/>
        <v>0</v>
      </c>
      <c r="AF94" s="475">
        <v>0</v>
      </c>
      <c r="AG94" s="475">
        <v>0</v>
      </c>
      <c r="AH94" s="475">
        <f t="shared" si="223"/>
        <v>0</v>
      </c>
      <c r="AI94" s="475">
        <f t="shared" si="224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0</v>
      </c>
      <c r="AT94" s="478">
        <f t="shared" si="225"/>
        <v>0</v>
      </c>
      <c r="AU94" s="484">
        <f>I94+AI94</f>
        <v>0</v>
      </c>
      <c r="AV94" s="475">
        <f>J94+X94</f>
        <v>0</v>
      </c>
      <c r="AW94" s="475">
        <f t="shared" si="226"/>
        <v>0</v>
      </c>
      <c r="AX94" s="475">
        <f t="shared" si="227"/>
        <v>0</v>
      </c>
      <c r="AY94" s="475">
        <f t="shared" si="227"/>
        <v>0</v>
      </c>
      <c r="AZ94" s="475">
        <f>N94+AH94</f>
        <v>0</v>
      </c>
      <c r="BA94" s="476">
        <f>O94+AT94</f>
        <v>0</v>
      </c>
      <c r="BB94" s="476">
        <f t="shared" si="228"/>
        <v>0</v>
      </c>
      <c r="BC94" s="478">
        <f t="shared" si="228"/>
        <v>0</v>
      </c>
    </row>
    <row r="95" spans="1:55" ht="12.95" customHeight="1" x14ac:dyDescent="0.25">
      <c r="A95" s="308">
        <v>16</v>
      </c>
      <c r="B95" s="349">
        <v>5417</v>
      </c>
      <c r="C95" s="350">
        <v>600099113</v>
      </c>
      <c r="D95" s="309">
        <v>70156565</v>
      </c>
      <c r="E95" s="351" t="s">
        <v>400</v>
      </c>
      <c r="F95" s="309">
        <v>3141</v>
      </c>
      <c r="G95" s="351" t="s">
        <v>315</v>
      </c>
      <c r="H95" s="312" t="s">
        <v>278</v>
      </c>
      <c r="I95" s="477">
        <v>651384</v>
      </c>
      <c r="J95" s="472">
        <v>417686</v>
      </c>
      <c r="K95" s="472">
        <v>60000</v>
      </c>
      <c r="L95" s="472">
        <v>161458</v>
      </c>
      <c r="M95" s="472">
        <v>8354</v>
      </c>
      <c r="N95" s="472">
        <v>3886</v>
      </c>
      <c r="O95" s="473">
        <v>1.3099999999999998</v>
      </c>
      <c r="P95" s="474">
        <v>0</v>
      </c>
      <c r="Q95" s="483">
        <v>1.3099999999999998</v>
      </c>
      <c r="R95" s="485">
        <f t="shared" si="218"/>
        <v>0</v>
      </c>
      <c r="S95" s="475">
        <v>0</v>
      </c>
      <c r="T95" s="475">
        <v>10508</v>
      </c>
      <c r="U95" s="475">
        <v>0</v>
      </c>
      <c r="V95" s="475">
        <v>0</v>
      </c>
      <c r="W95" s="475">
        <v>0</v>
      </c>
      <c r="X95" s="475">
        <f t="shared" si="186"/>
        <v>10508</v>
      </c>
      <c r="Y95" s="475">
        <v>0</v>
      </c>
      <c r="Z95" s="475">
        <v>0</v>
      </c>
      <c r="AA95" s="475">
        <v>0</v>
      </c>
      <c r="AB95" s="475">
        <f t="shared" si="219"/>
        <v>0</v>
      </c>
      <c r="AC95" s="475">
        <f t="shared" si="220"/>
        <v>10508</v>
      </c>
      <c r="AD95" s="70">
        <f t="shared" si="221"/>
        <v>3552</v>
      </c>
      <c r="AE95" s="70">
        <f t="shared" si="222"/>
        <v>210</v>
      </c>
      <c r="AF95" s="475">
        <v>0</v>
      </c>
      <c r="AG95" s="475">
        <v>0</v>
      </c>
      <c r="AH95" s="475">
        <f t="shared" si="223"/>
        <v>0</v>
      </c>
      <c r="AI95" s="475">
        <f t="shared" si="224"/>
        <v>14270</v>
      </c>
      <c r="AJ95" s="476">
        <v>0</v>
      </c>
      <c r="AK95" s="476">
        <v>0</v>
      </c>
      <c r="AL95" s="476">
        <v>0</v>
      </c>
      <c r="AM95" s="476">
        <v>0</v>
      </c>
      <c r="AN95" s="476">
        <v>0.03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0.03</v>
      </c>
      <c r="AT95" s="478">
        <f t="shared" si="225"/>
        <v>0.03</v>
      </c>
      <c r="AU95" s="484">
        <f>I95+AI95</f>
        <v>665654</v>
      </c>
      <c r="AV95" s="475">
        <f>J95+X95</f>
        <v>428194</v>
      </c>
      <c r="AW95" s="475">
        <f t="shared" si="226"/>
        <v>60000</v>
      </c>
      <c r="AX95" s="475">
        <f t="shared" si="227"/>
        <v>165010</v>
      </c>
      <c r="AY95" s="475">
        <f t="shared" si="227"/>
        <v>8564</v>
      </c>
      <c r="AZ95" s="475">
        <f>N95+AH95</f>
        <v>3886</v>
      </c>
      <c r="BA95" s="476">
        <f>O95+AT95</f>
        <v>1.3399999999999999</v>
      </c>
      <c r="BB95" s="476">
        <f t="shared" si="228"/>
        <v>0</v>
      </c>
      <c r="BC95" s="478">
        <f t="shared" si="228"/>
        <v>1.3399999999999999</v>
      </c>
    </row>
    <row r="96" spans="1:55" ht="12.95" customHeight="1" x14ac:dyDescent="0.25">
      <c r="A96" s="308">
        <v>16</v>
      </c>
      <c r="B96" s="349">
        <v>5417</v>
      </c>
      <c r="C96" s="350">
        <v>600099113</v>
      </c>
      <c r="D96" s="309">
        <v>70156565</v>
      </c>
      <c r="E96" s="351" t="s">
        <v>400</v>
      </c>
      <c r="F96" s="309">
        <v>3143</v>
      </c>
      <c r="G96" s="351" t="s">
        <v>626</v>
      </c>
      <c r="H96" s="312" t="s">
        <v>277</v>
      </c>
      <c r="I96" s="477">
        <v>478631</v>
      </c>
      <c r="J96" s="472">
        <v>352453</v>
      </c>
      <c r="K96" s="472">
        <v>0</v>
      </c>
      <c r="L96" s="472">
        <v>119129</v>
      </c>
      <c r="M96" s="472">
        <v>7049</v>
      </c>
      <c r="N96" s="472">
        <v>0</v>
      </c>
      <c r="O96" s="473">
        <v>0.71419999999999995</v>
      </c>
      <c r="P96" s="474">
        <v>0.71419999999999995</v>
      </c>
      <c r="Q96" s="483">
        <v>0</v>
      </c>
      <c r="R96" s="485">
        <f t="shared" si="218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186"/>
        <v>0</v>
      </c>
      <c r="Y96" s="475">
        <v>0</v>
      </c>
      <c r="Z96" s="475">
        <v>0</v>
      </c>
      <c r="AA96" s="475">
        <v>0</v>
      </c>
      <c r="AB96" s="475">
        <f t="shared" si="219"/>
        <v>0</v>
      </c>
      <c r="AC96" s="475">
        <f t="shared" si="220"/>
        <v>0</v>
      </c>
      <c r="AD96" s="70">
        <f t="shared" si="221"/>
        <v>0</v>
      </c>
      <c r="AE96" s="70">
        <f t="shared" si="222"/>
        <v>0</v>
      </c>
      <c r="AF96" s="475">
        <v>0</v>
      </c>
      <c r="AG96" s="475">
        <v>0</v>
      </c>
      <c r="AH96" s="475">
        <f t="shared" si="223"/>
        <v>0</v>
      </c>
      <c r="AI96" s="475">
        <f t="shared" si="224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225"/>
        <v>0</v>
      </c>
      <c r="AU96" s="484">
        <f>I96+AI96</f>
        <v>478631</v>
      </c>
      <c r="AV96" s="475">
        <f>J96+X96</f>
        <v>352453</v>
      </c>
      <c r="AW96" s="475">
        <f t="shared" si="226"/>
        <v>0</v>
      </c>
      <c r="AX96" s="475">
        <f t="shared" si="227"/>
        <v>119129</v>
      </c>
      <c r="AY96" s="475">
        <f t="shared" si="227"/>
        <v>7049</v>
      </c>
      <c r="AZ96" s="475">
        <f>N96+AH96</f>
        <v>0</v>
      </c>
      <c r="BA96" s="476">
        <f>O96+AT96</f>
        <v>0.71419999999999995</v>
      </c>
      <c r="BB96" s="476">
        <f t="shared" si="228"/>
        <v>0.71419999999999995</v>
      </c>
      <c r="BC96" s="478">
        <f t="shared" si="228"/>
        <v>0</v>
      </c>
    </row>
    <row r="97" spans="1:55" ht="12.95" customHeight="1" x14ac:dyDescent="0.25">
      <c r="A97" s="308">
        <v>16</v>
      </c>
      <c r="B97" s="349">
        <v>5417</v>
      </c>
      <c r="C97" s="350">
        <v>600099113</v>
      </c>
      <c r="D97" s="309">
        <v>70156565</v>
      </c>
      <c r="E97" s="351" t="s">
        <v>400</v>
      </c>
      <c r="F97" s="309">
        <v>3143</v>
      </c>
      <c r="G97" s="351" t="s">
        <v>627</v>
      </c>
      <c r="H97" s="312" t="s">
        <v>278</v>
      </c>
      <c r="I97" s="477">
        <v>22680</v>
      </c>
      <c r="J97" s="472">
        <v>16038</v>
      </c>
      <c r="K97" s="472">
        <v>0</v>
      </c>
      <c r="L97" s="472">
        <v>5421</v>
      </c>
      <c r="M97" s="472">
        <v>321</v>
      </c>
      <c r="N97" s="472">
        <v>900</v>
      </c>
      <c r="O97" s="473">
        <v>0.06</v>
      </c>
      <c r="P97" s="474">
        <v>0</v>
      </c>
      <c r="Q97" s="483">
        <v>0.06</v>
      </c>
      <c r="R97" s="485">
        <f t="shared" si="218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186"/>
        <v>0</v>
      </c>
      <c r="Y97" s="475">
        <v>0</v>
      </c>
      <c r="Z97" s="475">
        <v>0</v>
      </c>
      <c r="AA97" s="475">
        <v>0</v>
      </c>
      <c r="AB97" s="475">
        <f t="shared" si="219"/>
        <v>0</v>
      </c>
      <c r="AC97" s="475">
        <f t="shared" si="220"/>
        <v>0</v>
      </c>
      <c r="AD97" s="70">
        <f t="shared" si="221"/>
        <v>0</v>
      </c>
      <c r="AE97" s="70">
        <f t="shared" si="222"/>
        <v>0</v>
      </c>
      <c r="AF97" s="475">
        <v>0</v>
      </c>
      <c r="AG97" s="475">
        <v>0</v>
      </c>
      <c r="AH97" s="475">
        <f t="shared" si="223"/>
        <v>0</v>
      </c>
      <c r="AI97" s="475">
        <f t="shared" si="224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225"/>
        <v>0</v>
      </c>
      <c r="AU97" s="484">
        <f>I97+AI97</f>
        <v>22680</v>
      </c>
      <c r="AV97" s="475">
        <f>J97+X97</f>
        <v>16038</v>
      </c>
      <c r="AW97" s="475">
        <f t="shared" si="226"/>
        <v>0</v>
      </c>
      <c r="AX97" s="475">
        <f t="shared" si="227"/>
        <v>5421</v>
      </c>
      <c r="AY97" s="475">
        <f t="shared" si="227"/>
        <v>321</v>
      </c>
      <c r="AZ97" s="475">
        <f>N97+AH97</f>
        <v>900</v>
      </c>
      <c r="BA97" s="476">
        <f>O97+AT97</f>
        <v>0.06</v>
      </c>
      <c r="BB97" s="476">
        <f t="shared" si="228"/>
        <v>0</v>
      </c>
      <c r="BC97" s="478">
        <f t="shared" si="228"/>
        <v>0.06</v>
      </c>
    </row>
    <row r="98" spans="1:55" ht="12.95" customHeight="1" x14ac:dyDescent="0.25">
      <c r="A98" s="352">
        <v>16</v>
      </c>
      <c r="B98" s="353">
        <v>5417</v>
      </c>
      <c r="C98" s="354">
        <v>600099113</v>
      </c>
      <c r="D98" s="353">
        <v>70156565</v>
      </c>
      <c r="E98" s="355" t="s">
        <v>401</v>
      </c>
      <c r="F98" s="319"/>
      <c r="G98" s="357"/>
      <c r="H98" s="320"/>
      <c r="I98" s="583">
        <v>6856026</v>
      </c>
      <c r="J98" s="580">
        <v>4876980</v>
      </c>
      <c r="K98" s="580">
        <v>85000</v>
      </c>
      <c r="L98" s="580">
        <v>1677150</v>
      </c>
      <c r="M98" s="580">
        <v>97540</v>
      </c>
      <c r="N98" s="580">
        <v>119356</v>
      </c>
      <c r="O98" s="581">
        <v>9.8954000000000004</v>
      </c>
      <c r="P98" s="581">
        <v>6.4867999999999997</v>
      </c>
      <c r="Q98" s="585">
        <v>3.4085999999999994</v>
      </c>
      <c r="R98" s="583">
        <f t="shared" ref="R98:BC98" si="229">SUM(R93:R97)</f>
        <v>0</v>
      </c>
      <c r="S98" s="580">
        <f t="shared" si="229"/>
        <v>0</v>
      </c>
      <c r="T98" s="580">
        <f t="shared" si="229"/>
        <v>10508</v>
      </c>
      <c r="U98" s="580">
        <f t="shared" si="229"/>
        <v>0</v>
      </c>
      <c r="V98" s="580">
        <f t="shared" si="229"/>
        <v>0</v>
      </c>
      <c r="W98" s="580">
        <f t="shared" si="229"/>
        <v>0</v>
      </c>
      <c r="X98" s="580">
        <f t="shared" si="229"/>
        <v>10508</v>
      </c>
      <c r="Y98" s="580">
        <f t="shared" si="229"/>
        <v>0</v>
      </c>
      <c r="Z98" s="580">
        <f t="shared" si="229"/>
        <v>0</v>
      </c>
      <c r="AA98" s="580">
        <f t="shared" si="229"/>
        <v>0</v>
      </c>
      <c r="AB98" s="580">
        <f t="shared" si="229"/>
        <v>0</v>
      </c>
      <c r="AC98" s="580">
        <f t="shared" si="229"/>
        <v>10508</v>
      </c>
      <c r="AD98" s="580">
        <f t="shared" si="229"/>
        <v>3552</v>
      </c>
      <c r="AE98" s="580">
        <f t="shared" si="229"/>
        <v>210</v>
      </c>
      <c r="AF98" s="580">
        <f t="shared" si="229"/>
        <v>0</v>
      </c>
      <c r="AG98" s="580">
        <f t="shared" si="229"/>
        <v>0</v>
      </c>
      <c r="AH98" s="580">
        <f t="shared" si="229"/>
        <v>0</v>
      </c>
      <c r="AI98" s="580">
        <f t="shared" si="229"/>
        <v>14270</v>
      </c>
      <c r="AJ98" s="581">
        <f t="shared" si="229"/>
        <v>0</v>
      </c>
      <c r="AK98" s="581">
        <f t="shared" si="229"/>
        <v>0</v>
      </c>
      <c r="AL98" s="581">
        <f t="shared" si="229"/>
        <v>0</v>
      </c>
      <c r="AM98" s="581">
        <f t="shared" si="229"/>
        <v>0</v>
      </c>
      <c r="AN98" s="581">
        <f t="shared" si="229"/>
        <v>0.03</v>
      </c>
      <c r="AO98" s="581">
        <f t="shared" si="229"/>
        <v>0</v>
      </c>
      <c r="AP98" s="581">
        <f t="shared" si="229"/>
        <v>0</v>
      </c>
      <c r="AQ98" s="581">
        <f t="shared" si="229"/>
        <v>0</v>
      </c>
      <c r="AR98" s="581">
        <f t="shared" si="229"/>
        <v>0</v>
      </c>
      <c r="AS98" s="581">
        <f t="shared" si="229"/>
        <v>0.03</v>
      </c>
      <c r="AT98" s="361">
        <f t="shared" si="229"/>
        <v>0.03</v>
      </c>
      <c r="AU98" s="587">
        <f t="shared" si="229"/>
        <v>6870296</v>
      </c>
      <c r="AV98" s="580">
        <f t="shared" si="229"/>
        <v>4887488</v>
      </c>
      <c r="AW98" s="580">
        <f t="shared" si="229"/>
        <v>85000</v>
      </c>
      <c r="AX98" s="580">
        <f t="shared" si="229"/>
        <v>1680702</v>
      </c>
      <c r="AY98" s="580">
        <f t="shared" si="229"/>
        <v>97750</v>
      </c>
      <c r="AZ98" s="580">
        <f t="shared" si="229"/>
        <v>119356</v>
      </c>
      <c r="BA98" s="581">
        <f t="shared" si="229"/>
        <v>9.9253999999999998</v>
      </c>
      <c r="BB98" s="581">
        <f t="shared" si="229"/>
        <v>6.4867999999999997</v>
      </c>
      <c r="BC98" s="361">
        <f t="shared" si="229"/>
        <v>3.4385999999999997</v>
      </c>
    </row>
    <row r="99" spans="1:55" ht="12.95" customHeight="1" x14ac:dyDescent="0.25">
      <c r="A99" s="308">
        <v>17</v>
      </c>
      <c r="B99" s="349">
        <v>5420</v>
      </c>
      <c r="C99" s="350">
        <v>600098745</v>
      </c>
      <c r="D99" s="309">
        <v>75016249</v>
      </c>
      <c r="E99" s="351" t="s">
        <v>402</v>
      </c>
      <c r="F99" s="309">
        <v>3111</v>
      </c>
      <c r="G99" s="351" t="s">
        <v>325</v>
      </c>
      <c r="H99" s="312" t="s">
        <v>277</v>
      </c>
      <c r="I99" s="477">
        <v>3411585</v>
      </c>
      <c r="J99" s="472">
        <v>2498958</v>
      </c>
      <c r="K99" s="472">
        <v>0</v>
      </c>
      <c r="L99" s="472">
        <v>844648</v>
      </c>
      <c r="M99" s="472">
        <v>49979</v>
      </c>
      <c r="N99" s="472">
        <v>18000</v>
      </c>
      <c r="O99" s="473">
        <v>5.4544999999999995</v>
      </c>
      <c r="P99" s="474">
        <v>4.0644999999999998</v>
      </c>
      <c r="Q99" s="483">
        <v>1.39</v>
      </c>
      <c r="R99" s="485">
        <f t="shared" ref="R99:R101" si="230">Y99*-1</f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186"/>
        <v>0</v>
      </c>
      <c r="Y99" s="475">
        <v>0</v>
      </c>
      <c r="Z99" s="475">
        <v>0</v>
      </c>
      <c r="AA99" s="475">
        <v>0</v>
      </c>
      <c r="AB99" s="475">
        <f t="shared" ref="AB99:AB101" si="231">SUM(Y99:AA99)</f>
        <v>0</v>
      </c>
      <c r="AC99" s="475">
        <f t="shared" ref="AC99:AC101" si="232">X99+AB99</f>
        <v>0</v>
      </c>
      <c r="AD99" s="70">
        <f t="shared" ref="AD99:AD101" si="233">ROUND((X99+Y99+Z99)*33.8%,0)</f>
        <v>0</v>
      </c>
      <c r="AE99" s="70">
        <f t="shared" ref="AE99:AE101" si="234">ROUND(X99*2%,0)</f>
        <v>0</v>
      </c>
      <c r="AF99" s="475">
        <v>0</v>
      </c>
      <c r="AG99" s="475">
        <v>0</v>
      </c>
      <c r="AH99" s="475">
        <f t="shared" ref="AH99:AH101" si="235">SUM(AF99:AG99)</f>
        <v>0</v>
      </c>
      <c r="AI99" s="475">
        <f t="shared" ref="AI99:AI101" si="236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ref="AT99:AT101" si="237">SUM(AR99:AS99)</f>
        <v>0</v>
      </c>
      <c r="AU99" s="484">
        <f>I99+AI99</f>
        <v>3411585</v>
      </c>
      <c r="AV99" s="475">
        <f>J99+X99</f>
        <v>2498958</v>
      </c>
      <c r="AW99" s="475">
        <f t="shared" ref="AW99:AW101" si="238">K99+AB99</f>
        <v>0</v>
      </c>
      <c r="AX99" s="475">
        <f t="shared" ref="AX99:AY101" si="239">L99+AD99</f>
        <v>844648</v>
      </c>
      <c r="AY99" s="475">
        <f t="shared" si="239"/>
        <v>49979</v>
      </c>
      <c r="AZ99" s="475">
        <f>N99+AH99</f>
        <v>18000</v>
      </c>
      <c r="BA99" s="476">
        <f>O99+AT99</f>
        <v>5.4544999999999995</v>
      </c>
      <c r="BB99" s="476">
        <f t="shared" ref="BB99:BC101" si="240">P99+AR99</f>
        <v>4.0644999999999998</v>
      </c>
      <c r="BC99" s="478">
        <f t="shared" si="240"/>
        <v>1.39</v>
      </c>
    </row>
    <row r="100" spans="1:55" ht="12.95" customHeight="1" x14ac:dyDescent="0.25">
      <c r="A100" s="308">
        <v>17</v>
      </c>
      <c r="B100" s="349">
        <v>5420</v>
      </c>
      <c r="C100" s="350">
        <v>600098745</v>
      </c>
      <c r="D100" s="309">
        <v>75016249</v>
      </c>
      <c r="E100" s="351" t="s">
        <v>402</v>
      </c>
      <c r="F100" s="309">
        <v>3111</v>
      </c>
      <c r="G100" s="351" t="s">
        <v>319</v>
      </c>
      <c r="H100" s="312" t="s">
        <v>278</v>
      </c>
      <c r="I100" s="477">
        <v>352854</v>
      </c>
      <c r="J100" s="472">
        <v>259833</v>
      </c>
      <c r="K100" s="472">
        <v>0</v>
      </c>
      <c r="L100" s="472">
        <v>87824</v>
      </c>
      <c r="M100" s="472">
        <v>5197</v>
      </c>
      <c r="N100" s="472">
        <v>0</v>
      </c>
      <c r="O100" s="473">
        <v>0.75</v>
      </c>
      <c r="P100" s="474">
        <v>0.75</v>
      </c>
      <c r="Q100" s="483">
        <v>0</v>
      </c>
      <c r="R100" s="485">
        <f t="shared" si="230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186"/>
        <v>0</v>
      </c>
      <c r="Y100" s="475">
        <v>0</v>
      </c>
      <c r="Z100" s="475">
        <v>0</v>
      </c>
      <c r="AA100" s="475">
        <v>0</v>
      </c>
      <c r="AB100" s="475">
        <f t="shared" si="231"/>
        <v>0</v>
      </c>
      <c r="AC100" s="475">
        <f t="shared" si="232"/>
        <v>0</v>
      </c>
      <c r="AD100" s="70">
        <f t="shared" si="233"/>
        <v>0</v>
      </c>
      <c r="AE100" s="70">
        <f t="shared" si="234"/>
        <v>0</v>
      </c>
      <c r="AF100" s="475">
        <v>0</v>
      </c>
      <c r="AG100" s="475">
        <v>0</v>
      </c>
      <c r="AH100" s="475">
        <f t="shared" si="235"/>
        <v>0</v>
      </c>
      <c r="AI100" s="475">
        <f t="shared" si="236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si="237"/>
        <v>0</v>
      </c>
      <c r="AU100" s="484">
        <f>I100+AI100</f>
        <v>352854</v>
      </c>
      <c r="AV100" s="475">
        <f>J100+X100</f>
        <v>259833</v>
      </c>
      <c r="AW100" s="475">
        <f t="shared" si="238"/>
        <v>0</v>
      </c>
      <c r="AX100" s="475">
        <f t="shared" si="239"/>
        <v>87824</v>
      </c>
      <c r="AY100" s="475">
        <f t="shared" si="239"/>
        <v>5197</v>
      </c>
      <c r="AZ100" s="475">
        <f>N100+AH100</f>
        <v>0</v>
      </c>
      <c r="BA100" s="476">
        <f>O100+AT100</f>
        <v>0.75</v>
      </c>
      <c r="BB100" s="476">
        <f t="shared" si="240"/>
        <v>0.75</v>
      </c>
      <c r="BC100" s="478">
        <f t="shared" si="240"/>
        <v>0</v>
      </c>
    </row>
    <row r="101" spans="1:55" ht="12.95" customHeight="1" x14ac:dyDescent="0.25">
      <c r="A101" s="308">
        <v>17</v>
      </c>
      <c r="B101" s="349">
        <v>5420</v>
      </c>
      <c r="C101" s="350">
        <v>600098745</v>
      </c>
      <c r="D101" s="309">
        <v>75016249</v>
      </c>
      <c r="E101" s="351" t="s">
        <v>402</v>
      </c>
      <c r="F101" s="309">
        <v>3141</v>
      </c>
      <c r="G101" s="351" t="s">
        <v>315</v>
      </c>
      <c r="H101" s="312" t="s">
        <v>278</v>
      </c>
      <c r="I101" s="477">
        <v>589210</v>
      </c>
      <c r="J101" s="472">
        <v>432173</v>
      </c>
      <c r="K101" s="472">
        <v>0</v>
      </c>
      <c r="L101" s="472">
        <v>146074</v>
      </c>
      <c r="M101" s="472">
        <v>8643</v>
      </c>
      <c r="N101" s="472">
        <v>2320</v>
      </c>
      <c r="O101" s="473">
        <v>1.36</v>
      </c>
      <c r="P101" s="474">
        <v>0</v>
      </c>
      <c r="Q101" s="483">
        <v>1.36</v>
      </c>
      <c r="R101" s="485">
        <f t="shared" si="230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186"/>
        <v>0</v>
      </c>
      <c r="Y101" s="475">
        <v>0</v>
      </c>
      <c r="Z101" s="475">
        <v>0</v>
      </c>
      <c r="AA101" s="475">
        <v>0</v>
      </c>
      <c r="AB101" s="475">
        <f t="shared" si="231"/>
        <v>0</v>
      </c>
      <c r="AC101" s="475">
        <f t="shared" si="232"/>
        <v>0</v>
      </c>
      <c r="AD101" s="70">
        <f t="shared" si="233"/>
        <v>0</v>
      </c>
      <c r="AE101" s="70">
        <f t="shared" si="234"/>
        <v>0</v>
      </c>
      <c r="AF101" s="475">
        <v>0</v>
      </c>
      <c r="AG101" s="475">
        <v>0</v>
      </c>
      <c r="AH101" s="475">
        <f t="shared" si="235"/>
        <v>0</v>
      </c>
      <c r="AI101" s="475">
        <f t="shared" si="236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si="237"/>
        <v>0</v>
      </c>
      <c r="AU101" s="484">
        <f>I101+AI101</f>
        <v>589210</v>
      </c>
      <c r="AV101" s="475">
        <f>J101+X101</f>
        <v>432173</v>
      </c>
      <c r="AW101" s="475">
        <f t="shared" si="238"/>
        <v>0</v>
      </c>
      <c r="AX101" s="475">
        <f t="shared" si="239"/>
        <v>146074</v>
      </c>
      <c r="AY101" s="475">
        <f t="shared" si="239"/>
        <v>8643</v>
      </c>
      <c r="AZ101" s="475">
        <f>N101+AH101</f>
        <v>2320</v>
      </c>
      <c r="BA101" s="476">
        <f>O101+AT101</f>
        <v>1.36</v>
      </c>
      <c r="BB101" s="476">
        <f t="shared" si="240"/>
        <v>0</v>
      </c>
      <c r="BC101" s="478">
        <f t="shared" si="240"/>
        <v>1.36</v>
      </c>
    </row>
    <row r="102" spans="1:55" ht="12.95" customHeight="1" x14ac:dyDescent="0.25">
      <c r="A102" s="352">
        <v>17</v>
      </c>
      <c r="B102" s="353">
        <v>5420</v>
      </c>
      <c r="C102" s="354">
        <v>600098745</v>
      </c>
      <c r="D102" s="353">
        <v>75016249</v>
      </c>
      <c r="E102" s="355" t="s">
        <v>403</v>
      </c>
      <c r="F102" s="319"/>
      <c r="G102" s="357"/>
      <c r="H102" s="320"/>
      <c r="I102" s="582">
        <v>4353649</v>
      </c>
      <c r="J102" s="578">
        <v>3190964</v>
      </c>
      <c r="K102" s="578">
        <v>0</v>
      </c>
      <c r="L102" s="578">
        <v>1078546</v>
      </c>
      <c r="M102" s="578">
        <v>63819</v>
      </c>
      <c r="N102" s="578">
        <v>20320</v>
      </c>
      <c r="O102" s="579">
        <v>7.5644999999999998</v>
      </c>
      <c r="P102" s="579">
        <v>4.8144999999999998</v>
      </c>
      <c r="Q102" s="584">
        <v>2.75</v>
      </c>
      <c r="R102" s="582">
        <f t="shared" ref="R102:BC102" si="241">SUM(R99:R101)</f>
        <v>0</v>
      </c>
      <c r="S102" s="578">
        <f t="shared" si="241"/>
        <v>0</v>
      </c>
      <c r="T102" s="578">
        <f t="shared" si="241"/>
        <v>0</v>
      </c>
      <c r="U102" s="578">
        <f t="shared" si="241"/>
        <v>0</v>
      </c>
      <c r="V102" s="578">
        <f t="shared" si="241"/>
        <v>0</v>
      </c>
      <c r="W102" s="578">
        <f t="shared" si="241"/>
        <v>0</v>
      </c>
      <c r="X102" s="578">
        <f t="shared" si="241"/>
        <v>0</v>
      </c>
      <c r="Y102" s="578">
        <f t="shared" si="241"/>
        <v>0</v>
      </c>
      <c r="Z102" s="578">
        <f t="shared" si="241"/>
        <v>0</v>
      </c>
      <c r="AA102" s="578">
        <f t="shared" si="241"/>
        <v>0</v>
      </c>
      <c r="AB102" s="578">
        <f t="shared" si="241"/>
        <v>0</v>
      </c>
      <c r="AC102" s="578">
        <f t="shared" si="241"/>
        <v>0</v>
      </c>
      <c r="AD102" s="578">
        <f t="shared" si="241"/>
        <v>0</v>
      </c>
      <c r="AE102" s="578">
        <f t="shared" si="241"/>
        <v>0</v>
      </c>
      <c r="AF102" s="578">
        <f t="shared" si="241"/>
        <v>0</v>
      </c>
      <c r="AG102" s="578">
        <f t="shared" si="241"/>
        <v>0</v>
      </c>
      <c r="AH102" s="578">
        <f t="shared" si="241"/>
        <v>0</v>
      </c>
      <c r="AI102" s="578">
        <f t="shared" si="241"/>
        <v>0</v>
      </c>
      <c r="AJ102" s="579">
        <f t="shared" si="241"/>
        <v>0</v>
      </c>
      <c r="AK102" s="579">
        <f t="shared" si="241"/>
        <v>0</v>
      </c>
      <c r="AL102" s="579">
        <f t="shared" si="241"/>
        <v>0</v>
      </c>
      <c r="AM102" s="579">
        <f t="shared" si="241"/>
        <v>0</v>
      </c>
      <c r="AN102" s="579">
        <f t="shared" si="241"/>
        <v>0</v>
      </c>
      <c r="AO102" s="579">
        <f t="shared" si="241"/>
        <v>0</v>
      </c>
      <c r="AP102" s="579">
        <f t="shared" si="241"/>
        <v>0</v>
      </c>
      <c r="AQ102" s="579">
        <f t="shared" si="241"/>
        <v>0</v>
      </c>
      <c r="AR102" s="579">
        <f t="shared" si="241"/>
        <v>0</v>
      </c>
      <c r="AS102" s="579">
        <f t="shared" si="241"/>
        <v>0</v>
      </c>
      <c r="AT102" s="356">
        <f t="shared" si="241"/>
        <v>0</v>
      </c>
      <c r="AU102" s="586">
        <f t="shared" si="241"/>
        <v>4353649</v>
      </c>
      <c r="AV102" s="578">
        <f t="shared" si="241"/>
        <v>3190964</v>
      </c>
      <c r="AW102" s="578">
        <f t="shared" si="241"/>
        <v>0</v>
      </c>
      <c r="AX102" s="578">
        <f t="shared" si="241"/>
        <v>1078546</v>
      </c>
      <c r="AY102" s="578">
        <f t="shared" si="241"/>
        <v>63819</v>
      </c>
      <c r="AZ102" s="578">
        <f t="shared" si="241"/>
        <v>20320</v>
      </c>
      <c r="BA102" s="579">
        <f t="shared" si="241"/>
        <v>7.5644999999999998</v>
      </c>
      <c r="BB102" s="579">
        <f t="shared" si="241"/>
        <v>4.8144999999999998</v>
      </c>
      <c r="BC102" s="356">
        <f t="shared" si="241"/>
        <v>2.75</v>
      </c>
    </row>
    <row r="103" spans="1:55" ht="12.95" customHeight="1" x14ac:dyDescent="0.25">
      <c r="A103" s="308">
        <v>18</v>
      </c>
      <c r="B103" s="349">
        <v>5419</v>
      </c>
      <c r="C103" s="350">
        <v>600099261</v>
      </c>
      <c r="D103" s="309">
        <v>70946752</v>
      </c>
      <c r="E103" s="351" t="s">
        <v>404</v>
      </c>
      <c r="F103" s="309">
        <v>3113</v>
      </c>
      <c r="G103" s="351" t="s">
        <v>329</v>
      </c>
      <c r="H103" s="312" t="s">
        <v>277</v>
      </c>
      <c r="I103" s="477">
        <v>13996625</v>
      </c>
      <c r="J103" s="472">
        <v>10094651</v>
      </c>
      <c r="K103" s="472">
        <v>28280</v>
      </c>
      <c r="L103" s="472">
        <v>3421551</v>
      </c>
      <c r="M103" s="472">
        <v>201893</v>
      </c>
      <c r="N103" s="472">
        <v>250250</v>
      </c>
      <c r="O103" s="473">
        <v>19.782699999999995</v>
      </c>
      <c r="P103" s="474">
        <v>14.8751</v>
      </c>
      <c r="Q103" s="483">
        <v>4.9076000000000004</v>
      </c>
      <c r="R103" s="485">
        <f t="shared" ref="R103:R107" si="242">Y103*-1</f>
        <v>0</v>
      </c>
      <c r="S103" s="475">
        <v>0</v>
      </c>
      <c r="T103" s="475">
        <v>-90984</v>
      </c>
      <c r="U103" s="475">
        <v>0</v>
      </c>
      <c r="V103" s="475">
        <v>0</v>
      </c>
      <c r="W103" s="475">
        <v>0</v>
      </c>
      <c r="X103" s="475">
        <f t="shared" si="186"/>
        <v>-90984</v>
      </c>
      <c r="Y103" s="475">
        <v>0</v>
      </c>
      <c r="Z103" s="475">
        <v>0</v>
      </c>
      <c r="AA103" s="475">
        <v>0</v>
      </c>
      <c r="AB103" s="475">
        <f t="shared" ref="AB103:AB107" si="243">SUM(Y103:AA103)</f>
        <v>0</v>
      </c>
      <c r="AC103" s="475">
        <f t="shared" ref="AC103:AC107" si="244">X103+AB103</f>
        <v>-90984</v>
      </c>
      <c r="AD103" s="70">
        <f t="shared" ref="AD103:AD107" si="245">ROUND((X103+Y103+Z103)*33.8%,0)</f>
        <v>-30753</v>
      </c>
      <c r="AE103" s="70">
        <f t="shared" ref="AE103:AE107" si="246">ROUND(X103*2%,0)</f>
        <v>-1820</v>
      </c>
      <c r="AF103" s="475">
        <v>0</v>
      </c>
      <c r="AG103" s="475">
        <v>0</v>
      </c>
      <c r="AH103" s="475">
        <f t="shared" ref="AH103:AH107" si="247">SUM(AF103:AG103)</f>
        <v>0</v>
      </c>
      <c r="AI103" s="475">
        <f t="shared" ref="AI103:AI107" si="248">AC103+AD103+AE103+AH103</f>
        <v>-123557</v>
      </c>
      <c r="AJ103" s="476">
        <v>0</v>
      </c>
      <c r="AK103" s="476">
        <v>0</v>
      </c>
      <c r="AL103" s="476">
        <v>0</v>
      </c>
      <c r="AM103" s="476">
        <v>-0.16</v>
      </c>
      <c r="AN103" s="476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-0.16</v>
      </c>
      <c r="AS103" s="476">
        <f>AK103+AN103+AQ103</f>
        <v>0</v>
      </c>
      <c r="AT103" s="478">
        <f t="shared" ref="AT103:AT107" si="249">SUM(AR103:AS103)</f>
        <v>-0.16</v>
      </c>
      <c r="AU103" s="484">
        <f>I103+AI103</f>
        <v>13873068</v>
      </c>
      <c r="AV103" s="475">
        <f>J103+X103</f>
        <v>10003667</v>
      </c>
      <c r="AW103" s="475">
        <f t="shared" ref="AW103:AW107" si="250">K103+AB103</f>
        <v>28280</v>
      </c>
      <c r="AX103" s="475">
        <f t="shared" ref="AX103:AY107" si="251">L103+AD103</f>
        <v>3390798</v>
      </c>
      <c r="AY103" s="475">
        <f t="shared" si="251"/>
        <v>200073</v>
      </c>
      <c r="AZ103" s="475">
        <f>N103+AH103</f>
        <v>250250</v>
      </c>
      <c r="BA103" s="476">
        <f>O103+AT103</f>
        <v>19.622699999999995</v>
      </c>
      <c r="BB103" s="476">
        <f t="shared" ref="BB103:BC107" si="252">P103+AR103</f>
        <v>14.7151</v>
      </c>
      <c r="BC103" s="478">
        <f t="shared" si="252"/>
        <v>4.9076000000000004</v>
      </c>
    </row>
    <row r="104" spans="1:55" ht="12.95" customHeight="1" x14ac:dyDescent="0.25">
      <c r="A104" s="308">
        <v>18</v>
      </c>
      <c r="B104" s="349">
        <v>5419</v>
      </c>
      <c r="C104" s="350">
        <v>600099261</v>
      </c>
      <c r="D104" s="309">
        <v>70946752</v>
      </c>
      <c r="E104" s="351" t="s">
        <v>404</v>
      </c>
      <c r="F104" s="309">
        <v>3113</v>
      </c>
      <c r="G104" s="351" t="s">
        <v>319</v>
      </c>
      <c r="H104" s="312" t="s">
        <v>278</v>
      </c>
      <c r="I104" s="477">
        <v>1006989</v>
      </c>
      <c r="J104" s="472">
        <v>741008</v>
      </c>
      <c r="K104" s="472">
        <v>0</v>
      </c>
      <c r="L104" s="472">
        <v>250461</v>
      </c>
      <c r="M104" s="472">
        <v>14820</v>
      </c>
      <c r="N104" s="472">
        <v>700</v>
      </c>
      <c r="O104" s="473">
        <v>2.14</v>
      </c>
      <c r="P104" s="474">
        <v>2.14</v>
      </c>
      <c r="Q104" s="483">
        <v>0</v>
      </c>
      <c r="R104" s="485">
        <f t="shared" si="242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186"/>
        <v>0</v>
      </c>
      <c r="Y104" s="475">
        <v>0</v>
      </c>
      <c r="Z104" s="475">
        <v>0</v>
      </c>
      <c r="AA104" s="475">
        <v>0</v>
      </c>
      <c r="AB104" s="475">
        <f t="shared" si="243"/>
        <v>0</v>
      </c>
      <c r="AC104" s="475">
        <f t="shared" si="244"/>
        <v>0</v>
      </c>
      <c r="AD104" s="70">
        <f t="shared" si="245"/>
        <v>0</v>
      </c>
      <c r="AE104" s="70">
        <f t="shared" si="246"/>
        <v>0</v>
      </c>
      <c r="AF104" s="475">
        <v>3700</v>
      </c>
      <c r="AG104" s="475">
        <v>0</v>
      </c>
      <c r="AH104" s="475">
        <f t="shared" si="247"/>
        <v>3700</v>
      </c>
      <c r="AI104" s="475">
        <f t="shared" si="248"/>
        <v>3700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249"/>
        <v>0</v>
      </c>
      <c r="AU104" s="484">
        <f>I104+AI104</f>
        <v>1010689</v>
      </c>
      <c r="AV104" s="475">
        <f>J104+X104</f>
        <v>741008</v>
      </c>
      <c r="AW104" s="475">
        <f t="shared" si="250"/>
        <v>0</v>
      </c>
      <c r="AX104" s="475">
        <f t="shared" si="251"/>
        <v>250461</v>
      </c>
      <c r="AY104" s="475">
        <f t="shared" si="251"/>
        <v>14820</v>
      </c>
      <c r="AZ104" s="475">
        <f>N104+AH104</f>
        <v>4400</v>
      </c>
      <c r="BA104" s="476">
        <f>O104+AT104</f>
        <v>2.14</v>
      </c>
      <c r="BB104" s="476">
        <f t="shared" si="252"/>
        <v>2.14</v>
      </c>
      <c r="BC104" s="478">
        <f t="shared" si="252"/>
        <v>0</v>
      </c>
    </row>
    <row r="105" spans="1:55" ht="12.95" customHeight="1" x14ac:dyDescent="0.25">
      <c r="A105" s="308">
        <v>18</v>
      </c>
      <c r="B105" s="349">
        <v>5419</v>
      </c>
      <c r="C105" s="350">
        <v>600099261</v>
      </c>
      <c r="D105" s="309">
        <v>70946752</v>
      </c>
      <c r="E105" s="351" t="s">
        <v>404</v>
      </c>
      <c r="F105" s="309">
        <v>3141</v>
      </c>
      <c r="G105" s="351" t="s">
        <v>315</v>
      </c>
      <c r="H105" s="312" t="s">
        <v>278</v>
      </c>
      <c r="I105" s="477">
        <v>1301872</v>
      </c>
      <c r="J105" s="472">
        <v>951622</v>
      </c>
      <c r="K105" s="472">
        <v>0</v>
      </c>
      <c r="L105" s="472">
        <v>321648</v>
      </c>
      <c r="M105" s="472">
        <v>19032</v>
      </c>
      <c r="N105" s="472">
        <v>9570</v>
      </c>
      <c r="O105" s="473">
        <v>3</v>
      </c>
      <c r="P105" s="474">
        <v>0</v>
      </c>
      <c r="Q105" s="483">
        <v>3</v>
      </c>
      <c r="R105" s="485">
        <f t="shared" si="242"/>
        <v>0</v>
      </c>
      <c r="S105" s="475">
        <v>0</v>
      </c>
      <c r="T105" s="475">
        <v>-18178</v>
      </c>
      <c r="U105" s="475">
        <v>0</v>
      </c>
      <c r="V105" s="475">
        <v>0</v>
      </c>
      <c r="W105" s="475">
        <v>0</v>
      </c>
      <c r="X105" s="475">
        <f t="shared" si="186"/>
        <v>-18178</v>
      </c>
      <c r="Y105" s="475">
        <v>0</v>
      </c>
      <c r="Z105" s="475">
        <v>0</v>
      </c>
      <c r="AA105" s="475">
        <v>0</v>
      </c>
      <c r="AB105" s="475">
        <f t="shared" si="243"/>
        <v>0</v>
      </c>
      <c r="AC105" s="475">
        <f t="shared" si="244"/>
        <v>-18178</v>
      </c>
      <c r="AD105" s="70">
        <f t="shared" si="245"/>
        <v>-6144</v>
      </c>
      <c r="AE105" s="70">
        <f t="shared" si="246"/>
        <v>-364</v>
      </c>
      <c r="AF105" s="475">
        <v>0</v>
      </c>
      <c r="AG105" s="475">
        <v>0</v>
      </c>
      <c r="AH105" s="475">
        <f t="shared" si="247"/>
        <v>0</v>
      </c>
      <c r="AI105" s="475">
        <f t="shared" si="248"/>
        <v>-24686</v>
      </c>
      <c r="AJ105" s="476">
        <v>0</v>
      </c>
      <c r="AK105" s="476">
        <v>0</v>
      </c>
      <c r="AL105" s="476">
        <v>0</v>
      </c>
      <c r="AM105" s="476">
        <v>0</v>
      </c>
      <c r="AN105" s="476">
        <v>-0.06</v>
      </c>
      <c r="AO105" s="476">
        <v>0</v>
      </c>
      <c r="AP105" s="476">
        <v>0</v>
      </c>
      <c r="AQ105" s="476">
        <v>0</v>
      </c>
      <c r="AR105" s="476">
        <f>AJ105+AL105+AM105+AO105+AP105</f>
        <v>0</v>
      </c>
      <c r="AS105" s="476">
        <f>AK105+AN105+AQ105</f>
        <v>-0.06</v>
      </c>
      <c r="AT105" s="478">
        <f t="shared" si="249"/>
        <v>-0.06</v>
      </c>
      <c r="AU105" s="484">
        <f>I105+AI105</f>
        <v>1277186</v>
      </c>
      <c r="AV105" s="475">
        <f>J105+X105</f>
        <v>933444</v>
      </c>
      <c r="AW105" s="475">
        <f t="shared" si="250"/>
        <v>0</v>
      </c>
      <c r="AX105" s="475">
        <f t="shared" si="251"/>
        <v>315504</v>
      </c>
      <c r="AY105" s="475">
        <f t="shared" si="251"/>
        <v>18668</v>
      </c>
      <c r="AZ105" s="475">
        <f>N105+AH105</f>
        <v>9570</v>
      </c>
      <c r="BA105" s="476">
        <f>O105+AT105</f>
        <v>2.94</v>
      </c>
      <c r="BB105" s="476">
        <f t="shared" si="252"/>
        <v>0</v>
      </c>
      <c r="BC105" s="478">
        <f t="shared" si="252"/>
        <v>2.94</v>
      </c>
    </row>
    <row r="106" spans="1:55" ht="12.95" customHeight="1" x14ac:dyDescent="0.25">
      <c r="A106" s="308">
        <v>18</v>
      </c>
      <c r="B106" s="349">
        <v>5419</v>
      </c>
      <c r="C106" s="350">
        <v>600099261</v>
      </c>
      <c r="D106" s="309">
        <v>70946752</v>
      </c>
      <c r="E106" s="351" t="s">
        <v>404</v>
      </c>
      <c r="F106" s="309">
        <v>3143</v>
      </c>
      <c r="G106" s="351" t="s">
        <v>626</v>
      </c>
      <c r="H106" s="312" t="s">
        <v>277</v>
      </c>
      <c r="I106" s="477">
        <v>592075</v>
      </c>
      <c r="J106" s="472">
        <v>401506</v>
      </c>
      <c r="K106" s="472">
        <v>35000</v>
      </c>
      <c r="L106" s="472">
        <v>147539</v>
      </c>
      <c r="M106" s="472">
        <v>8030</v>
      </c>
      <c r="N106" s="472">
        <v>0</v>
      </c>
      <c r="O106" s="473">
        <v>0.67999999999999994</v>
      </c>
      <c r="P106" s="474">
        <v>0.67999999999999994</v>
      </c>
      <c r="Q106" s="483">
        <v>0</v>
      </c>
      <c r="R106" s="485">
        <f t="shared" si="242"/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186"/>
        <v>0</v>
      </c>
      <c r="Y106" s="475">
        <v>0</v>
      </c>
      <c r="Z106" s="475">
        <v>0</v>
      </c>
      <c r="AA106" s="475">
        <v>0</v>
      </c>
      <c r="AB106" s="475">
        <f t="shared" si="243"/>
        <v>0</v>
      </c>
      <c r="AC106" s="475">
        <f t="shared" si="244"/>
        <v>0</v>
      </c>
      <c r="AD106" s="70">
        <f t="shared" si="245"/>
        <v>0</v>
      </c>
      <c r="AE106" s="70">
        <f t="shared" si="246"/>
        <v>0</v>
      </c>
      <c r="AF106" s="475">
        <v>0</v>
      </c>
      <c r="AG106" s="475">
        <v>0</v>
      </c>
      <c r="AH106" s="475">
        <f t="shared" si="247"/>
        <v>0</v>
      </c>
      <c r="AI106" s="475">
        <f t="shared" si="248"/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0</v>
      </c>
      <c r="AT106" s="478">
        <f t="shared" si="249"/>
        <v>0</v>
      </c>
      <c r="AU106" s="484">
        <f>I106+AI106</f>
        <v>592075</v>
      </c>
      <c r="AV106" s="475">
        <f>J106+X106</f>
        <v>401506</v>
      </c>
      <c r="AW106" s="475">
        <f t="shared" si="250"/>
        <v>35000</v>
      </c>
      <c r="AX106" s="475">
        <f t="shared" si="251"/>
        <v>147539</v>
      </c>
      <c r="AY106" s="475">
        <f t="shared" si="251"/>
        <v>8030</v>
      </c>
      <c r="AZ106" s="475">
        <f>N106+AH106</f>
        <v>0</v>
      </c>
      <c r="BA106" s="476">
        <f>O106+AT106</f>
        <v>0.67999999999999994</v>
      </c>
      <c r="BB106" s="476">
        <f t="shared" si="252"/>
        <v>0.67999999999999994</v>
      </c>
      <c r="BC106" s="478">
        <f t="shared" si="252"/>
        <v>0</v>
      </c>
    </row>
    <row r="107" spans="1:55" ht="12.95" customHeight="1" x14ac:dyDescent="0.25">
      <c r="A107" s="308">
        <v>18</v>
      </c>
      <c r="B107" s="349">
        <v>5419</v>
      </c>
      <c r="C107" s="350">
        <v>600099261</v>
      </c>
      <c r="D107" s="309">
        <v>70946752</v>
      </c>
      <c r="E107" s="351" t="s">
        <v>404</v>
      </c>
      <c r="F107" s="309">
        <v>3143</v>
      </c>
      <c r="G107" s="351" t="s">
        <v>627</v>
      </c>
      <c r="H107" s="312" t="s">
        <v>278</v>
      </c>
      <c r="I107" s="477">
        <v>19656</v>
      </c>
      <c r="J107" s="472">
        <v>13900</v>
      </c>
      <c r="K107" s="472">
        <v>0</v>
      </c>
      <c r="L107" s="472">
        <v>4698</v>
      </c>
      <c r="M107" s="472">
        <v>278</v>
      </c>
      <c r="N107" s="472">
        <v>780</v>
      </c>
      <c r="O107" s="473">
        <v>0.05</v>
      </c>
      <c r="P107" s="474">
        <v>0</v>
      </c>
      <c r="Q107" s="483">
        <v>0.05</v>
      </c>
      <c r="R107" s="485">
        <f t="shared" si="242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186"/>
        <v>0</v>
      </c>
      <c r="Y107" s="475">
        <v>0</v>
      </c>
      <c r="Z107" s="475">
        <v>0</v>
      </c>
      <c r="AA107" s="475">
        <v>0</v>
      </c>
      <c r="AB107" s="475">
        <f t="shared" si="243"/>
        <v>0</v>
      </c>
      <c r="AC107" s="475">
        <f t="shared" si="244"/>
        <v>0</v>
      </c>
      <c r="AD107" s="70">
        <f t="shared" si="245"/>
        <v>0</v>
      </c>
      <c r="AE107" s="70">
        <f t="shared" si="246"/>
        <v>0</v>
      </c>
      <c r="AF107" s="475">
        <v>0</v>
      </c>
      <c r="AG107" s="475">
        <v>0</v>
      </c>
      <c r="AH107" s="475">
        <f t="shared" si="247"/>
        <v>0</v>
      </c>
      <c r="AI107" s="475">
        <f t="shared" si="248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>AJ107+AL107+AM107+AO107+AP107</f>
        <v>0</v>
      </c>
      <c r="AS107" s="476">
        <f>AK107+AN107+AQ107</f>
        <v>0</v>
      </c>
      <c r="AT107" s="478">
        <f t="shared" si="249"/>
        <v>0</v>
      </c>
      <c r="AU107" s="484">
        <f>I107+AI107</f>
        <v>19656</v>
      </c>
      <c r="AV107" s="475">
        <f>J107+X107</f>
        <v>13900</v>
      </c>
      <c r="AW107" s="475">
        <f t="shared" si="250"/>
        <v>0</v>
      </c>
      <c r="AX107" s="475">
        <f t="shared" si="251"/>
        <v>4698</v>
      </c>
      <c r="AY107" s="475">
        <f t="shared" si="251"/>
        <v>278</v>
      </c>
      <c r="AZ107" s="475">
        <f>N107+AH107</f>
        <v>780</v>
      </c>
      <c r="BA107" s="476">
        <f>O107+AT107</f>
        <v>0.05</v>
      </c>
      <c r="BB107" s="476">
        <f t="shared" si="252"/>
        <v>0</v>
      </c>
      <c r="BC107" s="478">
        <f t="shared" si="252"/>
        <v>0.05</v>
      </c>
    </row>
    <row r="108" spans="1:55" ht="12.95" customHeight="1" x14ac:dyDescent="0.25">
      <c r="A108" s="352">
        <v>18</v>
      </c>
      <c r="B108" s="353">
        <v>5419</v>
      </c>
      <c r="C108" s="354">
        <v>600099261</v>
      </c>
      <c r="D108" s="353">
        <v>70946752</v>
      </c>
      <c r="E108" s="355" t="s">
        <v>405</v>
      </c>
      <c r="F108" s="319"/>
      <c r="G108" s="357"/>
      <c r="H108" s="320"/>
      <c r="I108" s="583">
        <v>16917217</v>
      </c>
      <c r="J108" s="580">
        <v>12202687</v>
      </c>
      <c r="K108" s="580">
        <v>63280</v>
      </c>
      <c r="L108" s="580">
        <v>4145897</v>
      </c>
      <c r="M108" s="580">
        <v>244053</v>
      </c>
      <c r="N108" s="580">
        <v>261300</v>
      </c>
      <c r="O108" s="581">
        <v>25.652699999999996</v>
      </c>
      <c r="P108" s="581">
        <v>17.6951</v>
      </c>
      <c r="Q108" s="585">
        <v>7.9576000000000002</v>
      </c>
      <c r="R108" s="583">
        <f t="shared" ref="R108:BC108" si="253">SUM(R103:R107)</f>
        <v>0</v>
      </c>
      <c r="S108" s="580">
        <f t="shared" si="253"/>
        <v>0</v>
      </c>
      <c r="T108" s="580">
        <f t="shared" si="253"/>
        <v>-109162</v>
      </c>
      <c r="U108" s="580">
        <f t="shared" si="253"/>
        <v>0</v>
      </c>
      <c r="V108" s="580">
        <f t="shared" si="253"/>
        <v>0</v>
      </c>
      <c r="W108" s="580">
        <f t="shared" si="253"/>
        <v>0</v>
      </c>
      <c r="X108" s="580">
        <f t="shared" si="253"/>
        <v>-109162</v>
      </c>
      <c r="Y108" s="580">
        <f t="shared" si="253"/>
        <v>0</v>
      </c>
      <c r="Z108" s="580">
        <f t="shared" si="253"/>
        <v>0</v>
      </c>
      <c r="AA108" s="580">
        <f t="shared" si="253"/>
        <v>0</v>
      </c>
      <c r="AB108" s="580">
        <f t="shared" si="253"/>
        <v>0</v>
      </c>
      <c r="AC108" s="580">
        <f t="shared" si="253"/>
        <v>-109162</v>
      </c>
      <c r="AD108" s="580">
        <f t="shared" si="253"/>
        <v>-36897</v>
      </c>
      <c r="AE108" s="580">
        <f t="shared" si="253"/>
        <v>-2184</v>
      </c>
      <c r="AF108" s="580">
        <f t="shared" si="253"/>
        <v>3700</v>
      </c>
      <c r="AG108" s="580">
        <f t="shared" si="253"/>
        <v>0</v>
      </c>
      <c r="AH108" s="580">
        <f t="shared" si="253"/>
        <v>3700</v>
      </c>
      <c r="AI108" s="580">
        <f t="shared" si="253"/>
        <v>-144543</v>
      </c>
      <c r="AJ108" s="581">
        <f t="shared" si="253"/>
        <v>0</v>
      </c>
      <c r="AK108" s="581">
        <f t="shared" si="253"/>
        <v>0</v>
      </c>
      <c r="AL108" s="581">
        <f t="shared" si="253"/>
        <v>0</v>
      </c>
      <c r="AM108" s="581">
        <f t="shared" si="253"/>
        <v>-0.16</v>
      </c>
      <c r="AN108" s="581">
        <f t="shared" si="253"/>
        <v>-0.06</v>
      </c>
      <c r="AO108" s="581">
        <f t="shared" si="253"/>
        <v>0</v>
      </c>
      <c r="AP108" s="581">
        <f t="shared" si="253"/>
        <v>0</v>
      </c>
      <c r="AQ108" s="581">
        <f t="shared" si="253"/>
        <v>0</v>
      </c>
      <c r="AR108" s="581">
        <f t="shared" si="253"/>
        <v>-0.16</v>
      </c>
      <c r="AS108" s="581">
        <f t="shared" si="253"/>
        <v>-0.06</v>
      </c>
      <c r="AT108" s="361">
        <f t="shared" si="253"/>
        <v>-0.22</v>
      </c>
      <c r="AU108" s="587">
        <f t="shared" si="253"/>
        <v>16772674</v>
      </c>
      <c r="AV108" s="580">
        <f t="shared" si="253"/>
        <v>12093525</v>
      </c>
      <c r="AW108" s="580">
        <f t="shared" si="253"/>
        <v>63280</v>
      </c>
      <c r="AX108" s="580">
        <f t="shared" si="253"/>
        <v>4109000</v>
      </c>
      <c r="AY108" s="580">
        <f t="shared" si="253"/>
        <v>241869</v>
      </c>
      <c r="AZ108" s="580">
        <f t="shared" si="253"/>
        <v>265000</v>
      </c>
      <c r="BA108" s="581">
        <f t="shared" si="253"/>
        <v>25.432699999999997</v>
      </c>
      <c r="BB108" s="581">
        <f t="shared" si="253"/>
        <v>17.5351</v>
      </c>
      <c r="BC108" s="361">
        <f t="shared" si="253"/>
        <v>7.8975999999999997</v>
      </c>
    </row>
    <row r="109" spans="1:55" ht="12.95" customHeight="1" x14ac:dyDescent="0.25">
      <c r="A109" s="308">
        <v>19</v>
      </c>
      <c r="B109" s="349">
        <v>5425</v>
      </c>
      <c r="C109" s="358">
        <v>600099521</v>
      </c>
      <c r="D109" s="309">
        <v>854859</v>
      </c>
      <c r="E109" s="351" t="s">
        <v>406</v>
      </c>
      <c r="F109" s="309">
        <v>3233</v>
      </c>
      <c r="G109" s="351" t="s">
        <v>407</v>
      </c>
      <c r="H109" s="312" t="s">
        <v>278</v>
      </c>
      <c r="I109" s="477">
        <v>3358058</v>
      </c>
      <c r="J109" s="472">
        <v>2422624</v>
      </c>
      <c r="K109" s="472">
        <v>30000</v>
      </c>
      <c r="L109" s="472">
        <v>828987</v>
      </c>
      <c r="M109" s="472">
        <v>48452</v>
      </c>
      <c r="N109" s="472">
        <v>27995</v>
      </c>
      <c r="O109" s="473">
        <v>5.3</v>
      </c>
      <c r="P109" s="474">
        <v>3.4899999999999998</v>
      </c>
      <c r="Q109" s="483">
        <v>1.81</v>
      </c>
      <c r="R109" s="485">
        <f t="shared" ref="R109" si="254">Y109*-1</f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186"/>
        <v>0</v>
      </c>
      <c r="Y109" s="475">
        <v>0</v>
      </c>
      <c r="Z109" s="475">
        <v>0</v>
      </c>
      <c r="AA109" s="475">
        <v>0</v>
      </c>
      <c r="AB109" s="475">
        <f t="shared" ref="AB109" si="255">SUM(Y109:AA109)</f>
        <v>0</v>
      </c>
      <c r="AC109" s="475">
        <f t="shared" ref="AC109" si="256">X109+AB109</f>
        <v>0</v>
      </c>
      <c r="AD109" s="70">
        <f t="shared" ref="AD109" si="257">ROUND((X109+Y109+Z109)*33.8%,0)</f>
        <v>0</v>
      </c>
      <c r="AE109" s="70">
        <f t="shared" ref="AE109" si="258">ROUND(X109*2%,0)</f>
        <v>0</v>
      </c>
      <c r="AF109" s="475">
        <v>0</v>
      </c>
      <c r="AG109" s="475">
        <v>0</v>
      </c>
      <c r="AH109" s="475">
        <f t="shared" ref="AH109" si="259">SUM(AF109:AG109)</f>
        <v>0</v>
      </c>
      <c r="AI109" s="475">
        <f t="shared" ref="AI109" si="260">AC109+AD109+AE109+AH109</f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ref="AT109" si="261">SUM(AR109:AS109)</f>
        <v>0</v>
      </c>
      <c r="AU109" s="484">
        <f>I109+AI109</f>
        <v>3358058</v>
      </c>
      <c r="AV109" s="475">
        <f>J109+X109</f>
        <v>2422624</v>
      </c>
      <c r="AW109" s="475">
        <f>K109+AB109</f>
        <v>30000</v>
      </c>
      <c r="AX109" s="475">
        <f>L109+AD109</f>
        <v>828987</v>
      </c>
      <c r="AY109" s="475">
        <f>M109+AE109</f>
        <v>48452</v>
      </c>
      <c r="AZ109" s="475">
        <f>N109+AH109</f>
        <v>27995</v>
      </c>
      <c r="BA109" s="476">
        <f>O109+AT109</f>
        <v>5.3</v>
      </c>
      <c r="BB109" s="476">
        <f>P109+AR109</f>
        <v>3.4899999999999998</v>
      </c>
      <c r="BC109" s="478">
        <f>Q109+AS109</f>
        <v>1.81</v>
      </c>
    </row>
    <row r="110" spans="1:55" ht="12.95" customHeight="1" x14ac:dyDescent="0.25">
      <c r="A110" s="352">
        <v>19</v>
      </c>
      <c r="B110" s="353">
        <v>5425</v>
      </c>
      <c r="C110" s="354">
        <v>600099521</v>
      </c>
      <c r="D110" s="353">
        <v>854859</v>
      </c>
      <c r="E110" s="355" t="s">
        <v>408</v>
      </c>
      <c r="F110" s="319"/>
      <c r="G110" s="357"/>
      <c r="H110" s="320"/>
      <c r="I110" s="582">
        <v>3358058</v>
      </c>
      <c r="J110" s="578">
        <v>2422624</v>
      </c>
      <c r="K110" s="578">
        <v>30000</v>
      </c>
      <c r="L110" s="578">
        <v>828987</v>
      </c>
      <c r="M110" s="578">
        <v>48452</v>
      </c>
      <c r="N110" s="578">
        <v>27995</v>
      </c>
      <c r="O110" s="579">
        <v>5.3</v>
      </c>
      <c r="P110" s="579">
        <v>3.4899999999999998</v>
      </c>
      <c r="Q110" s="584">
        <v>1.81</v>
      </c>
      <c r="R110" s="582">
        <f t="shared" ref="R110:BC110" si="262">SUM(R109)</f>
        <v>0</v>
      </c>
      <c r="S110" s="578">
        <f t="shared" si="262"/>
        <v>0</v>
      </c>
      <c r="T110" s="578">
        <f t="shared" si="262"/>
        <v>0</v>
      </c>
      <c r="U110" s="578">
        <f t="shared" si="262"/>
        <v>0</v>
      </c>
      <c r="V110" s="578">
        <f t="shared" si="262"/>
        <v>0</v>
      </c>
      <c r="W110" s="578">
        <f t="shared" si="262"/>
        <v>0</v>
      </c>
      <c r="X110" s="578">
        <f t="shared" si="262"/>
        <v>0</v>
      </c>
      <c r="Y110" s="578">
        <f t="shared" si="262"/>
        <v>0</v>
      </c>
      <c r="Z110" s="578">
        <f t="shared" si="262"/>
        <v>0</v>
      </c>
      <c r="AA110" s="578">
        <f t="shared" si="262"/>
        <v>0</v>
      </c>
      <c r="AB110" s="578">
        <f t="shared" si="262"/>
        <v>0</v>
      </c>
      <c r="AC110" s="578">
        <f t="shared" si="262"/>
        <v>0</v>
      </c>
      <c r="AD110" s="578">
        <f t="shared" si="262"/>
        <v>0</v>
      </c>
      <c r="AE110" s="578">
        <f t="shared" si="262"/>
        <v>0</v>
      </c>
      <c r="AF110" s="578">
        <f t="shared" si="262"/>
        <v>0</v>
      </c>
      <c r="AG110" s="578">
        <f t="shared" si="262"/>
        <v>0</v>
      </c>
      <c r="AH110" s="578">
        <f t="shared" si="262"/>
        <v>0</v>
      </c>
      <c r="AI110" s="578">
        <f t="shared" si="262"/>
        <v>0</v>
      </c>
      <c r="AJ110" s="579">
        <f t="shared" si="262"/>
        <v>0</v>
      </c>
      <c r="AK110" s="579">
        <f t="shared" si="262"/>
        <v>0</v>
      </c>
      <c r="AL110" s="579">
        <f t="shared" si="262"/>
        <v>0</v>
      </c>
      <c r="AM110" s="579">
        <f t="shared" si="262"/>
        <v>0</v>
      </c>
      <c r="AN110" s="579">
        <f t="shared" si="262"/>
        <v>0</v>
      </c>
      <c r="AO110" s="579">
        <f t="shared" si="262"/>
        <v>0</v>
      </c>
      <c r="AP110" s="579">
        <f t="shared" si="262"/>
        <v>0</v>
      </c>
      <c r="AQ110" s="579">
        <f t="shared" si="262"/>
        <v>0</v>
      </c>
      <c r="AR110" s="579">
        <f t="shared" si="262"/>
        <v>0</v>
      </c>
      <c r="AS110" s="579">
        <f t="shared" si="262"/>
        <v>0</v>
      </c>
      <c r="AT110" s="356">
        <f t="shared" si="262"/>
        <v>0</v>
      </c>
      <c r="AU110" s="586">
        <f t="shared" si="262"/>
        <v>3358058</v>
      </c>
      <c r="AV110" s="578">
        <f t="shared" si="262"/>
        <v>2422624</v>
      </c>
      <c r="AW110" s="578">
        <f t="shared" si="262"/>
        <v>30000</v>
      </c>
      <c r="AX110" s="578">
        <f t="shared" si="262"/>
        <v>828987</v>
      </c>
      <c r="AY110" s="578">
        <f t="shared" si="262"/>
        <v>48452</v>
      </c>
      <c r="AZ110" s="578">
        <f t="shared" si="262"/>
        <v>27995</v>
      </c>
      <c r="BA110" s="579">
        <f t="shared" si="262"/>
        <v>5.3</v>
      </c>
      <c r="BB110" s="579">
        <f t="shared" si="262"/>
        <v>3.4899999999999998</v>
      </c>
      <c r="BC110" s="356">
        <f t="shared" si="262"/>
        <v>1.81</v>
      </c>
    </row>
    <row r="111" spans="1:55" ht="12.95" customHeight="1" x14ac:dyDescent="0.25">
      <c r="A111" s="308">
        <v>20</v>
      </c>
      <c r="B111" s="349">
        <v>5426</v>
      </c>
      <c r="C111" s="350">
        <v>600098761</v>
      </c>
      <c r="D111" s="309">
        <v>72742615</v>
      </c>
      <c r="E111" s="351" t="s">
        <v>409</v>
      </c>
      <c r="F111" s="309">
        <v>3111</v>
      </c>
      <c r="G111" s="351" t="s">
        <v>325</v>
      </c>
      <c r="H111" s="312" t="s">
        <v>277</v>
      </c>
      <c r="I111" s="477">
        <v>6588285</v>
      </c>
      <c r="J111" s="472">
        <v>4732964</v>
      </c>
      <c r="K111" s="472">
        <v>90000</v>
      </c>
      <c r="L111" s="472">
        <v>1630162</v>
      </c>
      <c r="M111" s="472">
        <v>94659</v>
      </c>
      <c r="N111" s="472">
        <v>40500</v>
      </c>
      <c r="O111" s="473">
        <v>10.49</v>
      </c>
      <c r="P111" s="474">
        <v>8</v>
      </c>
      <c r="Q111" s="483">
        <v>2.4900000000000002</v>
      </c>
      <c r="R111" s="485">
        <f t="shared" ref="R111:R113" si="263">Y111*-1</f>
        <v>0</v>
      </c>
      <c r="S111" s="475">
        <v>0</v>
      </c>
      <c r="T111" s="475">
        <v>0</v>
      </c>
      <c r="U111" s="475">
        <v>0</v>
      </c>
      <c r="V111" s="475">
        <v>-103093</v>
      </c>
      <c r="W111" s="475">
        <v>0</v>
      </c>
      <c r="X111" s="475">
        <f t="shared" si="186"/>
        <v>-103093</v>
      </c>
      <c r="Y111" s="475">
        <v>0</v>
      </c>
      <c r="Z111" s="475">
        <v>0</v>
      </c>
      <c r="AA111" s="475">
        <v>0</v>
      </c>
      <c r="AB111" s="475">
        <f t="shared" ref="AB111:AB113" si="264">SUM(Y111:AA111)</f>
        <v>0</v>
      </c>
      <c r="AC111" s="475">
        <f t="shared" ref="AC111:AC113" si="265">X111+AB111</f>
        <v>-103093</v>
      </c>
      <c r="AD111" s="70">
        <f t="shared" ref="AD111:AD113" si="266">ROUND((X111+Y111+Z111)*33.8%,0)</f>
        <v>-34845</v>
      </c>
      <c r="AE111" s="70">
        <f t="shared" ref="AE111:AE113" si="267">ROUND(X111*2%,0)</f>
        <v>-2062</v>
      </c>
      <c r="AF111" s="475">
        <v>0</v>
      </c>
      <c r="AG111" s="475">
        <v>140000</v>
      </c>
      <c r="AH111" s="475">
        <f t="shared" ref="AH111:AH113" si="268">SUM(AF111:AG111)</f>
        <v>140000</v>
      </c>
      <c r="AI111" s="475">
        <f t="shared" ref="AI111:AI113" si="269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ref="AT111:AT113" si="270">SUM(AR111:AS111)</f>
        <v>0</v>
      </c>
      <c r="AU111" s="484">
        <f>I111+AI111</f>
        <v>6588285</v>
      </c>
      <c r="AV111" s="475">
        <f>J111+X111</f>
        <v>4629871</v>
      </c>
      <c r="AW111" s="475">
        <f t="shared" ref="AW111:AW113" si="271">K111+AB111</f>
        <v>90000</v>
      </c>
      <c r="AX111" s="475">
        <f t="shared" ref="AX111:AY113" si="272">L111+AD111</f>
        <v>1595317</v>
      </c>
      <c r="AY111" s="475">
        <f t="shared" si="272"/>
        <v>92597</v>
      </c>
      <c r="AZ111" s="475">
        <f>N111+AH111</f>
        <v>180500</v>
      </c>
      <c r="BA111" s="476">
        <f>O111+AT111</f>
        <v>10.49</v>
      </c>
      <c r="BB111" s="476">
        <f t="shared" ref="BB111:BC113" si="273">P111+AR111</f>
        <v>8</v>
      </c>
      <c r="BC111" s="478">
        <f t="shared" si="273"/>
        <v>2.4900000000000002</v>
      </c>
    </row>
    <row r="112" spans="1:55" ht="12.95" customHeight="1" x14ac:dyDescent="0.25">
      <c r="A112" s="308">
        <v>20</v>
      </c>
      <c r="B112" s="349">
        <v>5426</v>
      </c>
      <c r="C112" s="350">
        <v>600098761</v>
      </c>
      <c r="D112" s="309">
        <v>72742615</v>
      </c>
      <c r="E112" s="351" t="s">
        <v>409</v>
      </c>
      <c r="F112" s="309">
        <v>3111</v>
      </c>
      <c r="G112" s="359" t="s">
        <v>319</v>
      </c>
      <c r="H112" s="312" t="s">
        <v>278</v>
      </c>
      <c r="I112" s="477">
        <v>881530</v>
      </c>
      <c r="J112" s="472">
        <v>645825</v>
      </c>
      <c r="K112" s="472">
        <v>0</v>
      </c>
      <c r="L112" s="472">
        <v>218289</v>
      </c>
      <c r="M112" s="472">
        <v>12916</v>
      </c>
      <c r="N112" s="472">
        <v>4500</v>
      </c>
      <c r="O112" s="473">
        <v>1.8299999999999998</v>
      </c>
      <c r="P112" s="474">
        <v>1.8299999999999998</v>
      </c>
      <c r="Q112" s="483">
        <v>0</v>
      </c>
      <c r="R112" s="485">
        <f t="shared" si="263"/>
        <v>0</v>
      </c>
      <c r="S112" s="475">
        <v>43306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186"/>
        <v>43306</v>
      </c>
      <c r="Y112" s="475">
        <v>0</v>
      </c>
      <c r="Z112" s="475">
        <v>0</v>
      </c>
      <c r="AA112" s="475">
        <v>0</v>
      </c>
      <c r="AB112" s="475">
        <f t="shared" si="264"/>
        <v>0</v>
      </c>
      <c r="AC112" s="475">
        <f t="shared" si="265"/>
        <v>43306</v>
      </c>
      <c r="AD112" s="70">
        <f t="shared" si="266"/>
        <v>14637</v>
      </c>
      <c r="AE112" s="70">
        <f t="shared" si="267"/>
        <v>866</v>
      </c>
      <c r="AF112" s="475">
        <v>0</v>
      </c>
      <c r="AG112" s="475">
        <v>0</v>
      </c>
      <c r="AH112" s="475">
        <f t="shared" si="268"/>
        <v>0</v>
      </c>
      <c r="AI112" s="475">
        <f t="shared" si="269"/>
        <v>58809</v>
      </c>
      <c r="AJ112" s="476">
        <v>0</v>
      </c>
      <c r="AK112" s="476">
        <v>0</v>
      </c>
      <c r="AL112" s="476">
        <v>0.13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0.13</v>
      </c>
      <c r="AS112" s="476">
        <f>AK112+AN112+AQ112</f>
        <v>0</v>
      </c>
      <c r="AT112" s="478">
        <f t="shared" si="270"/>
        <v>0.13</v>
      </c>
      <c r="AU112" s="484">
        <f>I112+AI112</f>
        <v>940339</v>
      </c>
      <c r="AV112" s="475">
        <f>J112+X112</f>
        <v>689131</v>
      </c>
      <c r="AW112" s="475">
        <f t="shared" si="271"/>
        <v>0</v>
      </c>
      <c r="AX112" s="475">
        <f t="shared" si="272"/>
        <v>232926</v>
      </c>
      <c r="AY112" s="475">
        <f t="shared" si="272"/>
        <v>13782</v>
      </c>
      <c r="AZ112" s="475">
        <f>N112+AH112</f>
        <v>4500</v>
      </c>
      <c r="BA112" s="476">
        <f>O112+AT112</f>
        <v>1.96</v>
      </c>
      <c r="BB112" s="476">
        <f t="shared" si="273"/>
        <v>1.96</v>
      </c>
      <c r="BC112" s="478">
        <f t="shared" si="273"/>
        <v>0</v>
      </c>
    </row>
    <row r="113" spans="1:55" ht="12.95" customHeight="1" x14ac:dyDescent="0.25">
      <c r="A113" s="308">
        <v>20</v>
      </c>
      <c r="B113" s="349">
        <v>5426</v>
      </c>
      <c r="C113" s="350">
        <v>600098761</v>
      </c>
      <c r="D113" s="309">
        <v>72742615</v>
      </c>
      <c r="E113" s="351" t="s">
        <v>409</v>
      </c>
      <c r="F113" s="309">
        <v>3141</v>
      </c>
      <c r="G113" s="351" t="s">
        <v>315</v>
      </c>
      <c r="H113" s="312" t="s">
        <v>278</v>
      </c>
      <c r="I113" s="477">
        <v>1041844</v>
      </c>
      <c r="J113" s="472">
        <v>763261</v>
      </c>
      <c r="K113" s="472">
        <v>0</v>
      </c>
      <c r="L113" s="472">
        <v>257982</v>
      </c>
      <c r="M113" s="472">
        <v>15265</v>
      </c>
      <c r="N113" s="472">
        <v>5336</v>
      </c>
      <c r="O113" s="473">
        <v>2.4</v>
      </c>
      <c r="P113" s="474">
        <v>0</v>
      </c>
      <c r="Q113" s="483">
        <v>2.4</v>
      </c>
      <c r="R113" s="485">
        <f t="shared" si="263"/>
        <v>0</v>
      </c>
      <c r="S113" s="475">
        <v>0</v>
      </c>
      <c r="T113" s="475">
        <v>-17572</v>
      </c>
      <c r="U113" s="475">
        <v>0</v>
      </c>
      <c r="V113" s="475">
        <v>0</v>
      </c>
      <c r="W113" s="475">
        <v>0</v>
      </c>
      <c r="X113" s="475">
        <f t="shared" si="186"/>
        <v>-17572</v>
      </c>
      <c r="Y113" s="475">
        <v>0</v>
      </c>
      <c r="Z113" s="475">
        <v>0</v>
      </c>
      <c r="AA113" s="475">
        <v>0</v>
      </c>
      <c r="AB113" s="475">
        <f t="shared" si="264"/>
        <v>0</v>
      </c>
      <c r="AC113" s="475">
        <f t="shared" si="265"/>
        <v>-17572</v>
      </c>
      <c r="AD113" s="70">
        <f t="shared" si="266"/>
        <v>-5939</v>
      </c>
      <c r="AE113" s="70">
        <f t="shared" si="267"/>
        <v>-351</v>
      </c>
      <c r="AF113" s="475">
        <v>0</v>
      </c>
      <c r="AG113" s="475">
        <v>0</v>
      </c>
      <c r="AH113" s="475">
        <f t="shared" si="268"/>
        <v>0</v>
      </c>
      <c r="AI113" s="475">
        <f t="shared" si="269"/>
        <v>-23862</v>
      </c>
      <c r="AJ113" s="476">
        <v>0</v>
      </c>
      <c r="AK113" s="476">
        <v>0</v>
      </c>
      <c r="AL113" s="476">
        <v>0</v>
      </c>
      <c r="AM113" s="476">
        <v>0</v>
      </c>
      <c r="AN113" s="476">
        <v>-0.05</v>
      </c>
      <c r="AO113" s="476">
        <v>0</v>
      </c>
      <c r="AP113" s="476">
        <v>0</v>
      </c>
      <c r="AQ113" s="476">
        <v>0</v>
      </c>
      <c r="AR113" s="476">
        <f>AJ113+AL113+AM113+AO113+AP113</f>
        <v>0</v>
      </c>
      <c r="AS113" s="476">
        <f>AK113+AN113+AQ113</f>
        <v>-0.05</v>
      </c>
      <c r="AT113" s="478">
        <f t="shared" si="270"/>
        <v>-0.05</v>
      </c>
      <c r="AU113" s="484">
        <f>I113+AI113</f>
        <v>1017982</v>
      </c>
      <c r="AV113" s="475">
        <f>J113+X113</f>
        <v>745689</v>
      </c>
      <c r="AW113" s="475">
        <f t="shared" si="271"/>
        <v>0</v>
      </c>
      <c r="AX113" s="475">
        <f t="shared" si="272"/>
        <v>252043</v>
      </c>
      <c r="AY113" s="475">
        <f t="shared" si="272"/>
        <v>14914</v>
      </c>
      <c r="AZ113" s="475">
        <f>N113+AH113</f>
        <v>5336</v>
      </c>
      <c r="BA113" s="476">
        <f>O113+AT113</f>
        <v>2.35</v>
      </c>
      <c r="BB113" s="476">
        <f t="shared" si="273"/>
        <v>0</v>
      </c>
      <c r="BC113" s="478">
        <f t="shared" si="273"/>
        <v>2.35</v>
      </c>
    </row>
    <row r="114" spans="1:55" ht="12.95" customHeight="1" x14ac:dyDescent="0.25">
      <c r="A114" s="352">
        <v>20</v>
      </c>
      <c r="B114" s="353">
        <v>5426</v>
      </c>
      <c r="C114" s="354">
        <v>600098761</v>
      </c>
      <c r="D114" s="353">
        <v>72742615</v>
      </c>
      <c r="E114" s="355" t="s">
        <v>410</v>
      </c>
      <c r="F114" s="319"/>
      <c r="G114" s="357"/>
      <c r="H114" s="320"/>
      <c r="I114" s="583">
        <v>8511659</v>
      </c>
      <c r="J114" s="580">
        <v>6142050</v>
      </c>
      <c r="K114" s="580">
        <v>90000</v>
      </c>
      <c r="L114" s="580">
        <v>2106433</v>
      </c>
      <c r="M114" s="580">
        <v>122840</v>
      </c>
      <c r="N114" s="580">
        <v>50336</v>
      </c>
      <c r="O114" s="581">
        <v>14.72</v>
      </c>
      <c r="P114" s="581">
        <v>9.83</v>
      </c>
      <c r="Q114" s="585">
        <v>4.8900000000000006</v>
      </c>
      <c r="R114" s="583">
        <f t="shared" ref="R114:BC114" si="274">SUM(R111:R113)</f>
        <v>0</v>
      </c>
      <c r="S114" s="580">
        <f t="shared" si="274"/>
        <v>43306</v>
      </c>
      <c r="T114" s="580">
        <f t="shared" si="274"/>
        <v>-17572</v>
      </c>
      <c r="U114" s="580">
        <f t="shared" si="274"/>
        <v>0</v>
      </c>
      <c r="V114" s="580">
        <f t="shared" si="274"/>
        <v>-103093</v>
      </c>
      <c r="W114" s="580">
        <f t="shared" si="274"/>
        <v>0</v>
      </c>
      <c r="X114" s="580">
        <f t="shared" si="274"/>
        <v>-77359</v>
      </c>
      <c r="Y114" s="580">
        <f t="shared" si="274"/>
        <v>0</v>
      </c>
      <c r="Z114" s="580">
        <f t="shared" si="274"/>
        <v>0</v>
      </c>
      <c r="AA114" s="580">
        <f t="shared" si="274"/>
        <v>0</v>
      </c>
      <c r="AB114" s="580">
        <f t="shared" si="274"/>
        <v>0</v>
      </c>
      <c r="AC114" s="580">
        <f t="shared" si="274"/>
        <v>-77359</v>
      </c>
      <c r="AD114" s="580">
        <f t="shared" si="274"/>
        <v>-26147</v>
      </c>
      <c r="AE114" s="580">
        <f t="shared" si="274"/>
        <v>-1547</v>
      </c>
      <c r="AF114" s="580">
        <f t="shared" si="274"/>
        <v>0</v>
      </c>
      <c r="AG114" s="580">
        <f t="shared" si="274"/>
        <v>140000</v>
      </c>
      <c r="AH114" s="580">
        <f t="shared" si="274"/>
        <v>140000</v>
      </c>
      <c r="AI114" s="580">
        <f t="shared" si="274"/>
        <v>34947</v>
      </c>
      <c r="AJ114" s="581">
        <f t="shared" si="274"/>
        <v>0</v>
      </c>
      <c r="AK114" s="581">
        <f t="shared" si="274"/>
        <v>0</v>
      </c>
      <c r="AL114" s="581">
        <f t="shared" si="274"/>
        <v>0.13</v>
      </c>
      <c r="AM114" s="581">
        <f t="shared" si="274"/>
        <v>0</v>
      </c>
      <c r="AN114" s="581">
        <f t="shared" si="274"/>
        <v>-0.05</v>
      </c>
      <c r="AO114" s="581">
        <f t="shared" si="274"/>
        <v>0</v>
      </c>
      <c r="AP114" s="581">
        <f t="shared" si="274"/>
        <v>0</v>
      </c>
      <c r="AQ114" s="581">
        <f t="shared" si="274"/>
        <v>0</v>
      </c>
      <c r="AR114" s="581">
        <f t="shared" si="274"/>
        <v>0.13</v>
      </c>
      <c r="AS114" s="581">
        <f t="shared" si="274"/>
        <v>-0.05</v>
      </c>
      <c r="AT114" s="361">
        <f t="shared" si="274"/>
        <v>0.08</v>
      </c>
      <c r="AU114" s="587">
        <f t="shared" si="274"/>
        <v>8546606</v>
      </c>
      <c r="AV114" s="580">
        <f t="shared" si="274"/>
        <v>6064691</v>
      </c>
      <c r="AW114" s="580">
        <f t="shared" si="274"/>
        <v>90000</v>
      </c>
      <c r="AX114" s="580">
        <f t="shared" si="274"/>
        <v>2080286</v>
      </c>
      <c r="AY114" s="580">
        <f t="shared" si="274"/>
        <v>121293</v>
      </c>
      <c r="AZ114" s="580">
        <f t="shared" si="274"/>
        <v>190336</v>
      </c>
      <c r="BA114" s="581">
        <f t="shared" si="274"/>
        <v>14.799999999999999</v>
      </c>
      <c r="BB114" s="581">
        <f t="shared" si="274"/>
        <v>9.9600000000000009</v>
      </c>
      <c r="BC114" s="361">
        <f t="shared" si="274"/>
        <v>4.84</v>
      </c>
    </row>
    <row r="115" spans="1:55" ht="12.95" customHeight="1" x14ac:dyDescent="0.25">
      <c r="A115" s="308">
        <v>21</v>
      </c>
      <c r="B115" s="349">
        <v>5423</v>
      </c>
      <c r="C115" s="350">
        <v>600098516</v>
      </c>
      <c r="D115" s="309">
        <v>72742453</v>
      </c>
      <c r="E115" s="351" t="s">
        <v>411</v>
      </c>
      <c r="F115" s="309">
        <v>3111</v>
      </c>
      <c r="G115" s="351" t="s">
        <v>325</v>
      </c>
      <c r="H115" s="312" t="s">
        <v>277</v>
      </c>
      <c r="I115" s="477">
        <v>10047041</v>
      </c>
      <c r="J115" s="472">
        <v>7354007</v>
      </c>
      <c r="K115" s="472">
        <v>0</v>
      </c>
      <c r="L115" s="472">
        <v>2485654</v>
      </c>
      <c r="M115" s="472">
        <v>147080</v>
      </c>
      <c r="N115" s="472">
        <v>60300</v>
      </c>
      <c r="O115" s="473">
        <v>16.567700000000002</v>
      </c>
      <c r="P115" s="474">
        <v>11.967700000000001</v>
      </c>
      <c r="Q115" s="483">
        <v>4.5999999999999996</v>
      </c>
      <c r="R115" s="485">
        <f t="shared" ref="R115:R117" si="275">Y115*-1</f>
        <v>0</v>
      </c>
      <c r="S115" s="475">
        <v>0</v>
      </c>
      <c r="T115" s="475">
        <v>0</v>
      </c>
      <c r="U115" s="475">
        <v>0</v>
      </c>
      <c r="V115" s="475">
        <v>-73638</v>
      </c>
      <c r="W115" s="475">
        <v>0</v>
      </c>
      <c r="X115" s="475">
        <f t="shared" si="186"/>
        <v>-73638</v>
      </c>
      <c r="Y115" s="475">
        <v>0</v>
      </c>
      <c r="Z115" s="475">
        <v>0</v>
      </c>
      <c r="AA115" s="475">
        <v>0</v>
      </c>
      <c r="AB115" s="475">
        <f t="shared" ref="AB115:AB117" si="276">SUM(Y115:AA115)</f>
        <v>0</v>
      </c>
      <c r="AC115" s="475">
        <f t="shared" ref="AC115:AC117" si="277">X115+AB115</f>
        <v>-73638</v>
      </c>
      <c r="AD115" s="70">
        <f t="shared" ref="AD115:AD117" si="278">ROUND((X115+Y115+Z115)*33.8%,0)</f>
        <v>-24890</v>
      </c>
      <c r="AE115" s="70">
        <f t="shared" ref="AE115:AE117" si="279">ROUND(X115*2%,0)</f>
        <v>-1473</v>
      </c>
      <c r="AF115" s="475">
        <v>0</v>
      </c>
      <c r="AG115" s="475">
        <v>100001</v>
      </c>
      <c r="AH115" s="475">
        <f t="shared" ref="AH115:AH117" si="280">SUM(AF115:AG115)</f>
        <v>100001</v>
      </c>
      <c r="AI115" s="475">
        <f t="shared" ref="AI115:AI117" si="281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ref="AT115:AT117" si="282">SUM(AR115:AS115)</f>
        <v>0</v>
      </c>
      <c r="AU115" s="484">
        <f>I115+AI115</f>
        <v>10047041</v>
      </c>
      <c r="AV115" s="475">
        <f>J115+X115</f>
        <v>7280369</v>
      </c>
      <c r="AW115" s="475">
        <f t="shared" ref="AW115:AW117" si="283">K115+AB115</f>
        <v>0</v>
      </c>
      <c r="AX115" s="475">
        <f t="shared" ref="AX115:AY117" si="284">L115+AD115</f>
        <v>2460764</v>
      </c>
      <c r="AY115" s="475">
        <f t="shared" si="284"/>
        <v>145607</v>
      </c>
      <c r="AZ115" s="475">
        <f>N115+AH115</f>
        <v>160301</v>
      </c>
      <c r="BA115" s="476">
        <f>O115+AT115</f>
        <v>16.567700000000002</v>
      </c>
      <c r="BB115" s="476">
        <f t="shared" ref="BB115:BC117" si="285">P115+AR115</f>
        <v>11.967700000000001</v>
      </c>
      <c r="BC115" s="478">
        <f t="shared" si="285"/>
        <v>4.5999999999999996</v>
      </c>
    </row>
    <row r="116" spans="1:55" ht="12.95" customHeight="1" x14ac:dyDescent="0.25">
      <c r="A116" s="308">
        <v>21</v>
      </c>
      <c r="B116" s="349">
        <v>5423</v>
      </c>
      <c r="C116" s="350">
        <v>600098516</v>
      </c>
      <c r="D116" s="309">
        <v>72742453</v>
      </c>
      <c r="E116" s="351" t="s">
        <v>411</v>
      </c>
      <c r="F116" s="309">
        <v>3111</v>
      </c>
      <c r="G116" s="351" t="s">
        <v>319</v>
      </c>
      <c r="H116" s="312" t="s">
        <v>278</v>
      </c>
      <c r="I116" s="477">
        <v>274440</v>
      </c>
      <c r="J116" s="472">
        <v>202092</v>
      </c>
      <c r="K116" s="472">
        <v>0</v>
      </c>
      <c r="L116" s="472">
        <v>68307</v>
      </c>
      <c r="M116" s="472">
        <v>4041</v>
      </c>
      <c r="N116" s="472">
        <v>0</v>
      </c>
      <c r="O116" s="473">
        <v>0.57999999999999985</v>
      </c>
      <c r="P116" s="474">
        <v>0.57999999999999985</v>
      </c>
      <c r="Q116" s="483">
        <v>0</v>
      </c>
      <c r="R116" s="485">
        <f t="shared" si="275"/>
        <v>0</v>
      </c>
      <c r="S116" s="475">
        <v>173222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186"/>
        <v>173222</v>
      </c>
      <c r="Y116" s="475">
        <v>0</v>
      </c>
      <c r="Z116" s="475">
        <v>0</v>
      </c>
      <c r="AA116" s="475">
        <v>0</v>
      </c>
      <c r="AB116" s="475">
        <f t="shared" si="276"/>
        <v>0</v>
      </c>
      <c r="AC116" s="475">
        <f t="shared" si="277"/>
        <v>173222</v>
      </c>
      <c r="AD116" s="70">
        <f t="shared" si="278"/>
        <v>58549</v>
      </c>
      <c r="AE116" s="70">
        <f t="shared" si="279"/>
        <v>3464</v>
      </c>
      <c r="AF116" s="475">
        <v>0</v>
      </c>
      <c r="AG116" s="475">
        <v>0</v>
      </c>
      <c r="AH116" s="475">
        <f t="shared" si="280"/>
        <v>0</v>
      </c>
      <c r="AI116" s="475">
        <f t="shared" si="281"/>
        <v>235235</v>
      </c>
      <c r="AJ116" s="476">
        <v>0</v>
      </c>
      <c r="AK116" s="476">
        <v>0</v>
      </c>
      <c r="AL116" s="476">
        <v>0.5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476">
        <f>AJ116+AL116+AM116+AO116+AP116</f>
        <v>0.5</v>
      </c>
      <c r="AS116" s="476">
        <f>AK116+AN116+AQ116</f>
        <v>0</v>
      </c>
      <c r="AT116" s="478">
        <f t="shared" si="282"/>
        <v>0.5</v>
      </c>
      <c r="AU116" s="484">
        <f>I116+AI116</f>
        <v>509675</v>
      </c>
      <c r="AV116" s="475">
        <f>J116+X116</f>
        <v>375314</v>
      </c>
      <c r="AW116" s="475">
        <f t="shared" si="283"/>
        <v>0</v>
      </c>
      <c r="AX116" s="475">
        <f t="shared" si="284"/>
        <v>126856</v>
      </c>
      <c r="AY116" s="475">
        <f t="shared" si="284"/>
        <v>7505</v>
      </c>
      <c r="AZ116" s="475">
        <f>N116+AH116</f>
        <v>0</v>
      </c>
      <c r="BA116" s="476">
        <f>O116+AT116</f>
        <v>1.0799999999999998</v>
      </c>
      <c r="BB116" s="476">
        <f t="shared" si="285"/>
        <v>1.0799999999999998</v>
      </c>
      <c r="BC116" s="478">
        <f t="shared" si="285"/>
        <v>0</v>
      </c>
    </row>
    <row r="117" spans="1:55" ht="12.95" customHeight="1" x14ac:dyDescent="0.25">
      <c r="A117" s="308">
        <v>21</v>
      </c>
      <c r="B117" s="349">
        <v>5423</v>
      </c>
      <c r="C117" s="350">
        <v>600098516</v>
      </c>
      <c r="D117" s="309">
        <v>72742453</v>
      </c>
      <c r="E117" s="351" t="s">
        <v>411</v>
      </c>
      <c r="F117" s="309">
        <v>3141</v>
      </c>
      <c r="G117" s="351" t="s">
        <v>315</v>
      </c>
      <c r="H117" s="312" t="s">
        <v>278</v>
      </c>
      <c r="I117" s="477">
        <v>1676143</v>
      </c>
      <c r="J117" s="472">
        <v>1227855</v>
      </c>
      <c r="K117" s="472">
        <v>0</v>
      </c>
      <c r="L117" s="472">
        <v>415015</v>
      </c>
      <c r="M117" s="472">
        <v>24557</v>
      </c>
      <c r="N117" s="472">
        <v>8716</v>
      </c>
      <c r="O117" s="473">
        <v>3.87</v>
      </c>
      <c r="P117" s="474">
        <v>0</v>
      </c>
      <c r="Q117" s="483">
        <v>3.87</v>
      </c>
      <c r="R117" s="485">
        <f t="shared" si="275"/>
        <v>0</v>
      </c>
      <c r="S117" s="475">
        <v>0</v>
      </c>
      <c r="T117" s="475">
        <v>-3899</v>
      </c>
      <c r="U117" s="475">
        <v>0</v>
      </c>
      <c r="V117" s="475">
        <v>0</v>
      </c>
      <c r="W117" s="475">
        <v>0</v>
      </c>
      <c r="X117" s="475">
        <f t="shared" si="186"/>
        <v>-3899</v>
      </c>
      <c r="Y117" s="475">
        <v>0</v>
      </c>
      <c r="Z117" s="475">
        <v>0</v>
      </c>
      <c r="AA117" s="475">
        <v>0</v>
      </c>
      <c r="AB117" s="475">
        <f t="shared" si="276"/>
        <v>0</v>
      </c>
      <c r="AC117" s="475">
        <f t="shared" si="277"/>
        <v>-3899</v>
      </c>
      <c r="AD117" s="70">
        <f t="shared" si="278"/>
        <v>-1318</v>
      </c>
      <c r="AE117" s="70">
        <f t="shared" si="279"/>
        <v>-78</v>
      </c>
      <c r="AF117" s="475">
        <v>0</v>
      </c>
      <c r="AG117" s="475">
        <v>0</v>
      </c>
      <c r="AH117" s="475">
        <f t="shared" si="280"/>
        <v>0</v>
      </c>
      <c r="AI117" s="475">
        <f t="shared" si="281"/>
        <v>-5295</v>
      </c>
      <c r="AJ117" s="476">
        <v>0</v>
      </c>
      <c r="AK117" s="476">
        <v>0</v>
      </c>
      <c r="AL117" s="476">
        <v>0</v>
      </c>
      <c r="AM117" s="476">
        <v>0</v>
      </c>
      <c r="AN117" s="476">
        <v>-0.01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-0.01</v>
      </c>
      <c r="AT117" s="478">
        <f t="shared" si="282"/>
        <v>-0.01</v>
      </c>
      <c r="AU117" s="484">
        <f>I117+AI117</f>
        <v>1670848</v>
      </c>
      <c r="AV117" s="475">
        <f>J117+X117</f>
        <v>1223956</v>
      </c>
      <c r="AW117" s="475">
        <f t="shared" si="283"/>
        <v>0</v>
      </c>
      <c r="AX117" s="475">
        <f t="shared" si="284"/>
        <v>413697</v>
      </c>
      <c r="AY117" s="475">
        <f t="shared" si="284"/>
        <v>24479</v>
      </c>
      <c r="AZ117" s="475">
        <f>N117+AH117</f>
        <v>8716</v>
      </c>
      <c r="BA117" s="476">
        <f>O117+AT117</f>
        <v>3.8600000000000003</v>
      </c>
      <c r="BB117" s="476">
        <f t="shared" si="285"/>
        <v>0</v>
      </c>
      <c r="BC117" s="478">
        <f t="shared" si="285"/>
        <v>3.8600000000000003</v>
      </c>
    </row>
    <row r="118" spans="1:55" ht="12.95" customHeight="1" x14ac:dyDescent="0.25">
      <c r="A118" s="352">
        <v>21</v>
      </c>
      <c r="B118" s="353">
        <v>5423</v>
      </c>
      <c r="C118" s="354">
        <v>600098516</v>
      </c>
      <c r="D118" s="353">
        <v>72742453</v>
      </c>
      <c r="E118" s="355" t="s">
        <v>412</v>
      </c>
      <c r="F118" s="319"/>
      <c r="G118" s="357"/>
      <c r="H118" s="320"/>
      <c r="I118" s="582">
        <v>11997624</v>
      </c>
      <c r="J118" s="578">
        <v>8783954</v>
      </c>
      <c r="K118" s="578">
        <v>0</v>
      </c>
      <c r="L118" s="578">
        <v>2968976</v>
      </c>
      <c r="M118" s="578">
        <v>175678</v>
      </c>
      <c r="N118" s="578">
        <v>69016</v>
      </c>
      <c r="O118" s="579">
        <v>21.017700000000001</v>
      </c>
      <c r="P118" s="579">
        <v>12.547700000000001</v>
      </c>
      <c r="Q118" s="584">
        <v>8.4699999999999989</v>
      </c>
      <c r="R118" s="582">
        <f t="shared" ref="R118:BC118" si="286">SUM(R115:R117)</f>
        <v>0</v>
      </c>
      <c r="S118" s="578">
        <f t="shared" si="286"/>
        <v>173222</v>
      </c>
      <c r="T118" s="578">
        <f t="shared" si="286"/>
        <v>-3899</v>
      </c>
      <c r="U118" s="578">
        <f t="shared" si="286"/>
        <v>0</v>
      </c>
      <c r="V118" s="578">
        <f t="shared" si="286"/>
        <v>-73638</v>
      </c>
      <c r="W118" s="578">
        <f t="shared" si="286"/>
        <v>0</v>
      </c>
      <c r="X118" s="578">
        <f t="shared" si="286"/>
        <v>95685</v>
      </c>
      <c r="Y118" s="578">
        <f t="shared" si="286"/>
        <v>0</v>
      </c>
      <c r="Z118" s="578">
        <f t="shared" si="286"/>
        <v>0</v>
      </c>
      <c r="AA118" s="578">
        <f t="shared" si="286"/>
        <v>0</v>
      </c>
      <c r="AB118" s="578">
        <f t="shared" si="286"/>
        <v>0</v>
      </c>
      <c r="AC118" s="578">
        <f t="shared" si="286"/>
        <v>95685</v>
      </c>
      <c r="AD118" s="578">
        <f t="shared" si="286"/>
        <v>32341</v>
      </c>
      <c r="AE118" s="578">
        <f t="shared" si="286"/>
        <v>1913</v>
      </c>
      <c r="AF118" s="578">
        <f t="shared" si="286"/>
        <v>0</v>
      </c>
      <c r="AG118" s="578">
        <f t="shared" si="286"/>
        <v>100001</v>
      </c>
      <c r="AH118" s="578">
        <f t="shared" si="286"/>
        <v>100001</v>
      </c>
      <c r="AI118" s="578">
        <f t="shared" si="286"/>
        <v>229940</v>
      </c>
      <c r="AJ118" s="579">
        <f t="shared" si="286"/>
        <v>0</v>
      </c>
      <c r="AK118" s="579">
        <f t="shared" si="286"/>
        <v>0</v>
      </c>
      <c r="AL118" s="579">
        <f t="shared" si="286"/>
        <v>0.5</v>
      </c>
      <c r="AM118" s="579">
        <f t="shared" si="286"/>
        <v>0</v>
      </c>
      <c r="AN118" s="579">
        <f t="shared" si="286"/>
        <v>-0.01</v>
      </c>
      <c r="AO118" s="579">
        <f t="shared" si="286"/>
        <v>0</v>
      </c>
      <c r="AP118" s="579">
        <f t="shared" si="286"/>
        <v>0</v>
      </c>
      <c r="AQ118" s="579">
        <f t="shared" si="286"/>
        <v>0</v>
      </c>
      <c r="AR118" s="579">
        <f t="shared" si="286"/>
        <v>0.5</v>
      </c>
      <c r="AS118" s="579">
        <f t="shared" si="286"/>
        <v>-0.01</v>
      </c>
      <c r="AT118" s="356">
        <f t="shared" si="286"/>
        <v>0.49</v>
      </c>
      <c r="AU118" s="586">
        <f t="shared" si="286"/>
        <v>12227564</v>
      </c>
      <c r="AV118" s="578">
        <f t="shared" si="286"/>
        <v>8879639</v>
      </c>
      <c r="AW118" s="578">
        <f t="shared" si="286"/>
        <v>0</v>
      </c>
      <c r="AX118" s="578">
        <f t="shared" si="286"/>
        <v>3001317</v>
      </c>
      <c r="AY118" s="578">
        <f t="shared" si="286"/>
        <v>177591</v>
      </c>
      <c r="AZ118" s="578">
        <f t="shared" si="286"/>
        <v>169017</v>
      </c>
      <c r="BA118" s="579">
        <f t="shared" si="286"/>
        <v>21.5077</v>
      </c>
      <c r="BB118" s="579">
        <f t="shared" si="286"/>
        <v>13.047700000000001</v>
      </c>
      <c r="BC118" s="356">
        <f t="shared" si="286"/>
        <v>8.4600000000000009</v>
      </c>
    </row>
    <row r="119" spans="1:55" ht="12.75" customHeight="1" x14ac:dyDescent="0.25">
      <c r="A119" s="308">
        <v>22</v>
      </c>
      <c r="B119" s="349">
        <v>5422</v>
      </c>
      <c r="C119" s="350">
        <v>600099181</v>
      </c>
      <c r="D119" s="309">
        <v>854751</v>
      </c>
      <c r="E119" s="351" t="s">
        <v>413</v>
      </c>
      <c r="F119" s="309">
        <v>3113</v>
      </c>
      <c r="G119" s="351" t="s">
        <v>329</v>
      </c>
      <c r="H119" s="312" t="s">
        <v>277</v>
      </c>
      <c r="I119" s="477">
        <v>38678021</v>
      </c>
      <c r="J119" s="472">
        <v>27692526</v>
      </c>
      <c r="K119" s="472">
        <v>110000</v>
      </c>
      <c r="L119" s="472">
        <v>9397254</v>
      </c>
      <c r="M119" s="472">
        <v>553851</v>
      </c>
      <c r="N119" s="472">
        <v>924390</v>
      </c>
      <c r="O119" s="473">
        <v>49.683999999999997</v>
      </c>
      <c r="P119" s="474">
        <v>38.095199999999998</v>
      </c>
      <c r="Q119" s="483">
        <v>11.588799999999999</v>
      </c>
      <c r="R119" s="485">
        <f t="shared" ref="R119:R123" si="287">Y119*-1</f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186"/>
        <v>0</v>
      </c>
      <c r="Y119" s="475">
        <v>0</v>
      </c>
      <c r="Z119" s="475">
        <v>0</v>
      </c>
      <c r="AA119" s="475">
        <v>0</v>
      </c>
      <c r="AB119" s="475">
        <f t="shared" ref="AB119:AB123" si="288">SUM(Y119:AA119)</f>
        <v>0</v>
      </c>
      <c r="AC119" s="475">
        <f t="shared" ref="AC119:AC123" si="289">X119+AB119</f>
        <v>0</v>
      </c>
      <c r="AD119" s="70">
        <f t="shared" ref="AD119:AD123" si="290">ROUND((X119+Y119+Z119)*33.8%,0)</f>
        <v>0</v>
      </c>
      <c r="AE119" s="70">
        <f t="shared" ref="AE119:AE123" si="291">ROUND(X119*2%,0)</f>
        <v>0</v>
      </c>
      <c r="AF119" s="475">
        <v>0</v>
      </c>
      <c r="AG119" s="475">
        <v>0</v>
      </c>
      <c r="AH119" s="475">
        <f t="shared" ref="AH119:AH123" si="292">SUM(AF119:AG119)</f>
        <v>0</v>
      </c>
      <c r="AI119" s="475">
        <f t="shared" ref="AI119:AI123" si="293">AC119+AD119+AE119+AH119</f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ref="AT119:AT123" si="294">SUM(AR119:AS119)</f>
        <v>0</v>
      </c>
      <c r="AU119" s="484">
        <f>I119+AI119</f>
        <v>38678021</v>
      </c>
      <c r="AV119" s="475">
        <f>J119+X119</f>
        <v>27692526</v>
      </c>
      <c r="AW119" s="475">
        <f t="shared" ref="AW119:AW123" si="295">K119+AB119</f>
        <v>110000</v>
      </c>
      <c r="AX119" s="475">
        <f t="shared" ref="AX119:AY123" si="296">L119+AD119</f>
        <v>9397254</v>
      </c>
      <c r="AY119" s="475">
        <f t="shared" si="296"/>
        <v>553851</v>
      </c>
      <c r="AZ119" s="475">
        <f>N119+AH119</f>
        <v>924390</v>
      </c>
      <c r="BA119" s="476">
        <f>O119+AT119</f>
        <v>49.683999999999997</v>
      </c>
      <c r="BB119" s="476">
        <f t="shared" ref="BB119:BC123" si="297">P119+AR119</f>
        <v>38.095199999999998</v>
      </c>
      <c r="BC119" s="478">
        <f t="shared" si="297"/>
        <v>11.588799999999999</v>
      </c>
    </row>
    <row r="120" spans="1:55" ht="12.95" customHeight="1" x14ac:dyDescent="0.25">
      <c r="A120" s="308">
        <v>22</v>
      </c>
      <c r="B120" s="349">
        <v>5422</v>
      </c>
      <c r="C120" s="350">
        <v>600099181</v>
      </c>
      <c r="D120" s="309">
        <v>854751</v>
      </c>
      <c r="E120" s="351" t="s">
        <v>413</v>
      </c>
      <c r="F120" s="309">
        <v>3113</v>
      </c>
      <c r="G120" s="351" t="s">
        <v>319</v>
      </c>
      <c r="H120" s="312" t="s">
        <v>278</v>
      </c>
      <c r="I120" s="477">
        <v>3776862</v>
      </c>
      <c r="J120" s="472">
        <v>2779648</v>
      </c>
      <c r="K120" s="472">
        <v>0</v>
      </c>
      <c r="L120" s="472">
        <v>939521</v>
      </c>
      <c r="M120" s="472">
        <v>55593</v>
      </c>
      <c r="N120" s="472">
        <v>2100</v>
      </c>
      <c r="O120" s="473">
        <v>7.8900000000000006</v>
      </c>
      <c r="P120" s="474">
        <v>7.8900000000000006</v>
      </c>
      <c r="Q120" s="483">
        <v>0</v>
      </c>
      <c r="R120" s="485">
        <f t="shared" si="287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186"/>
        <v>0</v>
      </c>
      <c r="Y120" s="475">
        <v>0</v>
      </c>
      <c r="Z120" s="475">
        <v>0</v>
      </c>
      <c r="AA120" s="475">
        <v>0</v>
      </c>
      <c r="AB120" s="475">
        <f t="shared" si="288"/>
        <v>0</v>
      </c>
      <c r="AC120" s="475">
        <f t="shared" si="289"/>
        <v>0</v>
      </c>
      <c r="AD120" s="70">
        <f t="shared" si="290"/>
        <v>0</v>
      </c>
      <c r="AE120" s="70">
        <f t="shared" si="291"/>
        <v>0</v>
      </c>
      <c r="AF120" s="475">
        <v>2000</v>
      </c>
      <c r="AG120" s="475">
        <v>0</v>
      </c>
      <c r="AH120" s="475">
        <f t="shared" si="292"/>
        <v>2000</v>
      </c>
      <c r="AI120" s="475">
        <f t="shared" si="293"/>
        <v>2000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>AJ120+AL120+AM120+AO120+AP120</f>
        <v>0</v>
      </c>
      <c r="AS120" s="476">
        <f>AK120+AN120+AQ120</f>
        <v>0</v>
      </c>
      <c r="AT120" s="478">
        <f t="shared" si="294"/>
        <v>0</v>
      </c>
      <c r="AU120" s="484">
        <f>I120+AI120</f>
        <v>3778862</v>
      </c>
      <c r="AV120" s="475">
        <f>J120+X120</f>
        <v>2779648</v>
      </c>
      <c r="AW120" s="475">
        <f t="shared" si="295"/>
        <v>0</v>
      </c>
      <c r="AX120" s="475">
        <f t="shared" si="296"/>
        <v>939521</v>
      </c>
      <c r="AY120" s="475">
        <f t="shared" si="296"/>
        <v>55593</v>
      </c>
      <c r="AZ120" s="475">
        <f>N120+AH120</f>
        <v>4100</v>
      </c>
      <c r="BA120" s="476">
        <f>O120+AT120</f>
        <v>7.8900000000000006</v>
      </c>
      <c r="BB120" s="476">
        <f t="shared" si="297"/>
        <v>7.8900000000000006</v>
      </c>
      <c r="BC120" s="478">
        <f t="shared" si="297"/>
        <v>0</v>
      </c>
    </row>
    <row r="121" spans="1:55" ht="12.95" customHeight="1" x14ac:dyDescent="0.25">
      <c r="A121" s="308">
        <v>22</v>
      </c>
      <c r="B121" s="349">
        <v>5422</v>
      </c>
      <c r="C121" s="350">
        <v>600099181</v>
      </c>
      <c r="D121" s="309">
        <v>854751</v>
      </c>
      <c r="E121" s="351" t="s">
        <v>413</v>
      </c>
      <c r="F121" s="309">
        <v>3141</v>
      </c>
      <c r="G121" s="351" t="s">
        <v>315</v>
      </c>
      <c r="H121" s="312" t="s">
        <v>278</v>
      </c>
      <c r="I121" s="477">
        <v>3821586</v>
      </c>
      <c r="J121" s="472">
        <v>2777112</v>
      </c>
      <c r="K121" s="472">
        <v>10000</v>
      </c>
      <c r="L121" s="472">
        <v>942044</v>
      </c>
      <c r="M121" s="472">
        <v>55542</v>
      </c>
      <c r="N121" s="472">
        <v>36888</v>
      </c>
      <c r="O121" s="473">
        <v>8.7799999999999994</v>
      </c>
      <c r="P121" s="474">
        <v>0</v>
      </c>
      <c r="Q121" s="483">
        <v>8.7799999999999994</v>
      </c>
      <c r="R121" s="485">
        <f t="shared" si="287"/>
        <v>0</v>
      </c>
      <c r="S121" s="475">
        <v>0</v>
      </c>
      <c r="T121" s="475">
        <v>-14082</v>
      </c>
      <c r="U121" s="475">
        <v>0</v>
      </c>
      <c r="V121" s="475">
        <v>0</v>
      </c>
      <c r="W121" s="475">
        <v>0</v>
      </c>
      <c r="X121" s="475">
        <f t="shared" si="186"/>
        <v>-14082</v>
      </c>
      <c r="Y121" s="475">
        <v>0</v>
      </c>
      <c r="Z121" s="475">
        <v>0</v>
      </c>
      <c r="AA121" s="475">
        <v>0</v>
      </c>
      <c r="AB121" s="475">
        <f t="shared" si="288"/>
        <v>0</v>
      </c>
      <c r="AC121" s="475">
        <f t="shared" si="289"/>
        <v>-14082</v>
      </c>
      <c r="AD121" s="70">
        <f t="shared" si="290"/>
        <v>-4760</v>
      </c>
      <c r="AE121" s="70">
        <f t="shared" si="291"/>
        <v>-282</v>
      </c>
      <c r="AF121" s="475">
        <v>0</v>
      </c>
      <c r="AG121" s="475">
        <v>0</v>
      </c>
      <c r="AH121" s="475">
        <f t="shared" si="292"/>
        <v>0</v>
      </c>
      <c r="AI121" s="475">
        <f t="shared" si="293"/>
        <v>-19124</v>
      </c>
      <c r="AJ121" s="476">
        <v>0</v>
      </c>
      <c r="AK121" s="476">
        <v>0</v>
      </c>
      <c r="AL121" s="476">
        <v>0</v>
      </c>
      <c r="AM121" s="476">
        <v>0</v>
      </c>
      <c r="AN121" s="476">
        <v>-0.05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-0.05</v>
      </c>
      <c r="AT121" s="478">
        <f t="shared" si="294"/>
        <v>-0.05</v>
      </c>
      <c r="AU121" s="484">
        <f>I121+AI121</f>
        <v>3802462</v>
      </c>
      <c r="AV121" s="475">
        <f>J121+X121</f>
        <v>2763030</v>
      </c>
      <c r="AW121" s="475">
        <f t="shared" si="295"/>
        <v>10000</v>
      </c>
      <c r="AX121" s="475">
        <f t="shared" si="296"/>
        <v>937284</v>
      </c>
      <c r="AY121" s="475">
        <f t="shared" si="296"/>
        <v>55260</v>
      </c>
      <c r="AZ121" s="475">
        <f>N121+AH121</f>
        <v>36888</v>
      </c>
      <c r="BA121" s="476">
        <f>O121+AT121</f>
        <v>8.7299999999999986</v>
      </c>
      <c r="BB121" s="476">
        <f t="shared" si="297"/>
        <v>0</v>
      </c>
      <c r="BC121" s="478">
        <f t="shared" si="297"/>
        <v>8.7299999999999986</v>
      </c>
    </row>
    <row r="122" spans="1:55" ht="12.95" customHeight="1" x14ac:dyDescent="0.25">
      <c r="A122" s="308">
        <v>22</v>
      </c>
      <c r="B122" s="349">
        <v>5422</v>
      </c>
      <c r="C122" s="350">
        <v>600099181</v>
      </c>
      <c r="D122" s="309">
        <v>854751</v>
      </c>
      <c r="E122" s="351" t="s">
        <v>413</v>
      </c>
      <c r="F122" s="309">
        <v>3143</v>
      </c>
      <c r="G122" s="351" t="s">
        <v>626</v>
      </c>
      <c r="H122" s="312" t="s">
        <v>277</v>
      </c>
      <c r="I122" s="477">
        <v>2208860</v>
      </c>
      <c r="J122" s="472">
        <v>1626554</v>
      </c>
      <c r="K122" s="472">
        <v>0</v>
      </c>
      <c r="L122" s="472">
        <v>549775</v>
      </c>
      <c r="M122" s="472">
        <v>32531</v>
      </c>
      <c r="N122" s="472">
        <v>0</v>
      </c>
      <c r="O122" s="473">
        <v>3.4821</v>
      </c>
      <c r="P122" s="474">
        <v>3.4821</v>
      </c>
      <c r="Q122" s="483">
        <v>0</v>
      </c>
      <c r="R122" s="485">
        <f t="shared" si="287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186"/>
        <v>0</v>
      </c>
      <c r="Y122" s="475">
        <v>0</v>
      </c>
      <c r="Z122" s="475">
        <v>0</v>
      </c>
      <c r="AA122" s="475">
        <v>0</v>
      </c>
      <c r="AB122" s="475">
        <f t="shared" si="288"/>
        <v>0</v>
      </c>
      <c r="AC122" s="475">
        <f t="shared" si="289"/>
        <v>0</v>
      </c>
      <c r="AD122" s="70">
        <f t="shared" si="290"/>
        <v>0</v>
      </c>
      <c r="AE122" s="70">
        <f t="shared" si="291"/>
        <v>0</v>
      </c>
      <c r="AF122" s="475">
        <v>0</v>
      </c>
      <c r="AG122" s="475">
        <v>0</v>
      </c>
      <c r="AH122" s="475">
        <f t="shared" si="292"/>
        <v>0</v>
      </c>
      <c r="AI122" s="475">
        <f t="shared" si="293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>AJ122+AL122+AM122+AO122+AP122</f>
        <v>0</v>
      </c>
      <c r="AS122" s="476">
        <f>AK122+AN122+AQ122</f>
        <v>0</v>
      </c>
      <c r="AT122" s="478">
        <f t="shared" si="294"/>
        <v>0</v>
      </c>
      <c r="AU122" s="484">
        <f>I122+AI122</f>
        <v>2208860</v>
      </c>
      <c r="AV122" s="475">
        <f>J122+X122</f>
        <v>1626554</v>
      </c>
      <c r="AW122" s="475">
        <f t="shared" si="295"/>
        <v>0</v>
      </c>
      <c r="AX122" s="475">
        <f t="shared" si="296"/>
        <v>549775</v>
      </c>
      <c r="AY122" s="475">
        <f t="shared" si="296"/>
        <v>32531</v>
      </c>
      <c r="AZ122" s="475">
        <f>N122+AH122</f>
        <v>0</v>
      </c>
      <c r="BA122" s="476">
        <f>O122+AT122</f>
        <v>3.4821</v>
      </c>
      <c r="BB122" s="476">
        <f t="shared" si="297"/>
        <v>3.4821</v>
      </c>
      <c r="BC122" s="478">
        <f t="shared" si="297"/>
        <v>0</v>
      </c>
    </row>
    <row r="123" spans="1:55" ht="12.95" customHeight="1" x14ac:dyDescent="0.25">
      <c r="A123" s="308">
        <v>22</v>
      </c>
      <c r="B123" s="349">
        <v>5422</v>
      </c>
      <c r="C123" s="350">
        <v>600099181</v>
      </c>
      <c r="D123" s="309">
        <v>854751</v>
      </c>
      <c r="E123" s="351" t="s">
        <v>413</v>
      </c>
      <c r="F123" s="309">
        <v>3143</v>
      </c>
      <c r="G123" s="351" t="s">
        <v>627</v>
      </c>
      <c r="H123" s="312" t="s">
        <v>278</v>
      </c>
      <c r="I123" s="477">
        <v>74844</v>
      </c>
      <c r="J123" s="472">
        <v>52926</v>
      </c>
      <c r="K123" s="472">
        <v>0</v>
      </c>
      <c r="L123" s="472">
        <v>17889</v>
      </c>
      <c r="M123" s="472">
        <v>1059</v>
      </c>
      <c r="N123" s="472">
        <v>2970</v>
      </c>
      <c r="O123" s="473">
        <v>0.21</v>
      </c>
      <c r="P123" s="474">
        <v>0</v>
      </c>
      <c r="Q123" s="483">
        <v>0.21</v>
      </c>
      <c r="R123" s="485">
        <f t="shared" si="287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186"/>
        <v>0</v>
      </c>
      <c r="Y123" s="475">
        <v>0</v>
      </c>
      <c r="Z123" s="475">
        <v>0</v>
      </c>
      <c r="AA123" s="475">
        <v>0</v>
      </c>
      <c r="AB123" s="475">
        <f t="shared" si="288"/>
        <v>0</v>
      </c>
      <c r="AC123" s="475">
        <f t="shared" si="289"/>
        <v>0</v>
      </c>
      <c r="AD123" s="70">
        <f t="shared" si="290"/>
        <v>0</v>
      </c>
      <c r="AE123" s="70">
        <f t="shared" si="291"/>
        <v>0</v>
      </c>
      <c r="AF123" s="475">
        <v>0</v>
      </c>
      <c r="AG123" s="475">
        <v>0</v>
      </c>
      <c r="AH123" s="475">
        <f t="shared" si="292"/>
        <v>0</v>
      </c>
      <c r="AI123" s="475">
        <f t="shared" si="293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si="294"/>
        <v>0</v>
      </c>
      <c r="AU123" s="484">
        <f>I123+AI123</f>
        <v>74844</v>
      </c>
      <c r="AV123" s="475">
        <f>J123+X123</f>
        <v>52926</v>
      </c>
      <c r="AW123" s="475">
        <f t="shared" si="295"/>
        <v>0</v>
      </c>
      <c r="AX123" s="475">
        <f t="shared" si="296"/>
        <v>17889</v>
      </c>
      <c r="AY123" s="475">
        <f t="shared" si="296"/>
        <v>1059</v>
      </c>
      <c r="AZ123" s="475">
        <f>N123+AH123</f>
        <v>2970</v>
      </c>
      <c r="BA123" s="476">
        <f>O123+AT123</f>
        <v>0.21</v>
      </c>
      <c r="BB123" s="476">
        <f t="shared" si="297"/>
        <v>0</v>
      </c>
      <c r="BC123" s="478">
        <f t="shared" si="297"/>
        <v>0.21</v>
      </c>
    </row>
    <row r="124" spans="1:55" ht="12.95" customHeight="1" x14ac:dyDescent="0.25">
      <c r="A124" s="352">
        <v>22</v>
      </c>
      <c r="B124" s="353">
        <v>5422</v>
      </c>
      <c r="C124" s="354">
        <v>600099181</v>
      </c>
      <c r="D124" s="353">
        <v>854751</v>
      </c>
      <c r="E124" s="355" t="s">
        <v>414</v>
      </c>
      <c r="F124" s="319"/>
      <c r="G124" s="357"/>
      <c r="H124" s="320"/>
      <c r="I124" s="582">
        <v>48560173</v>
      </c>
      <c r="J124" s="578">
        <v>34928766</v>
      </c>
      <c r="K124" s="578">
        <v>120000</v>
      </c>
      <c r="L124" s="578">
        <v>11846483</v>
      </c>
      <c r="M124" s="578">
        <v>698576</v>
      </c>
      <c r="N124" s="578">
        <v>966348</v>
      </c>
      <c r="O124" s="579">
        <v>70.046099999999996</v>
      </c>
      <c r="P124" s="579">
        <v>49.467300000000002</v>
      </c>
      <c r="Q124" s="584">
        <v>20.578800000000001</v>
      </c>
      <c r="R124" s="582">
        <f t="shared" ref="R124:BC124" si="298">SUM(R119:R123)</f>
        <v>0</v>
      </c>
      <c r="S124" s="578">
        <f t="shared" si="298"/>
        <v>0</v>
      </c>
      <c r="T124" s="578">
        <f t="shared" si="298"/>
        <v>-14082</v>
      </c>
      <c r="U124" s="578">
        <f t="shared" si="298"/>
        <v>0</v>
      </c>
      <c r="V124" s="578">
        <f t="shared" si="298"/>
        <v>0</v>
      </c>
      <c r="W124" s="578">
        <f t="shared" si="298"/>
        <v>0</v>
      </c>
      <c r="X124" s="578">
        <f t="shared" si="298"/>
        <v>-14082</v>
      </c>
      <c r="Y124" s="578">
        <f t="shared" si="298"/>
        <v>0</v>
      </c>
      <c r="Z124" s="578">
        <f t="shared" si="298"/>
        <v>0</v>
      </c>
      <c r="AA124" s="578">
        <f t="shared" si="298"/>
        <v>0</v>
      </c>
      <c r="AB124" s="578">
        <f t="shared" si="298"/>
        <v>0</v>
      </c>
      <c r="AC124" s="578">
        <f t="shared" si="298"/>
        <v>-14082</v>
      </c>
      <c r="AD124" s="578">
        <f t="shared" si="298"/>
        <v>-4760</v>
      </c>
      <c r="AE124" s="578">
        <f t="shared" si="298"/>
        <v>-282</v>
      </c>
      <c r="AF124" s="578">
        <f t="shared" si="298"/>
        <v>2000</v>
      </c>
      <c r="AG124" s="578">
        <f t="shared" si="298"/>
        <v>0</v>
      </c>
      <c r="AH124" s="578">
        <f t="shared" si="298"/>
        <v>2000</v>
      </c>
      <c r="AI124" s="578">
        <f t="shared" si="298"/>
        <v>-17124</v>
      </c>
      <c r="AJ124" s="579">
        <f t="shared" si="298"/>
        <v>0</v>
      </c>
      <c r="AK124" s="579">
        <f t="shared" si="298"/>
        <v>0</v>
      </c>
      <c r="AL124" s="579">
        <f t="shared" si="298"/>
        <v>0</v>
      </c>
      <c r="AM124" s="579">
        <f t="shared" si="298"/>
        <v>0</v>
      </c>
      <c r="AN124" s="579">
        <f t="shared" si="298"/>
        <v>-0.05</v>
      </c>
      <c r="AO124" s="579">
        <f t="shared" si="298"/>
        <v>0</v>
      </c>
      <c r="AP124" s="579">
        <f t="shared" si="298"/>
        <v>0</v>
      </c>
      <c r="AQ124" s="579">
        <f t="shared" si="298"/>
        <v>0</v>
      </c>
      <c r="AR124" s="579">
        <f t="shared" si="298"/>
        <v>0</v>
      </c>
      <c r="AS124" s="579">
        <f t="shared" si="298"/>
        <v>-0.05</v>
      </c>
      <c r="AT124" s="356">
        <f t="shared" si="298"/>
        <v>-0.05</v>
      </c>
      <c r="AU124" s="586">
        <f t="shared" si="298"/>
        <v>48543049</v>
      </c>
      <c r="AV124" s="578">
        <f t="shared" si="298"/>
        <v>34914684</v>
      </c>
      <c r="AW124" s="578">
        <f t="shared" si="298"/>
        <v>120000</v>
      </c>
      <c r="AX124" s="578">
        <f t="shared" si="298"/>
        <v>11841723</v>
      </c>
      <c r="AY124" s="578">
        <f t="shared" si="298"/>
        <v>698294</v>
      </c>
      <c r="AZ124" s="578">
        <f t="shared" si="298"/>
        <v>968348</v>
      </c>
      <c r="BA124" s="579">
        <f t="shared" si="298"/>
        <v>69.996099999999998</v>
      </c>
      <c r="BB124" s="579">
        <f t="shared" si="298"/>
        <v>49.467300000000002</v>
      </c>
      <c r="BC124" s="356">
        <f t="shared" si="298"/>
        <v>20.528799999999997</v>
      </c>
    </row>
    <row r="125" spans="1:55" ht="12.95" customHeight="1" x14ac:dyDescent="0.25">
      <c r="A125" s="308">
        <v>23</v>
      </c>
      <c r="B125" s="349">
        <v>5424</v>
      </c>
      <c r="C125" s="350">
        <v>600099431</v>
      </c>
      <c r="D125" s="309">
        <v>72742372</v>
      </c>
      <c r="E125" s="351" t="s">
        <v>415</v>
      </c>
      <c r="F125" s="309">
        <v>3114</v>
      </c>
      <c r="G125" s="359" t="s">
        <v>556</v>
      </c>
      <c r="H125" s="312" t="s">
        <v>277</v>
      </c>
      <c r="I125" s="477">
        <v>5291320</v>
      </c>
      <c r="J125" s="472">
        <v>3848795</v>
      </c>
      <c r="K125" s="472">
        <v>12000</v>
      </c>
      <c r="L125" s="472">
        <v>1304949</v>
      </c>
      <c r="M125" s="472">
        <v>76976</v>
      </c>
      <c r="N125" s="472">
        <v>48600</v>
      </c>
      <c r="O125" s="473">
        <v>6.8526999999999996</v>
      </c>
      <c r="P125" s="474">
        <v>5.1773999999999996</v>
      </c>
      <c r="Q125" s="483">
        <v>1.6753</v>
      </c>
      <c r="R125" s="485">
        <f t="shared" ref="R125:R126" si="299">Y125*-1</f>
        <v>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si="186"/>
        <v>0</v>
      </c>
      <c r="Y125" s="475">
        <v>0</v>
      </c>
      <c r="Z125" s="475">
        <v>0</v>
      </c>
      <c r="AA125" s="475">
        <v>0</v>
      </c>
      <c r="AB125" s="475">
        <f t="shared" ref="AB125:AB126" si="300">SUM(Y125:AA125)</f>
        <v>0</v>
      </c>
      <c r="AC125" s="475">
        <f t="shared" ref="AC125:AC126" si="301">X125+AB125</f>
        <v>0</v>
      </c>
      <c r="AD125" s="70">
        <f t="shared" ref="AD125:AD126" si="302">ROUND((X125+Y125+Z125)*33.8%,0)</f>
        <v>0</v>
      </c>
      <c r="AE125" s="70">
        <f t="shared" ref="AE125:AE126" si="303">ROUND(X125*2%,0)</f>
        <v>0</v>
      </c>
      <c r="AF125" s="475">
        <v>0</v>
      </c>
      <c r="AG125" s="475">
        <v>0</v>
      </c>
      <c r="AH125" s="475">
        <f t="shared" ref="AH125:AH126" si="304">SUM(AF125:AG125)</f>
        <v>0</v>
      </c>
      <c r="AI125" s="475">
        <f t="shared" ref="AI125:AI126" si="305">AC125+AD125+AE125+AH125</f>
        <v>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</v>
      </c>
      <c r="AT125" s="478">
        <f t="shared" ref="AT125:AT126" si="306">SUM(AR125:AS125)</f>
        <v>0</v>
      </c>
      <c r="AU125" s="484">
        <f>I125+AI125</f>
        <v>5291320</v>
      </c>
      <c r="AV125" s="475">
        <f>J125+X125</f>
        <v>3848795</v>
      </c>
      <c r="AW125" s="475">
        <f t="shared" ref="AW125:AW126" si="307">K125+AB125</f>
        <v>12000</v>
      </c>
      <c r="AX125" s="475">
        <f>L125+AD125</f>
        <v>1304949</v>
      </c>
      <c r="AY125" s="475">
        <f>M125+AE125</f>
        <v>76976</v>
      </c>
      <c r="AZ125" s="475">
        <f>N125+AH125</f>
        <v>48600</v>
      </c>
      <c r="BA125" s="476">
        <f>O125+AT125</f>
        <v>6.8526999999999996</v>
      </c>
      <c r="BB125" s="476">
        <f>P125+AR125</f>
        <v>5.1773999999999996</v>
      </c>
      <c r="BC125" s="478">
        <f>Q125+AS125</f>
        <v>1.6753</v>
      </c>
    </row>
    <row r="126" spans="1:55" ht="12.95" customHeight="1" x14ac:dyDescent="0.25">
      <c r="A126" s="308">
        <v>23</v>
      </c>
      <c r="B126" s="349">
        <v>5424</v>
      </c>
      <c r="C126" s="350">
        <v>600099431</v>
      </c>
      <c r="D126" s="309">
        <v>72742372</v>
      </c>
      <c r="E126" s="351" t="s">
        <v>415</v>
      </c>
      <c r="F126" s="309">
        <v>3114</v>
      </c>
      <c r="G126" s="359" t="s">
        <v>313</v>
      </c>
      <c r="H126" s="312" t="s">
        <v>277</v>
      </c>
      <c r="I126" s="477">
        <v>535161</v>
      </c>
      <c r="J126" s="472">
        <v>394080</v>
      </c>
      <c r="K126" s="472">
        <v>0</v>
      </c>
      <c r="L126" s="472">
        <v>133199</v>
      </c>
      <c r="M126" s="472">
        <v>7882</v>
      </c>
      <c r="N126" s="472">
        <v>0</v>
      </c>
      <c r="O126" s="473">
        <v>1</v>
      </c>
      <c r="P126" s="474">
        <v>1</v>
      </c>
      <c r="Q126" s="483">
        <v>0</v>
      </c>
      <c r="R126" s="485">
        <f t="shared" si="299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186"/>
        <v>0</v>
      </c>
      <c r="Y126" s="475">
        <v>0</v>
      </c>
      <c r="Z126" s="475">
        <v>0</v>
      </c>
      <c r="AA126" s="475">
        <v>0</v>
      </c>
      <c r="AB126" s="475">
        <f t="shared" si="300"/>
        <v>0</v>
      </c>
      <c r="AC126" s="475">
        <f t="shared" si="301"/>
        <v>0</v>
      </c>
      <c r="AD126" s="70">
        <f t="shared" si="302"/>
        <v>0</v>
      </c>
      <c r="AE126" s="70">
        <f t="shared" si="303"/>
        <v>0</v>
      </c>
      <c r="AF126" s="475">
        <v>0</v>
      </c>
      <c r="AG126" s="475">
        <v>0</v>
      </c>
      <c r="AH126" s="475">
        <f t="shared" si="304"/>
        <v>0</v>
      </c>
      <c r="AI126" s="475">
        <f t="shared" si="305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si="306"/>
        <v>0</v>
      </c>
      <c r="AU126" s="484">
        <f>I126+AI126</f>
        <v>535161</v>
      </c>
      <c r="AV126" s="475">
        <f>J126+X126</f>
        <v>394080</v>
      </c>
      <c r="AW126" s="475">
        <f t="shared" si="307"/>
        <v>0</v>
      </c>
      <c r="AX126" s="475">
        <f>L126+AD126</f>
        <v>133199</v>
      </c>
      <c r="AY126" s="475">
        <f>M126+AE126</f>
        <v>7882</v>
      </c>
      <c r="AZ126" s="475">
        <f>N126+AH126</f>
        <v>0</v>
      </c>
      <c r="BA126" s="476">
        <f>O126+AT126</f>
        <v>1</v>
      </c>
      <c r="BB126" s="476">
        <f>P126+AR126</f>
        <v>1</v>
      </c>
      <c r="BC126" s="478">
        <f>Q126+AS126</f>
        <v>0</v>
      </c>
    </row>
    <row r="127" spans="1:55" ht="12.95" customHeight="1" x14ac:dyDescent="0.25">
      <c r="A127" s="352">
        <v>23</v>
      </c>
      <c r="B127" s="353">
        <v>5424</v>
      </c>
      <c r="C127" s="354">
        <v>600099431</v>
      </c>
      <c r="D127" s="353">
        <v>72742372</v>
      </c>
      <c r="E127" s="355" t="s">
        <v>416</v>
      </c>
      <c r="F127" s="319"/>
      <c r="G127" s="357"/>
      <c r="H127" s="320"/>
      <c r="I127" s="582">
        <v>5826481</v>
      </c>
      <c r="J127" s="578">
        <v>4242875</v>
      </c>
      <c r="K127" s="578">
        <v>12000</v>
      </c>
      <c r="L127" s="578">
        <v>1438148</v>
      </c>
      <c r="M127" s="578">
        <v>84858</v>
      </c>
      <c r="N127" s="578">
        <v>48600</v>
      </c>
      <c r="O127" s="579">
        <v>7.8526999999999996</v>
      </c>
      <c r="P127" s="579">
        <v>6.1773999999999996</v>
      </c>
      <c r="Q127" s="584">
        <v>1.6753</v>
      </c>
      <c r="R127" s="582">
        <f t="shared" ref="R127:BC127" si="308">SUM(R125:R126)</f>
        <v>0</v>
      </c>
      <c r="S127" s="578">
        <f t="shared" si="308"/>
        <v>0</v>
      </c>
      <c r="T127" s="578">
        <f t="shared" si="308"/>
        <v>0</v>
      </c>
      <c r="U127" s="578">
        <f t="shared" si="308"/>
        <v>0</v>
      </c>
      <c r="V127" s="578">
        <f t="shared" si="308"/>
        <v>0</v>
      </c>
      <c r="W127" s="578">
        <f t="shared" si="308"/>
        <v>0</v>
      </c>
      <c r="X127" s="578">
        <f t="shared" si="308"/>
        <v>0</v>
      </c>
      <c r="Y127" s="578">
        <f t="shared" si="308"/>
        <v>0</v>
      </c>
      <c r="Z127" s="578">
        <f t="shared" si="308"/>
        <v>0</v>
      </c>
      <c r="AA127" s="578">
        <f t="shared" si="308"/>
        <v>0</v>
      </c>
      <c r="AB127" s="578">
        <f t="shared" si="308"/>
        <v>0</v>
      </c>
      <c r="AC127" s="578">
        <f t="shared" si="308"/>
        <v>0</v>
      </c>
      <c r="AD127" s="578">
        <f t="shared" si="308"/>
        <v>0</v>
      </c>
      <c r="AE127" s="578">
        <f t="shared" si="308"/>
        <v>0</v>
      </c>
      <c r="AF127" s="578">
        <f t="shared" si="308"/>
        <v>0</v>
      </c>
      <c r="AG127" s="578">
        <f t="shared" si="308"/>
        <v>0</v>
      </c>
      <c r="AH127" s="578">
        <f t="shared" si="308"/>
        <v>0</v>
      </c>
      <c r="AI127" s="578">
        <f t="shared" si="308"/>
        <v>0</v>
      </c>
      <c r="AJ127" s="579">
        <f t="shared" si="308"/>
        <v>0</v>
      </c>
      <c r="AK127" s="579">
        <f t="shared" si="308"/>
        <v>0</v>
      </c>
      <c r="AL127" s="579">
        <f t="shared" si="308"/>
        <v>0</v>
      </c>
      <c r="AM127" s="579">
        <f t="shared" si="308"/>
        <v>0</v>
      </c>
      <c r="AN127" s="579">
        <f t="shared" si="308"/>
        <v>0</v>
      </c>
      <c r="AO127" s="579">
        <f t="shared" si="308"/>
        <v>0</v>
      </c>
      <c r="AP127" s="579">
        <f t="shared" si="308"/>
        <v>0</v>
      </c>
      <c r="AQ127" s="579">
        <f t="shared" si="308"/>
        <v>0</v>
      </c>
      <c r="AR127" s="579">
        <f t="shared" si="308"/>
        <v>0</v>
      </c>
      <c r="AS127" s="579">
        <f t="shared" si="308"/>
        <v>0</v>
      </c>
      <c r="AT127" s="356">
        <f t="shared" si="308"/>
        <v>0</v>
      </c>
      <c r="AU127" s="586">
        <f t="shared" si="308"/>
        <v>5826481</v>
      </c>
      <c r="AV127" s="578">
        <f t="shared" si="308"/>
        <v>4242875</v>
      </c>
      <c r="AW127" s="578">
        <f t="shared" si="308"/>
        <v>12000</v>
      </c>
      <c r="AX127" s="578">
        <f t="shared" si="308"/>
        <v>1438148</v>
      </c>
      <c r="AY127" s="578">
        <f t="shared" si="308"/>
        <v>84858</v>
      </c>
      <c r="AZ127" s="578">
        <f t="shared" si="308"/>
        <v>48600</v>
      </c>
      <c r="BA127" s="579">
        <f t="shared" si="308"/>
        <v>7.8526999999999996</v>
      </c>
      <c r="BB127" s="579">
        <f t="shared" si="308"/>
        <v>6.1773999999999996</v>
      </c>
      <c r="BC127" s="356">
        <f t="shared" si="308"/>
        <v>1.6753</v>
      </c>
    </row>
    <row r="128" spans="1:55" ht="12.95" customHeight="1" x14ac:dyDescent="0.25">
      <c r="A128" s="308">
        <v>24</v>
      </c>
      <c r="B128" s="349">
        <v>5427</v>
      </c>
      <c r="C128" s="350">
        <v>600099407</v>
      </c>
      <c r="D128" s="309">
        <v>72742534</v>
      </c>
      <c r="E128" s="351" t="s">
        <v>417</v>
      </c>
      <c r="F128" s="309">
        <v>3231</v>
      </c>
      <c r="G128" s="351" t="s">
        <v>418</v>
      </c>
      <c r="H128" s="312" t="s">
        <v>277</v>
      </c>
      <c r="I128" s="477">
        <v>10116903</v>
      </c>
      <c r="J128" s="472">
        <v>7422587</v>
      </c>
      <c r="K128" s="472">
        <v>0</v>
      </c>
      <c r="L128" s="472">
        <v>2508834</v>
      </c>
      <c r="M128" s="472">
        <v>148452</v>
      </c>
      <c r="N128" s="472">
        <v>37030</v>
      </c>
      <c r="O128" s="473">
        <v>13.834199999999999</v>
      </c>
      <c r="P128" s="474">
        <v>12.1707</v>
      </c>
      <c r="Q128" s="483">
        <v>1.6635</v>
      </c>
      <c r="R128" s="485">
        <f t="shared" ref="R128:R129" si="309">Y128*-1</f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186"/>
        <v>0</v>
      </c>
      <c r="Y128" s="475">
        <v>0</v>
      </c>
      <c r="Z128" s="475">
        <v>0</v>
      </c>
      <c r="AA128" s="475">
        <v>0</v>
      </c>
      <c r="AB128" s="475">
        <f t="shared" ref="AB128:AB129" si="310">SUM(Y128:AA128)</f>
        <v>0</v>
      </c>
      <c r="AC128" s="475">
        <f t="shared" ref="AC128:AC129" si="311">X128+AB128</f>
        <v>0</v>
      </c>
      <c r="AD128" s="70">
        <f t="shared" ref="AD128:AD129" si="312">ROUND((X128+Y128+Z128)*33.8%,0)</f>
        <v>0</v>
      </c>
      <c r="AE128" s="70">
        <f t="shared" ref="AE128:AE129" si="313">ROUND(X128*2%,0)</f>
        <v>0</v>
      </c>
      <c r="AF128" s="475">
        <v>0</v>
      </c>
      <c r="AG128" s="475">
        <v>0</v>
      </c>
      <c r="AH128" s="475">
        <f t="shared" ref="AH128:AH129" si="314">SUM(AF128:AG128)</f>
        <v>0</v>
      </c>
      <c r="AI128" s="475">
        <f t="shared" ref="AI128:AI129" si="315">AC128+AD128+AE128+AH128</f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0</v>
      </c>
      <c r="AT128" s="478">
        <f t="shared" ref="AT128:AT129" si="316">SUM(AR128:AS128)</f>
        <v>0</v>
      </c>
      <c r="AU128" s="484">
        <f>I128+AI128</f>
        <v>10116903</v>
      </c>
      <c r="AV128" s="475">
        <f>J128+X128</f>
        <v>7422587</v>
      </c>
      <c r="AW128" s="475">
        <f t="shared" ref="AW128:AW129" si="317">K128+AB128</f>
        <v>0</v>
      </c>
      <c r="AX128" s="475">
        <f>L128+AD128</f>
        <v>2508834</v>
      </c>
      <c r="AY128" s="475">
        <f>M128+AE128</f>
        <v>148452</v>
      </c>
      <c r="AZ128" s="475">
        <f>N128+AH128</f>
        <v>37030</v>
      </c>
      <c r="BA128" s="476">
        <f>O128+AT128</f>
        <v>13.834199999999999</v>
      </c>
      <c r="BB128" s="476">
        <f>P128+AR128</f>
        <v>12.1707</v>
      </c>
      <c r="BC128" s="478">
        <f>Q128+AS128</f>
        <v>1.6635</v>
      </c>
    </row>
    <row r="129" spans="1:55" ht="12.95" customHeight="1" x14ac:dyDescent="0.25">
      <c r="A129" s="308">
        <v>24</v>
      </c>
      <c r="B129" s="349">
        <v>5427</v>
      </c>
      <c r="C129" s="350">
        <v>600099407</v>
      </c>
      <c r="D129" s="309">
        <v>72742534</v>
      </c>
      <c r="E129" s="351" t="s">
        <v>417</v>
      </c>
      <c r="F129" s="309">
        <v>3231</v>
      </c>
      <c r="G129" s="351" t="s">
        <v>319</v>
      </c>
      <c r="H129" s="312" t="s">
        <v>278</v>
      </c>
      <c r="I129" s="477">
        <v>117618</v>
      </c>
      <c r="J129" s="472">
        <v>86611</v>
      </c>
      <c r="K129" s="472">
        <v>0</v>
      </c>
      <c r="L129" s="472">
        <v>29275</v>
      </c>
      <c r="M129" s="472">
        <v>1732</v>
      </c>
      <c r="N129" s="472">
        <v>0</v>
      </c>
      <c r="O129" s="473">
        <v>0.25</v>
      </c>
      <c r="P129" s="474">
        <v>0.25</v>
      </c>
      <c r="Q129" s="483">
        <v>0</v>
      </c>
      <c r="R129" s="485">
        <f t="shared" si="309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186"/>
        <v>0</v>
      </c>
      <c r="Y129" s="475">
        <v>0</v>
      </c>
      <c r="Z129" s="475">
        <v>0</v>
      </c>
      <c r="AA129" s="475">
        <v>0</v>
      </c>
      <c r="AB129" s="475">
        <f t="shared" si="310"/>
        <v>0</v>
      </c>
      <c r="AC129" s="475">
        <f t="shared" si="311"/>
        <v>0</v>
      </c>
      <c r="AD129" s="70">
        <f t="shared" si="312"/>
        <v>0</v>
      </c>
      <c r="AE129" s="70">
        <f t="shared" si="313"/>
        <v>0</v>
      </c>
      <c r="AF129" s="475">
        <v>0</v>
      </c>
      <c r="AG129" s="475">
        <v>0</v>
      </c>
      <c r="AH129" s="475">
        <f t="shared" si="314"/>
        <v>0</v>
      </c>
      <c r="AI129" s="475">
        <f t="shared" si="315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316"/>
        <v>0</v>
      </c>
      <c r="AU129" s="484">
        <f>I129+AI129</f>
        <v>117618</v>
      </c>
      <c r="AV129" s="475">
        <f>J129+X129</f>
        <v>86611</v>
      </c>
      <c r="AW129" s="475">
        <f t="shared" si="317"/>
        <v>0</v>
      </c>
      <c r="AX129" s="475">
        <f>L129+AD129</f>
        <v>29275</v>
      </c>
      <c r="AY129" s="475">
        <f>M129+AE129</f>
        <v>1732</v>
      </c>
      <c r="AZ129" s="475">
        <f>N129+AH129</f>
        <v>0</v>
      </c>
      <c r="BA129" s="476">
        <f>O129+AT129</f>
        <v>0.25</v>
      </c>
      <c r="BB129" s="476">
        <f>P129+AR129</f>
        <v>0.25</v>
      </c>
      <c r="BC129" s="478">
        <f>Q129+AS129</f>
        <v>0</v>
      </c>
    </row>
    <row r="130" spans="1:55" ht="12.95" customHeight="1" x14ac:dyDescent="0.25">
      <c r="A130" s="352">
        <v>24</v>
      </c>
      <c r="B130" s="353">
        <v>5427</v>
      </c>
      <c r="C130" s="354">
        <v>600099431</v>
      </c>
      <c r="D130" s="353">
        <v>72742534</v>
      </c>
      <c r="E130" s="355" t="s">
        <v>419</v>
      </c>
      <c r="F130" s="319"/>
      <c r="G130" s="357"/>
      <c r="H130" s="320"/>
      <c r="I130" s="582">
        <v>10234521</v>
      </c>
      <c r="J130" s="578">
        <v>7509198</v>
      </c>
      <c r="K130" s="578">
        <v>0</v>
      </c>
      <c r="L130" s="578">
        <v>2538109</v>
      </c>
      <c r="M130" s="578">
        <v>150184</v>
      </c>
      <c r="N130" s="578">
        <v>37030</v>
      </c>
      <c r="O130" s="579">
        <v>14.084199999999999</v>
      </c>
      <c r="P130" s="579">
        <v>12.4207</v>
      </c>
      <c r="Q130" s="584">
        <v>1.6635</v>
      </c>
      <c r="R130" s="582">
        <f t="shared" ref="R130:BC130" si="318">SUM(R128:R129)</f>
        <v>0</v>
      </c>
      <c r="S130" s="578">
        <f t="shared" si="318"/>
        <v>0</v>
      </c>
      <c r="T130" s="578">
        <f t="shared" si="318"/>
        <v>0</v>
      </c>
      <c r="U130" s="578">
        <f t="shared" si="318"/>
        <v>0</v>
      </c>
      <c r="V130" s="578">
        <f t="shared" si="318"/>
        <v>0</v>
      </c>
      <c r="W130" s="578">
        <f t="shared" si="318"/>
        <v>0</v>
      </c>
      <c r="X130" s="578">
        <f t="shared" si="318"/>
        <v>0</v>
      </c>
      <c r="Y130" s="578">
        <f t="shared" si="318"/>
        <v>0</v>
      </c>
      <c r="Z130" s="578">
        <f t="shared" si="318"/>
        <v>0</v>
      </c>
      <c r="AA130" s="578">
        <f t="shared" si="318"/>
        <v>0</v>
      </c>
      <c r="AB130" s="578">
        <f t="shared" si="318"/>
        <v>0</v>
      </c>
      <c r="AC130" s="578">
        <f t="shared" si="318"/>
        <v>0</v>
      </c>
      <c r="AD130" s="578">
        <f t="shared" si="318"/>
        <v>0</v>
      </c>
      <c r="AE130" s="578">
        <f t="shared" si="318"/>
        <v>0</v>
      </c>
      <c r="AF130" s="578">
        <f t="shared" si="318"/>
        <v>0</v>
      </c>
      <c r="AG130" s="578">
        <f t="shared" si="318"/>
        <v>0</v>
      </c>
      <c r="AH130" s="578">
        <f t="shared" si="318"/>
        <v>0</v>
      </c>
      <c r="AI130" s="578">
        <f t="shared" si="318"/>
        <v>0</v>
      </c>
      <c r="AJ130" s="579">
        <f t="shared" si="318"/>
        <v>0</v>
      </c>
      <c r="AK130" s="579">
        <f t="shared" si="318"/>
        <v>0</v>
      </c>
      <c r="AL130" s="579">
        <f t="shared" si="318"/>
        <v>0</v>
      </c>
      <c r="AM130" s="579">
        <f t="shared" si="318"/>
        <v>0</v>
      </c>
      <c r="AN130" s="579">
        <f t="shared" si="318"/>
        <v>0</v>
      </c>
      <c r="AO130" s="579">
        <f t="shared" si="318"/>
        <v>0</v>
      </c>
      <c r="AP130" s="579">
        <f t="shared" si="318"/>
        <v>0</v>
      </c>
      <c r="AQ130" s="579">
        <f t="shared" si="318"/>
        <v>0</v>
      </c>
      <c r="AR130" s="579">
        <f t="shared" si="318"/>
        <v>0</v>
      </c>
      <c r="AS130" s="579">
        <f t="shared" si="318"/>
        <v>0</v>
      </c>
      <c r="AT130" s="356">
        <f t="shared" si="318"/>
        <v>0</v>
      </c>
      <c r="AU130" s="586">
        <f t="shared" si="318"/>
        <v>10234521</v>
      </c>
      <c r="AV130" s="578">
        <f t="shared" si="318"/>
        <v>7509198</v>
      </c>
      <c r="AW130" s="578">
        <f t="shared" si="318"/>
        <v>0</v>
      </c>
      <c r="AX130" s="578">
        <f t="shared" si="318"/>
        <v>2538109</v>
      </c>
      <c r="AY130" s="578">
        <f t="shared" si="318"/>
        <v>150184</v>
      </c>
      <c r="AZ130" s="578">
        <f t="shared" si="318"/>
        <v>37030</v>
      </c>
      <c r="BA130" s="579">
        <f t="shared" si="318"/>
        <v>14.084199999999999</v>
      </c>
      <c r="BB130" s="579">
        <f t="shared" si="318"/>
        <v>12.4207</v>
      </c>
      <c r="BC130" s="356">
        <f t="shared" si="318"/>
        <v>1.6635</v>
      </c>
    </row>
    <row r="131" spans="1:55" ht="12.95" customHeight="1" x14ac:dyDescent="0.25">
      <c r="A131" s="308">
        <v>25</v>
      </c>
      <c r="B131" s="349">
        <v>5432</v>
      </c>
      <c r="C131" s="350">
        <v>600099024</v>
      </c>
      <c r="D131" s="309">
        <v>71003819</v>
      </c>
      <c r="E131" s="351" t="s">
        <v>420</v>
      </c>
      <c r="F131" s="309">
        <v>3111</v>
      </c>
      <c r="G131" s="351" t="s">
        <v>325</v>
      </c>
      <c r="H131" s="312" t="s">
        <v>277</v>
      </c>
      <c r="I131" s="477">
        <v>1585759</v>
      </c>
      <c r="J131" s="472">
        <v>1136771</v>
      </c>
      <c r="K131" s="472">
        <v>23000</v>
      </c>
      <c r="L131" s="472">
        <v>392003</v>
      </c>
      <c r="M131" s="472">
        <v>22735</v>
      </c>
      <c r="N131" s="472">
        <v>11250</v>
      </c>
      <c r="O131" s="473">
        <v>2.5108999999999999</v>
      </c>
      <c r="P131" s="474">
        <v>2</v>
      </c>
      <c r="Q131" s="483">
        <v>0.51090000000000002</v>
      </c>
      <c r="R131" s="485">
        <f t="shared" ref="R131:R136" si="319">Y131*-1</f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186"/>
        <v>0</v>
      </c>
      <c r="Y131" s="475">
        <v>0</v>
      </c>
      <c r="Z131" s="475">
        <v>0</v>
      </c>
      <c r="AA131" s="475">
        <v>0</v>
      </c>
      <c r="AB131" s="475">
        <f t="shared" ref="AB131:AB136" si="320">SUM(Y131:AA131)</f>
        <v>0</v>
      </c>
      <c r="AC131" s="475">
        <f t="shared" ref="AC131:AC136" si="321">X131+AB131</f>
        <v>0</v>
      </c>
      <c r="AD131" s="70">
        <f t="shared" ref="AD131:AD136" si="322">ROUND((X131+Y131+Z131)*33.8%,0)</f>
        <v>0</v>
      </c>
      <c r="AE131" s="70">
        <f t="shared" ref="AE131:AE136" si="323">ROUND(X131*2%,0)</f>
        <v>0</v>
      </c>
      <c r="AF131" s="475">
        <v>0</v>
      </c>
      <c r="AG131" s="475">
        <v>0</v>
      </c>
      <c r="AH131" s="475">
        <f t="shared" ref="AH131:AH136" si="324">SUM(AF131:AG131)</f>
        <v>0</v>
      </c>
      <c r="AI131" s="475">
        <f t="shared" ref="AI131:AI136" si="325">AC131+AD131+AE131+AH131</f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 t="shared" ref="AR131:AR136" si="326">AJ131+AL131+AM131+AO131+AP131</f>
        <v>0</v>
      </c>
      <c r="AS131" s="476">
        <f t="shared" ref="AS131:AS136" si="327">AK131+AN131+AQ131</f>
        <v>0</v>
      </c>
      <c r="AT131" s="478">
        <f t="shared" ref="AT131:AT136" si="328">SUM(AR131:AS131)</f>
        <v>0</v>
      </c>
      <c r="AU131" s="484">
        <f t="shared" ref="AU131:AU136" si="329">I131+AI131</f>
        <v>1585759</v>
      </c>
      <c r="AV131" s="475">
        <f t="shared" ref="AV131:AV136" si="330">J131+X131</f>
        <v>1136771</v>
      </c>
      <c r="AW131" s="475">
        <f t="shared" ref="AW131:AW136" si="331">K131+AB131</f>
        <v>23000</v>
      </c>
      <c r="AX131" s="475">
        <f t="shared" ref="AX131:AY136" si="332">L131+AD131</f>
        <v>392003</v>
      </c>
      <c r="AY131" s="475">
        <f t="shared" si="332"/>
        <v>22735</v>
      </c>
      <c r="AZ131" s="475">
        <f t="shared" ref="AZ131:AZ136" si="333">N131+AH131</f>
        <v>11250</v>
      </c>
      <c r="BA131" s="476">
        <f t="shared" ref="BA131:BA136" si="334">O131+AT131</f>
        <v>2.5108999999999999</v>
      </c>
      <c r="BB131" s="476">
        <f t="shared" ref="BB131:BC136" si="335">P131+AR131</f>
        <v>2</v>
      </c>
      <c r="BC131" s="478">
        <f t="shared" si="335"/>
        <v>0.51090000000000002</v>
      </c>
    </row>
    <row r="132" spans="1:55" ht="12.95" customHeight="1" x14ac:dyDescent="0.25">
      <c r="A132" s="308">
        <v>25</v>
      </c>
      <c r="B132" s="349">
        <v>5432</v>
      </c>
      <c r="C132" s="350">
        <v>600099024</v>
      </c>
      <c r="D132" s="309">
        <v>71003819</v>
      </c>
      <c r="E132" s="351" t="s">
        <v>420</v>
      </c>
      <c r="F132" s="309">
        <v>3117</v>
      </c>
      <c r="G132" s="351" t="s">
        <v>314</v>
      </c>
      <c r="H132" s="312" t="s">
        <v>277</v>
      </c>
      <c r="I132" s="477">
        <v>2622631</v>
      </c>
      <c r="J132" s="472">
        <v>1885150</v>
      </c>
      <c r="K132" s="472">
        <v>11000</v>
      </c>
      <c r="L132" s="472">
        <v>640898</v>
      </c>
      <c r="M132" s="472">
        <v>37703</v>
      </c>
      <c r="N132" s="472">
        <v>47880</v>
      </c>
      <c r="O132" s="473">
        <v>3.8167</v>
      </c>
      <c r="P132" s="474">
        <v>2.6162999999999998</v>
      </c>
      <c r="Q132" s="483">
        <v>1.2004000000000001</v>
      </c>
      <c r="R132" s="485">
        <f t="shared" si="319"/>
        <v>0</v>
      </c>
      <c r="S132" s="475">
        <v>0</v>
      </c>
      <c r="T132" s="475">
        <v>118962</v>
      </c>
      <c r="U132" s="475">
        <v>0</v>
      </c>
      <c r="V132" s="475">
        <v>0</v>
      </c>
      <c r="W132" s="475">
        <v>0</v>
      </c>
      <c r="X132" s="475">
        <f t="shared" si="186"/>
        <v>118962</v>
      </c>
      <c r="Y132" s="475">
        <v>0</v>
      </c>
      <c r="Z132" s="475">
        <v>0</v>
      </c>
      <c r="AA132" s="475">
        <v>0</v>
      </c>
      <c r="AB132" s="475">
        <f t="shared" si="320"/>
        <v>0</v>
      </c>
      <c r="AC132" s="475">
        <f t="shared" si="321"/>
        <v>118962</v>
      </c>
      <c r="AD132" s="70">
        <f t="shared" si="322"/>
        <v>40209</v>
      </c>
      <c r="AE132" s="70">
        <f t="shared" si="323"/>
        <v>2379</v>
      </c>
      <c r="AF132" s="475">
        <v>0</v>
      </c>
      <c r="AG132" s="475">
        <v>0</v>
      </c>
      <c r="AH132" s="475">
        <f t="shared" si="324"/>
        <v>0</v>
      </c>
      <c r="AI132" s="475">
        <f t="shared" si="325"/>
        <v>161550</v>
      </c>
      <c r="AJ132" s="476">
        <v>0</v>
      </c>
      <c r="AK132" s="476">
        <v>0</v>
      </c>
      <c r="AL132" s="476">
        <v>0</v>
      </c>
      <c r="AM132" s="476">
        <v>0.27</v>
      </c>
      <c r="AN132" s="476">
        <v>0</v>
      </c>
      <c r="AO132" s="476">
        <v>0</v>
      </c>
      <c r="AP132" s="476">
        <v>0</v>
      </c>
      <c r="AQ132" s="476">
        <v>0</v>
      </c>
      <c r="AR132" s="476">
        <f t="shared" si="326"/>
        <v>0.27</v>
      </c>
      <c r="AS132" s="476">
        <f t="shared" si="327"/>
        <v>0</v>
      </c>
      <c r="AT132" s="478">
        <f t="shared" si="328"/>
        <v>0.27</v>
      </c>
      <c r="AU132" s="484">
        <f t="shared" si="329"/>
        <v>2784181</v>
      </c>
      <c r="AV132" s="475">
        <f t="shared" si="330"/>
        <v>2004112</v>
      </c>
      <c r="AW132" s="475">
        <f t="shared" si="331"/>
        <v>11000</v>
      </c>
      <c r="AX132" s="475">
        <f t="shared" si="332"/>
        <v>681107</v>
      </c>
      <c r="AY132" s="475">
        <f t="shared" si="332"/>
        <v>40082</v>
      </c>
      <c r="AZ132" s="475">
        <f t="shared" si="333"/>
        <v>47880</v>
      </c>
      <c r="BA132" s="476">
        <f t="shared" si="334"/>
        <v>4.0867000000000004</v>
      </c>
      <c r="BB132" s="476">
        <f t="shared" si="335"/>
        <v>2.8862999999999999</v>
      </c>
      <c r="BC132" s="478">
        <f t="shared" si="335"/>
        <v>1.2004000000000001</v>
      </c>
    </row>
    <row r="133" spans="1:55" ht="12.95" customHeight="1" x14ac:dyDescent="0.25">
      <c r="A133" s="308">
        <v>25</v>
      </c>
      <c r="B133" s="349">
        <v>5432</v>
      </c>
      <c r="C133" s="350">
        <v>600099024</v>
      </c>
      <c r="D133" s="309">
        <v>71003819</v>
      </c>
      <c r="E133" s="351" t="s">
        <v>420</v>
      </c>
      <c r="F133" s="309">
        <v>3117</v>
      </c>
      <c r="G133" s="351" t="s">
        <v>319</v>
      </c>
      <c r="H133" s="312" t="s">
        <v>278</v>
      </c>
      <c r="I133" s="477">
        <v>0</v>
      </c>
      <c r="J133" s="472">
        <v>0</v>
      </c>
      <c r="K133" s="472">
        <v>0</v>
      </c>
      <c r="L133" s="472">
        <v>0</v>
      </c>
      <c r="M133" s="472">
        <v>0</v>
      </c>
      <c r="N133" s="472">
        <v>0</v>
      </c>
      <c r="O133" s="473">
        <v>0</v>
      </c>
      <c r="P133" s="474">
        <v>0</v>
      </c>
      <c r="Q133" s="483">
        <v>0</v>
      </c>
      <c r="R133" s="485">
        <f t="shared" si="319"/>
        <v>0</v>
      </c>
      <c r="S133" s="475">
        <v>55336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si="186"/>
        <v>55336</v>
      </c>
      <c r="Y133" s="475">
        <v>0</v>
      </c>
      <c r="Z133" s="475">
        <v>0</v>
      </c>
      <c r="AA133" s="475">
        <v>0</v>
      </c>
      <c r="AB133" s="475">
        <f t="shared" si="320"/>
        <v>0</v>
      </c>
      <c r="AC133" s="475">
        <f t="shared" si="321"/>
        <v>55336</v>
      </c>
      <c r="AD133" s="70">
        <f t="shared" si="322"/>
        <v>18704</v>
      </c>
      <c r="AE133" s="70">
        <f t="shared" si="323"/>
        <v>1107</v>
      </c>
      <c r="AF133" s="475">
        <v>0</v>
      </c>
      <c r="AG133" s="475">
        <v>0</v>
      </c>
      <c r="AH133" s="475">
        <f t="shared" si="324"/>
        <v>0</v>
      </c>
      <c r="AI133" s="475">
        <f t="shared" si="325"/>
        <v>75147</v>
      </c>
      <c r="AJ133" s="476">
        <v>0</v>
      </c>
      <c r="AK133" s="476">
        <v>0</v>
      </c>
      <c r="AL133" s="476">
        <v>0.16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 t="shared" si="326"/>
        <v>0.16</v>
      </c>
      <c r="AS133" s="476">
        <f t="shared" si="327"/>
        <v>0</v>
      </c>
      <c r="AT133" s="478">
        <f t="shared" si="328"/>
        <v>0.16</v>
      </c>
      <c r="AU133" s="484">
        <f t="shared" si="329"/>
        <v>75147</v>
      </c>
      <c r="AV133" s="475">
        <f t="shared" si="330"/>
        <v>55336</v>
      </c>
      <c r="AW133" s="475">
        <f t="shared" si="331"/>
        <v>0</v>
      </c>
      <c r="AX133" s="475">
        <f t="shared" si="332"/>
        <v>18704</v>
      </c>
      <c r="AY133" s="475">
        <f t="shared" si="332"/>
        <v>1107</v>
      </c>
      <c r="AZ133" s="475">
        <f t="shared" si="333"/>
        <v>0</v>
      </c>
      <c r="BA133" s="476">
        <f t="shared" si="334"/>
        <v>0.16</v>
      </c>
      <c r="BB133" s="476">
        <f t="shared" si="335"/>
        <v>0.16</v>
      </c>
      <c r="BC133" s="478">
        <f t="shared" si="335"/>
        <v>0</v>
      </c>
    </row>
    <row r="134" spans="1:55" ht="12.95" customHeight="1" x14ac:dyDescent="0.25">
      <c r="A134" s="308">
        <v>25</v>
      </c>
      <c r="B134" s="349">
        <v>5432</v>
      </c>
      <c r="C134" s="350">
        <v>600099024</v>
      </c>
      <c r="D134" s="309">
        <v>71003819</v>
      </c>
      <c r="E134" s="351" t="s">
        <v>420</v>
      </c>
      <c r="F134" s="309">
        <v>3141</v>
      </c>
      <c r="G134" s="351" t="s">
        <v>315</v>
      </c>
      <c r="H134" s="312" t="s">
        <v>278</v>
      </c>
      <c r="I134" s="477">
        <v>756634</v>
      </c>
      <c r="J134" s="472">
        <v>554904</v>
      </c>
      <c r="K134" s="472">
        <v>0</v>
      </c>
      <c r="L134" s="472">
        <v>187558</v>
      </c>
      <c r="M134" s="472">
        <v>11098</v>
      </c>
      <c r="N134" s="472">
        <v>3074</v>
      </c>
      <c r="O134" s="473">
        <v>1.75</v>
      </c>
      <c r="P134" s="474">
        <v>0</v>
      </c>
      <c r="Q134" s="483">
        <v>1.75</v>
      </c>
      <c r="R134" s="485">
        <f t="shared" si="319"/>
        <v>0</v>
      </c>
      <c r="S134" s="475">
        <v>0</v>
      </c>
      <c r="T134" s="475">
        <v>6565</v>
      </c>
      <c r="U134" s="475">
        <v>0</v>
      </c>
      <c r="V134" s="475">
        <v>0</v>
      </c>
      <c r="W134" s="475">
        <v>0</v>
      </c>
      <c r="X134" s="475">
        <f t="shared" si="186"/>
        <v>6565</v>
      </c>
      <c r="Y134" s="475">
        <v>0</v>
      </c>
      <c r="Z134" s="475">
        <v>0</v>
      </c>
      <c r="AA134" s="475">
        <v>0</v>
      </c>
      <c r="AB134" s="475">
        <f t="shared" si="320"/>
        <v>0</v>
      </c>
      <c r="AC134" s="475">
        <f t="shared" si="321"/>
        <v>6565</v>
      </c>
      <c r="AD134" s="70">
        <f t="shared" si="322"/>
        <v>2219</v>
      </c>
      <c r="AE134" s="70">
        <f t="shared" si="323"/>
        <v>131</v>
      </c>
      <c r="AF134" s="475">
        <v>0</v>
      </c>
      <c r="AG134" s="475">
        <v>0</v>
      </c>
      <c r="AH134" s="475">
        <f t="shared" si="324"/>
        <v>0</v>
      </c>
      <c r="AI134" s="475">
        <f t="shared" si="325"/>
        <v>8915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0.02</v>
      </c>
      <c r="AO134" s="476">
        <v>0</v>
      </c>
      <c r="AP134" s="476">
        <v>0</v>
      </c>
      <c r="AQ134" s="476">
        <v>0</v>
      </c>
      <c r="AR134" s="476">
        <f t="shared" si="326"/>
        <v>0</v>
      </c>
      <c r="AS134" s="476">
        <f t="shared" si="327"/>
        <v>0.02</v>
      </c>
      <c r="AT134" s="478">
        <f t="shared" si="328"/>
        <v>0.02</v>
      </c>
      <c r="AU134" s="484">
        <f t="shared" si="329"/>
        <v>765549</v>
      </c>
      <c r="AV134" s="475">
        <f t="shared" si="330"/>
        <v>561469</v>
      </c>
      <c r="AW134" s="475">
        <f t="shared" si="331"/>
        <v>0</v>
      </c>
      <c r="AX134" s="475">
        <f t="shared" si="332"/>
        <v>189777</v>
      </c>
      <c r="AY134" s="475">
        <f t="shared" si="332"/>
        <v>11229</v>
      </c>
      <c r="AZ134" s="475">
        <f t="shared" si="333"/>
        <v>3074</v>
      </c>
      <c r="BA134" s="476">
        <f t="shared" si="334"/>
        <v>1.77</v>
      </c>
      <c r="BB134" s="476">
        <f t="shared" si="335"/>
        <v>0</v>
      </c>
      <c r="BC134" s="478">
        <f t="shared" si="335"/>
        <v>1.77</v>
      </c>
    </row>
    <row r="135" spans="1:55" ht="12.95" customHeight="1" x14ac:dyDescent="0.25">
      <c r="A135" s="308">
        <v>25</v>
      </c>
      <c r="B135" s="349">
        <v>5432</v>
      </c>
      <c r="C135" s="350">
        <v>600099024</v>
      </c>
      <c r="D135" s="309">
        <v>71003819</v>
      </c>
      <c r="E135" s="351" t="s">
        <v>420</v>
      </c>
      <c r="F135" s="309">
        <v>3143</v>
      </c>
      <c r="G135" s="351" t="s">
        <v>626</v>
      </c>
      <c r="H135" s="312" t="s">
        <v>277</v>
      </c>
      <c r="I135" s="477">
        <v>514122</v>
      </c>
      <c r="J135" s="472">
        <v>357897</v>
      </c>
      <c r="K135" s="472">
        <v>21000</v>
      </c>
      <c r="L135" s="472">
        <v>128067</v>
      </c>
      <c r="M135" s="472">
        <v>7158</v>
      </c>
      <c r="N135" s="472">
        <v>0</v>
      </c>
      <c r="O135" s="473">
        <v>0.78639999999999999</v>
      </c>
      <c r="P135" s="474">
        <v>0.78639999999999999</v>
      </c>
      <c r="Q135" s="483">
        <v>0</v>
      </c>
      <c r="R135" s="485">
        <f t="shared" si="319"/>
        <v>0</v>
      </c>
      <c r="S135" s="475">
        <v>0</v>
      </c>
      <c r="T135" s="475">
        <v>38676</v>
      </c>
      <c r="U135" s="475">
        <v>0</v>
      </c>
      <c r="V135" s="475">
        <v>0</v>
      </c>
      <c r="W135" s="475">
        <v>0</v>
      </c>
      <c r="X135" s="475">
        <f t="shared" si="186"/>
        <v>38676</v>
      </c>
      <c r="Y135" s="475">
        <v>0</v>
      </c>
      <c r="Z135" s="475">
        <v>0</v>
      </c>
      <c r="AA135" s="475">
        <v>0</v>
      </c>
      <c r="AB135" s="475">
        <f t="shared" si="320"/>
        <v>0</v>
      </c>
      <c r="AC135" s="475">
        <f t="shared" si="321"/>
        <v>38676</v>
      </c>
      <c r="AD135" s="70">
        <f t="shared" si="322"/>
        <v>13072</v>
      </c>
      <c r="AE135" s="70">
        <f t="shared" si="323"/>
        <v>774</v>
      </c>
      <c r="AF135" s="475">
        <v>0</v>
      </c>
      <c r="AG135" s="475">
        <v>0</v>
      </c>
      <c r="AH135" s="475">
        <f t="shared" si="324"/>
        <v>0</v>
      </c>
      <c r="AI135" s="475">
        <f t="shared" si="325"/>
        <v>52522</v>
      </c>
      <c r="AJ135" s="476">
        <v>0</v>
      </c>
      <c r="AK135" s="476">
        <v>0</v>
      </c>
      <c r="AL135" s="476">
        <v>0</v>
      </c>
      <c r="AM135" s="476">
        <v>0.08</v>
      </c>
      <c r="AN135" s="476">
        <v>0</v>
      </c>
      <c r="AO135" s="476">
        <v>0</v>
      </c>
      <c r="AP135" s="476">
        <v>0</v>
      </c>
      <c r="AQ135" s="476">
        <v>0</v>
      </c>
      <c r="AR135" s="476">
        <f t="shared" si="326"/>
        <v>0.08</v>
      </c>
      <c r="AS135" s="476">
        <f t="shared" si="327"/>
        <v>0</v>
      </c>
      <c r="AT135" s="478">
        <f t="shared" si="328"/>
        <v>0.08</v>
      </c>
      <c r="AU135" s="484">
        <f t="shared" si="329"/>
        <v>566644</v>
      </c>
      <c r="AV135" s="475">
        <f t="shared" si="330"/>
        <v>396573</v>
      </c>
      <c r="AW135" s="475">
        <f t="shared" si="331"/>
        <v>21000</v>
      </c>
      <c r="AX135" s="475">
        <f t="shared" si="332"/>
        <v>141139</v>
      </c>
      <c r="AY135" s="475">
        <f t="shared" si="332"/>
        <v>7932</v>
      </c>
      <c r="AZ135" s="475">
        <f t="shared" si="333"/>
        <v>0</v>
      </c>
      <c r="BA135" s="476">
        <f t="shared" si="334"/>
        <v>0.86639999999999995</v>
      </c>
      <c r="BB135" s="476">
        <f t="shared" si="335"/>
        <v>0.86639999999999995</v>
      </c>
      <c r="BC135" s="478">
        <f t="shared" si="335"/>
        <v>0</v>
      </c>
    </row>
    <row r="136" spans="1:55" ht="12.95" customHeight="1" x14ac:dyDescent="0.25">
      <c r="A136" s="308">
        <v>25</v>
      </c>
      <c r="B136" s="349">
        <v>5432</v>
      </c>
      <c r="C136" s="350">
        <v>600099024</v>
      </c>
      <c r="D136" s="309">
        <v>71003819</v>
      </c>
      <c r="E136" s="351" t="s">
        <v>420</v>
      </c>
      <c r="F136" s="309">
        <v>3143</v>
      </c>
      <c r="G136" s="351" t="s">
        <v>627</v>
      </c>
      <c r="H136" s="312" t="s">
        <v>278</v>
      </c>
      <c r="I136" s="477">
        <v>18145</v>
      </c>
      <c r="J136" s="472">
        <v>12831</v>
      </c>
      <c r="K136" s="472">
        <v>0</v>
      </c>
      <c r="L136" s="472">
        <v>4337</v>
      </c>
      <c r="M136" s="472">
        <v>257</v>
      </c>
      <c r="N136" s="472">
        <v>720</v>
      </c>
      <c r="O136" s="473">
        <v>0.05</v>
      </c>
      <c r="P136" s="474">
        <v>0</v>
      </c>
      <c r="Q136" s="483">
        <v>0.05</v>
      </c>
      <c r="R136" s="485">
        <f t="shared" si="319"/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186"/>
        <v>0</v>
      </c>
      <c r="Y136" s="475">
        <v>0</v>
      </c>
      <c r="Z136" s="475">
        <v>0</v>
      </c>
      <c r="AA136" s="475">
        <v>0</v>
      </c>
      <c r="AB136" s="475">
        <f t="shared" si="320"/>
        <v>0</v>
      </c>
      <c r="AC136" s="475">
        <f t="shared" si="321"/>
        <v>0</v>
      </c>
      <c r="AD136" s="70">
        <f t="shared" si="322"/>
        <v>0</v>
      </c>
      <c r="AE136" s="70">
        <f t="shared" si="323"/>
        <v>0</v>
      </c>
      <c r="AF136" s="475">
        <v>0</v>
      </c>
      <c r="AG136" s="475">
        <v>0</v>
      </c>
      <c r="AH136" s="475">
        <f t="shared" si="324"/>
        <v>0</v>
      </c>
      <c r="AI136" s="475">
        <f t="shared" si="325"/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 t="shared" si="326"/>
        <v>0</v>
      </c>
      <c r="AS136" s="476">
        <f t="shared" si="327"/>
        <v>0</v>
      </c>
      <c r="AT136" s="478">
        <f t="shared" si="328"/>
        <v>0</v>
      </c>
      <c r="AU136" s="484">
        <f t="shared" si="329"/>
        <v>18145</v>
      </c>
      <c r="AV136" s="475">
        <f t="shared" si="330"/>
        <v>12831</v>
      </c>
      <c r="AW136" s="475">
        <f t="shared" si="331"/>
        <v>0</v>
      </c>
      <c r="AX136" s="475">
        <f t="shared" si="332"/>
        <v>4337</v>
      </c>
      <c r="AY136" s="475">
        <f t="shared" si="332"/>
        <v>257</v>
      </c>
      <c r="AZ136" s="475">
        <f t="shared" si="333"/>
        <v>720</v>
      </c>
      <c r="BA136" s="476">
        <f t="shared" si="334"/>
        <v>0.05</v>
      </c>
      <c r="BB136" s="476">
        <f t="shared" si="335"/>
        <v>0</v>
      </c>
      <c r="BC136" s="478">
        <f t="shared" si="335"/>
        <v>0.05</v>
      </c>
    </row>
    <row r="137" spans="1:55" ht="12.95" customHeight="1" x14ac:dyDescent="0.25">
      <c r="A137" s="352">
        <v>25</v>
      </c>
      <c r="B137" s="353">
        <v>5432</v>
      </c>
      <c r="C137" s="354">
        <v>600099024</v>
      </c>
      <c r="D137" s="353">
        <v>71003819</v>
      </c>
      <c r="E137" s="355" t="s">
        <v>421</v>
      </c>
      <c r="F137" s="319"/>
      <c r="G137" s="357"/>
      <c r="H137" s="320"/>
      <c r="I137" s="582">
        <v>5497291</v>
      </c>
      <c r="J137" s="578">
        <v>3947553</v>
      </c>
      <c r="K137" s="578">
        <v>55000</v>
      </c>
      <c r="L137" s="578">
        <v>1352863</v>
      </c>
      <c r="M137" s="578">
        <v>78951</v>
      </c>
      <c r="N137" s="578">
        <v>62924</v>
      </c>
      <c r="O137" s="579">
        <v>8.9140000000000015</v>
      </c>
      <c r="P137" s="579">
        <v>5.4026999999999994</v>
      </c>
      <c r="Q137" s="584">
        <v>3.5112999999999999</v>
      </c>
      <c r="R137" s="582">
        <f t="shared" ref="R137:BC137" si="336">SUM(R131:R136)</f>
        <v>0</v>
      </c>
      <c r="S137" s="578">
        <f t="shared" si="336"/>
        <v>55336</v>
      </c>
      <c r="T137" s="578">
        <f t="shared" si="336"/>
        <v>164203</v>
      </c>
      <c r="U137" s="578">
        <f t="shared" si="336"/>
        <v>0</v>
      </c>
      <c r="V137" s="578">
        <f t="shared" si="336"/>
        <v>0</v>
      </c>
      <c r="W137" s="578">
        <f t="shared" si="336"/>
        <v>0</v>
      </c>
      <c r="X137" s="578">
        <f t="shared" si="336"/>
        <v>219539</v>
      </c>
      <c r="Y137" s="578">
        <f t="shared" si="336"/>
        <v>0</v>
      </c>
      <c r="Z137" s="578">
        <f t="shared" si="336"/>
        <v>0</v>
      </c>
      <c r="AA137" s="578">
        <f t="shared" si="336"/>
        <v>0</v>
      </c>
      <c r="AB137" s="578">
        <f t="shared" si="336"/>
        <v>0</v>
      </c>
      <c r="AC137" s="578">
        <f t="shared" si="336"/>
        <v>219539</v>
      </c>
      <c r="AD137" s="578">
        <f t="shared" si="336"/>
        <v>74204</v>
      </c>
      <c r="AE137" s="578">
        <f t="shared" si="336"/>
        <v>4391</v>
      </c>
      <c r="AF137" s="578">
        <f t="shared" si="336"/>
        <v>0</v>
      </c>
      <c r="AG137" s="578">
        <f t="shared" si="336"/>
        <v>0</v>
      </c>
      <c r="AH137" s="578">
        <f t="shared" si="336"/>
        <v>0</v>
      </c>
      <c r="AI137" s="578">
        <f t="shared" si="336"/>
        <v>298134</v>
      </c>
      <c r="AJ137" s="579">
        <f t="shared" si="336"/>
        <v>0</v>
      </c>
      <c r="AK137" s="579">
        <f t="shared" si="336"/>
        <v>0</v>
      </c>
      <c r="AL137" s="579">
        <f t="shared" si="336"/>
        <v>0.16</v>
      </c>
      <c r="AM137" s="579">
        <f t="shared" si="336"/>
        <v>0.35000000000000003</v>
      </c>
      <c r="AN137" s="579">
        <f t="shared" si="336"/>
        <v>0.02</v>
      </c>
      <c r="AO137" s="579">
        <f t="shared" si="336"/>
        <v>0</v>
      </c>
      <c r="AP137" s="579">
        <f t="shared" si="336"/>
        <v>0</v>
      </c>
      <c r="AQ137" s="579">
        <f t="shared" si="336"/>
        <v>0</v>
      </c>
      <c r="AR137" s="579">
        <f t="shared" si="336"/>
        <v>0.51</v>
      </c>
      <c r="AS137" s="579">
        <f t="shared" si="336"/>
        <v>0.02</v>
      </c>
      <c r="AT137" s="356">
        <f t="shared" si="336"/>
        <v>0.53</v>
      </c>
      <c r="AU137" s="586">
        <f t="shared" si="336"/>
        <v>5795425</v>
      </c>
      <c r="AV137" s="578">
        <f t="shared" si="336"/>
        <v>4167092</v>
      </c>
      <c r="AW137" s="578">
        <f t="shared" si="336"/>
        <v>55000</v>
      </c>
      <c r="AX137" s="578">
        <f t="shared" si="336"/>
        <v>1427067</v>
      </c>
      <c r="AY137" s="578">
        <f t="shared" si="336"/>
        <v>83342</v>
      </c>
      <c r="AZ137" s="578">
        <f t="shared" si="336"/>
        <v>62924</v>
      </c>
      <c r="BA137" s="579">
        <f t="shared" si="336"/>
        <v>9.4440000000000008</v>
      </c>
      <c r="BB137" s="579">
        <f t="shared" si="336"/>
        <v>5.9127000000000001</v>
      </c>
      <c r="BC137" s="356">
        <f t="shared" si="336"/>
        <v>3.5312999999999999</v>
      </c>
    </row>
    <row r="138" spans="1:55" ht="12.95" customHeight="1" x14ac:dyDescent="0.25">
      <c r="A138" s="308">
        <v>26</v>
      </c>
      <c r="B138" s="349">
        <v>5452</v>
      </c>
      <c r="C138" s="350">
        <v>600099245</v>
      </c>
      <c r="D138" s="309">
        <v>70188416</v>
      </c>
      <c r="E138" s="351" t="s">
        <v>422</v>
      </c>
      <c r="F138" s="309">
        <v>3111</v>
      </c>
      <c r="G138" s="351" t="s">
        <v>325</v>
      </c>
      <c r="H138" s="312" t="s">
        <v>277</v>
      </c>
      <c r="I138" s="477">
        <v>1526363</v>
      </c>
      <c r="J138" s="472">
        <v>1116688</v>
      </c>
      <c r="K138" s="472">
        <v>0</v>
      </c>
      <c r="L138" s="472">
        <v>377441</v>
      </c>
      <c r="M138" s="472">
        <v>22334</v>
      </c>
      <c r="N138" s="472">
        <v>9900</v>
      </c>
      <c r="O138" s="473">
        <v>2.4462999999999999</v>
      </c>
      <c r="P138" s="474">
        <v>1.9354</v>
      </c>
      <c r="Q138" s="483">
        <v>0.51090000000000002</v>
      </c>
      <c r="R138" s="485">
        <f t="shared" ref="R138:R143" si="337">Y138*-1</f>
        <v>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186"/>
        <v>0</v>
      </c>
      <c r="Y138" s="475">
        <v>0</v>
      </c>
      <c r="Z138" s="475">
        <v>0</v>
      </c>
      <c r="AA138" s="475">
        <v>0</v>
      </c>
      <c r="AB138" s="475">
        <f t="shared" ref="AB138:AB143" si="338">SUM(Y138:AA138)</f>
        <v>0</v>
      </c>
      <c r="AC138" s="475">
        <f t="shared" ref="AC138:AC143" si="339">X138+AB138</f>
        <v>0</v>
      </c>
      <c r="AD138" s="70">
        <f t="shared" ref="AD138:AD143" si="340">ROUND((X138+Y138+Z138)*33.8%,0)</f>
        <v>0</v>
      </c>
      <c r="AE138" s="70">
        <f t="shared" ref="AE138:AE143" si="341">ROUND(X138*2%,0)</f>
        <v>0</v>
      </c>
      <c r="AF138" s="475">
        <v>0</v>
      </c>
      <c r="AG138" s="475">
        <v>0</v>
      </c>
      <c r="AH138" s="475">
        <f t="shared" ref="AH138:AH143" si="342">SUM(AF138:AG138)</f>
        <v>0</v>
      </c>
      <c r="AI138" s="475">
        <f t="shared" ref="AI138:AI143" si="343">AC138+AD138+AE138+AH138</f>
        <v>0</v>
      </c>
      <c r="AJ138" s="476">
        <v>0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f t="shared" ref="AR138:AR143" si="344">AJ138+AL138+AM138+AO138+AP138</f>
        <v>0</v>
      </c>
      <c r="AS138" s="476">
        <f t="shared" ref="AS138:AS143" si="345">AK138+AN138+AQ138</f>
        <v>0</v>
      </c>
      <c r="AT138" s="478">
        <f t="shared" ref="AT138:AT143" si="346">SUM(AR138:AS138)</f>
        <v>0</v>
      </c>
      <c r="AU138" s="484">
        <f t="shared" ref="AU138:AU143" si="347">I138+AI138</f>
        <v>1526363</v>
      </c>
      <c r="AV138" s="475">
        <f t="shared" ref="AV138:AV143" si="348">J138+X138</f>
        <v>1116688</v>
      </c>
      <c r="AW138" s="475">
        <f t="shared" ref="AW138:AW143" si="349">K138+AB138</f>
        <v>0</v>
      </c>
      <c r="AX138" s="475">
        <f t="shared" ref="AX138:AY143" si="350">L138+AD138</f>
        <v>377441</v>
      </c>
      <c r="AY138" s="475">
        <f t="shared" si="350"/>
        <v>22334</v>
      </c>
      <c r="AZ138" s="475">
        <f t="shared" ref="AZ138:AZ143" si="351">N138+AH138</f>
        <v>9900</v>
      </c>
      <c r="BA138" s="476">
        <f t="shared" ref="BA138:BA143" si="352">O138+AT138</f>
        <v>2.4462999999999999</v>
      </c>
      <c r="BB138" s="476">
        <f t="shared" ref="BB138:BC143" si="353">P138+AR138</f>
        <v>1.9354</v>
      </c>
      <c r="BC138" s="478">
        <f t="shared" si="353"/>
        <v>0.51090000000000002</v>
      </c>
    </row>
    <row r="139" spans="1:55" ht="12.95" customHeight="1" x14ac:dyDescent="0.25">
      <c r="A139" s="308">
        <v>26</v>
      </c>
      <c r="B139" s="349">
        <v>5452</v>
      </c>
      <c r="C139" s="350">
        <v>600099245</v>
      </c>
      <c r="D139" s="309">
        <v>70188416</v>
      </c>
      <c r="E139" s="351" t="s">
        <v>422</v>
      </c>
      <c r="F139" s="309">
        <v>3117</v>
      </c>
      <c r="G139" s="351" t="s">
        <v>314</v>
      </c>
      <c r="H139" s="312" t="s">
        <v>277</v>
      </c>
      <c r="I139" s="477">
        <v>3565531</v>
      </c>
      <c r="J139" s="472">
        <v>2555723</v>
      </c>
      <c r="K139" s="472">
        <v>30000</v>
      </c>
      <c r="L139" s="472">
        <v>873974</v>
      </c>
      <c r="M139" s="472">
        <v>51114</v>
      </c>
      <c r="N139" s="472">
        <v>54720</v>
      </c>
      <c r="O139" s="473">
        <v>5.1787000000000001</v>
      </c>
      <c r="P139" s="474">
        <v>3.399</v>
      </c>
      <c r="Q139" s="483">
        <v>1.7797000000000001</v>
      </c>
      <c r="R139" s="485">
        <f t="shared" si="337"/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si="186"/>
        <v>0</v>
      </c>
      <c r="Y139" s="475">
        <v>0</v>
      </c>
      <c r="Z139" s="475">
        <v>0</v>
      </c>
      <c r="AA139" s="475">
        <v>0</v>
      </c>
      <c r="AB139" s="475">
        <f t="shared" si="338"/>
        <v>0</v>
      </c>
      <c r="AC139" s="475">
        <f t="shared" si="339"/>
        <v>0</v>
      </c>
      <c r="AD139" s="70">
        <f t="shared" si="340"/>
        <v>0</v>
      </c>
      <c r="AE139" s="70">
        <f t="shared" si="341"/>
        <v>0</v>
      </c>
      <c r="AF139" s="475">
        <v>0</v>
      </c>
      <c r="AG139" s="475">
        <v>0</v>
      </c>
      <c r="AH139" s="475">
        <f t="shared" si="342"/>
        <v>0</v>
      </c>
      <c r="AI139" s="475">
        <f t="shared" si="343"/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476">
        <f t="shared" si="344"/>
        <v>0</v>
      </c>
      <c r="AS139" s="476">
        <f t="shared" si="345"/>
        <v>0</v>
      </c>
      <c r="AT139" s="478">
        <f t="shared" si="346"/>
        <v>0</v>
      </c>
      <c r="AU139" s="484">
        <f t="shared" si="347"/>
        <v>3565531</v>
      </c>
      <c r="AV139" s="475">
        <f t="shared" si="348"/>
        <v>2555723</v>
      </c>
      <c r="AW139" s="475">
        <f t="shared" si="349"/>
        <v>30000</v>
      </c>
      <c r="AX139" s="475">
        <f t="shared" si="350"/>
        <v>873974</v>
      </c>
      <c r="AY139" s="475">
        <f t="shared" si="350"/>
        <v>51114</v>
      </c>
      <c r="AZ139" s="475">
        <f t="shared" si="351"/>
        <v>54720</v>
      </c>
      <c r="BA139" s="476">
        <f t="shared" si="352"/>
        <v>5.1787000000000001</v>
      </c>
      <c r="BB139" s="476">
        <f t="shared" si="353"/>
        <v>3.399</v>
      </c>
      <c r="BC139" s="478">
        <f t="shared" si="353"/>
        <v>1.7797000000000001</v>
      </c>
    </row>
    <row r="140" spans="1:55" ht="12.95" customHeight="1" x14ac:dyDescent="0.25">
      <c r="A140" s="308">
        <v>26</v>
      </c>
      <c r="B140" s="349">
        <v>5452</v>
      </c>
      <c r="C140" s="350">
        <v>600099245</v>
      </c>
      <c r="D140" s="309">
        <v>70188416</v>
      </c>
      <c r="E140" s="351" t="s">
        <v>422</v>
      </c>
      <c r="F140" s="309">
        <v>3117</v>
      </c>
      <c r="G140" s="351" t="s">
        <v>319</v>
      </c>
      <c r="H140" s="312" t="s">
        <v>278</v>
      </c>
      <c r="I140" s="477">
        <v>1576725</v>
      </c>
      <c r="J140" s="472">
        <v>1158708</v>
      </c>
      <c r="K140" s="472">
        <v>0</v>
      </c>
      <c r="L140" s="472">
        <v>391643</v>
      </c>
      <c r="M140" s="472">
        <v>23174</v>
      </c>
      <c r="N140" s="472">
        <v>3200</v>
      </c>
      <c r="O140" s="473">
        <v>3.33</v>
      </c>
      <c r="P140" s="474">
        <v>3.33</v>
      </c>
      <c r="Q140" s="483">
        <v>0</v>
      </c>
      <c r="R140" s="485">
        <f t="shared" si="337"/>
        <v>0</v>
      </c>
      <c r="S140" s="475">
        <v>-72806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186"/>
        <v>-72806</v>
      </c>
      <c r="Y140" s="475">
        <v>0</v>
      </c>
      <c r="Z140" s="475">
        <v>0</v>
      </c>
      <c r="AA140" s="475">
        <v>0</v>
      </c>
      <c r="AB140" s="475">
        <f t="shared" si="338"/>
        <v>0</v>
      </c>
      <c r="AC140" s="475">
        <f t="shared" si="339"/>
        <v>-72806</v>
      </c>
      <c r="AD140" s="70">
        <f t="shared" si="340"/>
        <v>-24608</v>
      </c>
      <c r="AE140" s="70">
        <f t="shared" si="341"/>
        <v>-1456</v>
      </c>
      <c r="AF140" s="475">
        <v>12750</v>
      </c>
      <c r="AG140" s="475">
        <v>0</v>
      </c>
      <c r="AH140" s="475">
        <f t="shared" si="342"/>
        <v>12750</v>
      </c>
      <c r="AI140" s="475">
        <f t="shared" si="343"/>
        <v>-86120</v>
      </c>
      <c r="AJ140" s="476">
        <v>0</v>
      </c>
      <c r="AK140" s="476">
        <v>0</v>
      </c>
      <c r="AL140" s="476">
        <v>-0.13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 t="shared" si="344"/>
        <v>-0.13</v>
      </c>
      <c r="AS140" s="476">
        <f t="shared" si="345"/>
        <v>0</v>
      </c>
      <c r="AT140" s="478">
        <f t="shared" si="346"/>
        <v>-0.13</v>
      </c>
      <c r="AU140" s="484">
        <f t="shared" si="347"/>
        <v>1490605</v>
      </c>
      <c r="AV140" s="475">
        <f t="shared" si="348"/>
        <v>1085902</v>
      </c>
      <c r="AW140" s="475">
        <f t="shared" si="349"/>
        <v>0</v>
      </c>
      <c r="AX140" s="475">
        <f t="shared" si="350"/>
        <v>367035</v>
      </c>
      <c r="AY140" s="475">
        <f t="shared" si="350"/>
        <v>21718</v>
      </c>
      <c r="AZ140" s="475">
        <f t="shared" si="351"/>
        <v>15950</v>
      </c>
      <c r="BA140" s="476">
        <f t="shared" si="352"/>
        <v>3.2</v>
      </c>
      <c r="BB140" s="476">
        <f t="shared" si="353"/>
        <v>3.2</v>
      </c>
      <c r="BC140" s="478">
        <f t="shared" si="353"/>
        <v>0</v>
      </c>
    </row>
    <row r="141" spans="1:55" ht="12.95" customHeight="1" x14ac:dyDescent="0.25">
      <c r="A141" s="308">
        <v>26</v>
      </c>
      <c r="B141" s="349">
        <v>5452</v>
      </c>
      <c r="C141" s="350">
        <v>600099245</v>
      </c>
      <c r="D141" s="309">
        <v>70188416</v>
      </c>
      <c r="E141" s="351" t="s">
        <v>422</v>
      </c>
      <c r="F141" s="309">
        <v>3141</v>
      </c>
      <c r="G141" s="351" t="s">
        <v>315</v>
      </c>
      <c r="H141" s="312" t="s">
        <v>278</v>
      </c>
      <c r="I141" s="477">
        <v>762002</v>
      </c>
      <c r="J141" s="472">
        <v>558815</v>
      </c>
      <c r="K141" s="472">
        <v>0</v>
      </c>
      <c r="L141" s="472">
        <v>188879</v>
      </c>
      <c r="M141" s="472">
        <v>11176</v>
      </c>
      <c r="N141" s="472">
        <v>3132</v>
      </c>
      <c r="O141" s="473">
        <v>1.76</v>
      </c>
      <c r="P141" s="474">
        <v>0</v>
      </c>
      <c r="Q141" s="483">
        <v>1.76</v>
      </c>
      <c r="R141" s="485">
        <f t="shared" si="337"/>
        <v>0</v>
      </c>
      <c r="S141" s="475">
        <v>0</v>
      </c>
      <c r="T141" s="475">
        <v>-5332</v>
      </c>
      <c r="U141" s="475">
        <v>0</v>
      </c>
      <c r="V141" s="475">
        <v>0</v>
      </c>
      <c r="W141" s="475">
        <v>0</v>
      </c>
      <c r="X141" s="475">
        <f t="shared" ref="X141:X163" si="354">SUM(R141:W141)</f>
        <v>-5332</v>
      </c>
      <c r="Y141" s="475">
        <v>0</v>
      </c>
      <c r="Z141" s="475">
        <v>0</v>
      </c>
      <c r="AA141" s="475">
        <v>0</v>
      </c>
      <c r="AB141" s="475">
        <f t="shared" si="338"/>
        <v>0</v>
      </c>
      <c r="AC141" s="475">
        <f t="shared" si="339"/>
        <v>-5332</v>
      </c>
      <c r="AD141" s="70">
        <f t="shared" si="340"/>
        <v>-1802</v>
      </c>
      <c r="AE141" s="70">
        <f t="shared" si="341"/>
        <v>-107</v>
      </c>
      <c r="AF141" s="475">
        <v>0</v>
      </c>
      <c r="AG141" s="475">
        <v>0</v>
      </c>
      <c r="AH141" s="475">
        <f t="shared" si="342"/>
        <v>0</v>
      </c>
      <c r="AI141" s="475">
        <f t="shared" si="343"/>
        <v>-7241</v>
      </c>
      <c r="AJ141" s="476">
        <v>0</v>
      </c>
      <c r="AK141" s="476">
        <v>0</v>
      </c>
      <c r="AL141" s="476">
        <v>0</v>
      </c>
      <c r="AM141" s="476">
        <v>0</v>
      </c>
      <c r="AN141" s="476">
        <v>-0.02</v>
      </c>
      <c r="AO141" s="476">
        <v>0</v>
      </c>
      <c r="AP141" s="476">
        <v>0</v>
      </c>
      <c r="AQ141" s="476">
        <v>0</v>
      </c>
      <c r="AR141" s="476">
        <f t="shared" si="344"/>
        <v>0</v>
      </c>
      <c r="AS141" s="476">
        <f t="shared" si="345"/>
        <v>-0.02</v>
      </c>
      <c r="AT141" s="478">
        <f t="shared" si="346"/>
        <v>-0.02</v>
      </c>
      <c r="AU141" s="484">
        <f t="shared" si="347"/>
        <v>754761</v>
      </c>
      <c r="AV141" s="475">
        <f t="shared" si="348"/>
        <v>553483</v>
      </c>
      <c r="AW141" s="475">
        <f t="shared" si="349"/>
        <v>0</v>
      </c>
      <c r="AX141" s="475">
        <f t="shared" si="350"/>
        <v>187077</v>
      </c>
      <c r="AY141" s="475">
        <f t="shared" si="350"/>
        <v>11069</v>
      </c>
      <c r="AZ141" s="475">
        <f t="shared" si="351"/>
        <v>3132</v>
      </c>
      <c r="BA141" s="476">
        <f t="shared" si="352"/>
        <v>1.74</v>
      </c>
      <c r="BB141" s="476">
        <f t="shared" si="353"/>
        <v>0</v>
      </c>
      <c r="BC141" s="478">
        <f t="shared" si="353"/>
        <v>1.74</v>
      </c>
    </row>
    <row r="142" spans="1:55" ht="12.95" customHeight="1" x14ac:dyDescent="0.25">
      <c r="A142" s="308">
        <v>26</v>
      </c>
      <c r="B142" s="349">
        <v>5452</v>
      </c>
      <c r="C142" s="350">
        <v>600099245</v>
      </c>
      <c r="D142" s="309">
        <v>70188416</v>
      </c>
      <c r="E142" s="351" t="s">
        <v>422</v>
      </c>
      <c r="F142" s="309">
        <v>3143</v>
      </c>
      <c r="G142" s="351" t="s">
        <v>626</v>
      </c>
      <c r="H142" s="312" t="s">
        <v>277</v>
      </c>
      <c r="I142" s="477">
        <v>578765</v>
      </c>
      <c r="J142" s="472">
        <v>426189</v>
      </c>
      <c r="K142" s="472">
        <v>0</v>
      </c>
      <c r="L142" s="472">
        <v>144052</v>
      </c>
      <c r="M142" s="472">
        <v>8524</v>
      </c>
      <c r="N142" s="472">
        <v>0</v>
      </c>
      <c r="O142" s="473">
        <v>0.89649999999999996</v>
      </c>
      <c r="P142" s="474">
        <v>0.89649999999999996</v>
      </c>
      <c r="Q142" s="483">
        <v>0</v>
      </c>
      <c r="R142" s="485">
        <f t="shared" si="337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54"/>
        <v>0</v>
      </c>
      <c r="Y142" s="475">
        <v>0</v>
      </c>
      <c r="Z142" s="475">
        <v>0</v>
      </c>
      <c r="AA142" s="475">
        <v>0</v>
      </c>
      <c r="AB142" s="475">
        <f t="shared" si="338"/>
        <v>0</v>
      </c>
      <c r="AC142" s="475">
        <f t="shared" si="339"/>
        <v>0</v>
      </c>
      <c r="AD142" s="70">
        <f t="shared" si="340"/>
        <v>0</v>
      </c>
      <c r="AE142" s="70">
        <f t="shared" si="341"/>
        <v>0</v>
      </c>
      <c r="AF142" s="475">
        <v>0</v>
      </c>
      <c r="AG142" s="475">
        <v>0</v>
      </c>
      <c r="AH142" s="475">
        <f t="shared" si="342"/>
        <v>0</v>
      </c>
      <c r="AI142" s="475">
        <f t="shared" si="343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476">
        <f t="shared" si="344"/>
        <v>0</v>
      </c>
      <c r="AS142" s="476">
        <f t="shared" si="345"/>
        <v>0</v>
      </c>
      <c r="AT142" s="478">
        <f t="shared" si="346"/>
        <v>0</v>
      </c>
      <c r="AU142" s="484">
        <f t="shared" si="347"/>
        <v>578765</v>
      </c>
      <c r="AV142" s="475">
        <f t="shared" si="348"/>
        <v>426189</v>
      </c>
      <c r="AW142" s="475">
        <f t="shared" si="349"/>
        <v>0</v>
      </c>
      <c r="AX142" s="475">
        <f t="shared" si="350"/>
        <v>144052</v>
      </c>
      <c r="AY142" s="475">
        <f t="shared" si="350"/>
        <v>8524</v>
      </c>
      <c r="AZ142" s="475">
        <f t="shared" si="351"/>
        <v>0</v>
      </c>
      <c r="BA142" s="476">
        <f t="shared" si="352"/>
        <v>0.89649999999999996</v>
      </c>
      <c r="BB142" s="476">
        <f t="shared" si="353"/>
        <v>0.89649999999999996</v>
      </c>
      <c r="BC142" s="478">
        <f t="shared" si="353"/>
        <v>0</v>
      </c>
    </row>
    <row r="143" spans="1:55" ht="12.95" customHeight="1" x14ac:dyDescent="0.25">
      <c r="A143" s="308">
        <v>26</v>
      </c>
      <c r="B143" s="349">
        <v>5452</v>
      </c>
      <c r="C143" s="350">
        <v>600099245</v>
      </c>
      <c r="D143" s="309">
        <v>70188416</v>
      </c>
      <c r="E143" s="653" t="s">
        <v>422</v>
      </c>
      <c r="F143" s="309">
        <v>3143</v>
      </c>
      <c r="G143" s="351" t="s">
        <v>627</v>
      </c>
      <c r="H143" s="312" t="s">
        <v>278</v>
      </c>
      <c r="I143" s="477">
        <v>18899</v>
      </c>
      <c r="J143" s="472">
        <v>13365</v>
      </c>
      <c r="K143" s="472">
        <v>0</v>
      </c>
      <c r="L143" s="472">
        <v>4517</v>
      </c>
      <c r="M143" s="472">
        <v>267</v>
      </c>
      <c r="N143" s="472">
        <v>750</v>
      </c>
      <c r="O143" s="473">
        <v>0.05</v>
      </c>
      <c r="P143" s="474">
        <v>0</v>
      </c>
      <c r="Q143" s="483">
        <v>0.05</v>
      </c>
      <c r="R143" s="485">
        <f t="shared" si="337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54"/>
        <v>0</v>
      </c>
      <c r="Y143" s="475">
        <v>0</v>
      </c>
      <c r="Z143" s="475">
        <v>0</v>
      </c>
      <c r="AA143" s="475">
        <v>0</v>
      </c>
      <c r="AB143" s="475">
        <f t="shared" si="338"/>
        <v>0</v>
      </c>
      <c r="AC143" s="475">
        <f t="shared" si="339"/>
        <v>0</v>
      </c>
      <c r="AD143" s="70">
        <f t="shared" si="340"/>
        <v>0</v>
      </c>
      <c r="AE143" s="70">
        <f t="shared" si="341"/>
        <v>0</v>
      </c>
      <c r="AF143" s="475">
        <v>0</v>
      </c>
      <c r="AG143" s="475">
        <v>0</v>
      </c>
      <c r="AH143" s="475">
        <f t="shared" si="342"/>
        <v>0</v>
      </c>
      <c r="AI143" s="475">
        <f t="shared" si="343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 t="shared" si="344"/>
        <v>0</v>
      </c>
      <c r="AS143" s="476">
        <f t="shared" si="345"/>
        <v>0</v>
      </c>
      <c r="AT143" s="478">
        <f t="shared" si="346"/>
        <v>0</v>
      </c>
      <c r="AU143" s="484">
        <f t="shared" si="347"/>
        <v>18899</v>
      </c>
      <c r="AV143" s="475">
        <f t="shared" si="348"/>
        <v>13365</v>
      </c>
      <c r="AW143" s="475">
        <f t="shared" si="349"/>
        <v>0</v>
      </c>
      <c r="AX143" s="475">
        <f t="shared" si="350"/>
        <v>4517</v>
      </c>
      <c r="AY143" s="475">
        <f t="shared" si="350"/>
        <v>267</v>
      </c>
      <c r="AZ143" s="475">
        <f t="shared" si="351"/>
        <v>750</v>
      </c>
      <c r="BA143" s="476">
        <f t="shared" si="352"/>
        <v>0.05</v>
      </c>
      <c r="BB143" s="476">
        <f t="shared" si="353"/>
        <v>0</v>
      </c>
      <c r="BC143" s="478">
        <f t="shared" si="353"/>
        <v>0.05</v>
      </c>
    </row>
    <row r="144" spans="1:55" ht="12.95" customHeight="1" x14ac:dyDescent="0.25">
      <c r="A144" s="352">
        <v>26</v>
      </c>
      <c r="B144" s="353">
        <v>5452</v>
      </c>
      <c r="C144" s="354">
        <v>600099245</v>
      </c>
      <c r="D144" s="353">
        <v>70188416</v>
      </c>
      <c r="E144" s="355" t="s">
        <v>423</v>
      </c>
      <c r="F144" s="319"/>
      <c r="G144" s="357"/>
      <c r="H144" s="320"/>
      <c r="I144" s="582">
        <v>8028285</v>
      </c>
      <c r="J144" s="578">
        <v>5829488</v>
      </c>
      <c r="K144" s="578">
        <v>30000</v>
      </c>
      <c r="L144" s="578">
        <v>1980506</v>
      </c>
      <c r="M144" s="578">
        <v>116589</v>
      </c>
      <c r="N144" s="578">
        <v>71702</v>
      </c>
      <c r="O144" s="579">
        <v>13.6615</v>
      </c>
      <c r="P144" s="579">
        <v>9.5609000000000002</v>
      </c>
      <c r="Q144" s="584">
        <v>4.1006</v>
      </c>
      <c r="R144" s="582">
        <f t="shared" ref="R144:BC144" si="355">SUM(R138:R143)</f>
        <v>0</v>
      </c>
      <c r="S144" s="578">
        <f t="shared" si="355"/>
        <v>-72806</v>
      </c>
      <c r="T144" s="578">
        <f t="shared" si="355"/>
        <v>-5332</v>
      </c>
      <c r="U144" s="578">
        <f t="shared" si="355"/>
        <v>0</v>
      </c>
      <c r="V144" s="578">
        <f t="shared" si="355"/>
        <v>0</v>
      </c>
      <c r="W144" s="578">
        <f t="shared" si="355"/>
        <v>0</v>
      </c>
      <c r="X144" s="578">
        <f t="shared" si="355"/>
        <v>-78138</v>
      </c>
      <c r="Y144" s="578">
        <f t="shared" si="355"/>
        <v>0</v>
      </c>
      <c r="Z144" s="578">
        <f t="shared" si="355"/>
        <v>0</v>
      </c>
      <c r="AA144" s="578">
        <f t="shared" si="355"/>
        <v>0</v>
      </c>
      <c r="AB144" s="578">
        <f t="shared" si="355"/>
        <v>0</v>
      </c>
      <c r="AC144" s="578">
        <f t="shared" si="355"/>
        <v>-78138</v>
      </c>
      <c r="AD144" s="578">
        <f t="shared" si="355"/>
        <v>-26410</v>
      </c>
      <c r="AE144" s="578">
        <f t="shared" si="355"/>
        <v>-1563</v>
      </c>
      <c r="AF144" s="578">
        <f t="shared" si="355"/>
        <v>12750</v>
      </c>
      <c r="AG144" s="578">
        <f t="shared" si="355"/>
        <v>0</v>
      </c>
      <c r="AH144" s="578">
        <f t="shared" si="355"/>
        <v>12750</v>
      </c>
      <c r="AI144" s="578">
        <f t="shared" si="355"/>
        <v>-93361</v>
      </c>
      <c r="AJ144" s="579">
        <f t="shared" si="355"/>
        <v>0</v>
      </c>
      <c r="AK144" s="579">
        <f t="shared" si="355"/>
        <v>0</v>
      </c>
      <c r="AL144" s="579">
        <f t="shared" si="355"/>
        <v>-0.13</v>
      </c>
      <c r="AM144" s="579">
        <f t="shared" si="355"/>
        <v>0</v>
      </c>
      <c r="AN144" s="579">
        <f t="shared" si="355"/>
        <v>-0.02</v>
      </c>
      <c r="AO144" s="579">
        <f t="shared" si="355"/>
        <v>0</v>
      </c>
      <c r="AP144" s="579">
        <f t="shared" si="355"/>
        <v>0</v>
      </c>
      <c r="AQ144" s="579">
        <f t="shared" si="355"/>
        <v>0</v>
      </c>
      <c r="AR144" s="579">
        <f t="shared" si="355"/>
        <v>-0.13</v>
      </c>
      <c r="AS144" s="579">
        <f t="shared" si="355"/>
        <v>-0.02</v>
      </c>
      <c r="AT144" s="356">
        <f t="shared" si="355"/>
        <v>-0.15</v>
      </c>
      <c r="AU144" s="586">
        <f t="shared" si="355"/>
        <v>7934924</v>
      </c>
      <c r="AV144" s="578">
        <f t="shared" si="355"/>
        <v>5751350</v>
      </c>
      <c r="AW144" s="578">
        <f t="shared" si="355"/>
        <v>30000</v>
      </c>
      <c r="AX144" s="578">
        <f t="shared" si="355"/>
        <v>1954096</v>
      </c>
      <c r="AY144" s="578">
        <f t="shared" si="355"/>
        <v>115026</v>
      </c>
      <c r="AZ144" s="578">
        <f t="shared" si="355"/>
        <v>84452</v>
      </c>
      <c r="BA144" s="579">
        <f t="shared" si="355"/>
        <v>13.5115</v>
      </c>
      <c r="BB144" s="579">
        <f t="shared" si="355"/>
        <v>9.4309000000000012</v>
      </c>
      <c r="BC144" s="356">
        <f t="shared" si="355"/>
        <v>4.0805999999999996</v>
      </c>
    </row>
    <row r="145" spans="1:55" ht="12.95" customHeight="1" x14ac:dyDescent="0.25">
      <c r="A145" s="308">
        <v>27</v>
      </c>
      <c r="B145" s="349">
        <v>5428</v>
      </c>
      <c r="C145" s="350">
        <v>600099059</v>
      </c>
      <c r="D145" s="309">
        <v>70985740</v>
      </c>
      <c r="E145" s="351" t="s">
        <v>424</v>
      </c>
      <c r="F145" s="309">
        <v>3111</v>
      </c>
      <c r="G145" s="351" t="s">
        <v>325</v>
      </c>
      <c r="H145" s="312" t="s">
        <v>277</v>
      </c>
      <c r="I145" s="477">
        <v>1410369</v>
      </c>
      <c r="J145" s="472">
        <v>1013870</v>
      </c>
      <c r="K145" s="472">
        <v>18000</v>
      </c>
      <c r="L145" s="472">
        <v>348772</v>
      </c>
      <c r="M145" s="472">
        <v>20277</v>
      </c>
      <c r="N145" s="472">
        <v>9450</v>
      </c>
      <c r="O145" s="473">
        <v>2.3658000000000001</v>
      </c>
      <c r="P145" s="474">
        <v>1.8549</v>
      </c>
      <c r="Q145" s="483">
        <v>0.51090000000000002</v>
      </c>
      <c r="R145" s="485">
        <f t="shared" ref="R145:R150" si="356">Y145*-1</f>
        <v>0</v>
      </c>
      <c r="S145" s="475">
        <v>0</v>
      </c>
      <c r="T145" s="475">
        <v>0</v>
      </c>
      <c r="U145" s="475">
        <v>0</v>
      </c>
      <c r="V145" s="475">
        <v>0</v>
      </c>
      <c r="W145" s="475">
        <v>0</v>
      </c>
      <c r="X145" s="475">
        <f t="shared" si="354"/>
        <v>0</v>
      </c>
      <c r="Y145" s="475">
        <v>0</v>
      </c>
      <c r="Z145" s="475">
        <v>0</v>
      </c>
      <c r="AA145" s="475">
        <v>0</v>
      </c>
      <c r="AB145" s="475">
        <f t="shared" ref="AB145:AB150" si="357">SUM(Y145:AA145)</f>
        <v>0</v>
      </c>
      <c r="AC145" s="475">
        <f t="shared" ref="AC145:AC150" si="358">X145+AB145</f>
        <v>0</v>
      </c>
      <c r="AD145" s="70">
        <f t="shared" ref="AD145:AD150" si="359">ROUND((X145+Y145+Z145)*33.8%,0)</f>
        <v>0</v>
      </c>
      <c r="AE145" s="70">
        <f t="shared" ref="AE145:AE150" si="360">ROUND(X145*2%,0)</f>
        <v>0</v>
      </c>
      <c r="AF145" s="475">
        <v>0</v>
      </c>
      <c r="AG145" s="475">
        <v>0</v>
      </c>
      <c r="AH145" s="475">
        <f t="shared" ref="AH145:AH150" si="361">SUM(AF145:AG145)</f>
        <v>0</v>
      </c>
      <c r="AI145" s="475">
        <f t="shared" ref="AI145:AI150" si="362">AC145+AD145+AE145+AH145</f>
        <v>0</v>
      </c>
      <c r="AJ145" s="476">
        <v>0</v>
      </c>
      <c r="AK145" s="476">
        <v>0</v>
      </c>
      <c r="AL145" s="476">
        <v>0</v>
      </c>
      <c r="AM145" s="476">
        <v>0</v>
      </c>
      <c r="AN145" s="476">
        <v>0</v>
      </c>
      <c r="AO145" s="476">
        <v>0</v>
      </c>
      <c r="AP145" s="476">
        <v>0</v>
      </c>
      <c r="AQ145" s="476">
        <v>0</v>
      </c>
      <c r="AR145" s="476">
        <f t="shared" ref="AR145:AR150" si="363">AJ145+AL145+AM145+AO145+AP145</f>
        <v>0</v>
      </c>
      <c r="AS145" s="476">
        <f t="shared" ref="AS145:AS150" si="364">AK145+AN145+AQ145</f>
        <v>0</v>
      </c>
      <c r="AT145" s="478">
        <f t="shared" ref="AT145:AT150" si="365">SUM(AR145:AS145)</f>
        <v>0</v>
      </c>
      <c r="AU145" s="484">
        <f t="shared" ref="AU145:AU150" si="366">I145+AI145</f>
        <v>1410369</v>
      </c>
      <c r="AV145" s="475">
        <f t="shared" ref="AV145:AV150" si="367">J145+X145</f>
        <v>1013870</v>
      </c>
      <c r="AW145" s="475">
        <f t="shared" ref="AW145:AW150" si="368">K145+AB145</f>
        <v>18000</v>
      </c>
      <c r="AX145" s="475">
        <f t="shared" ref="AX145:AY150" si="369">L145+AD145</f>
        <v>348772</v>
      </c>
      <c r="AY145" s="475">
        <f t="shared" si="369"/>
        <v>20277</v>
      </c>
      <c r="AZ145" s="475">
        <f t="shared" ref="AZ145:AZ150" si="370">N145+AH145</f>
        <v>9450</v>
      </c>
      <c r="BA145" s="476">
        <f t="shared" ref="BA145:BA150" si="371">O145+AT145</f>
        <v>2.3658000000000001</v>
      </c>
      <c r="BB145" s="476">
        <f t="shared" ref="BB145:BC150" si="372">P145+AR145</f>
        <v>1.8549</v>
      </c>
      <c r="BC145" s="478">
        <f t="shared" si="372"/>
        <v>0.51090000000000002</v>
      </c>
    </row>
    <row r="146" spans="1:55" ht="12.95" customHeight="1" x14ac:dyDescent="0.25">
      <c r="A146" s="308">
        <v>27</v>
      </c>
      <c r="B146" s="349">
        <v>5428</v>
      </c>
      <c r="C146" s="350">
        <v>600099059</v>
      </c>
      <c r="D146" s="309">
        <v>70985740</v>
      </c>
      <c r="E146" s="351" t="s">
        <v>424</v>
      </c>
      <c r="F146" s="309">
        <v>3117</v>
      </c>
      <c r="G146" s="351" t="s">
        <v>314</v>
      </c>
      <c r="H146" s="312" t="s">
        <v>277</v>
      </c>
      <c r="I146" s="477">
        <v>2361074</v>
      </c>
      <c r="J146" s="472">
        <v>1691179</v>
      </c>
      <c r="K146" s="472">
        <v>29000</v>
      </c>
      <c r="L146" s="472">
        <v>581421</v>
      </c>
      <c r="M146" s="472">
        <v>33824</v>
      </c>
      <c r="N146" s="472">
        <v>25650</v>
      </c>
      <c r="O146" s="473">
        <v>3.1402999999999999</v>
      </c>
      <c r="P146" s="474">
        <v>2.1158999999999999</v>
      </c>
      <c r="Q146" s="483">
        <v>1.0244</v>
      </c>
      <c r="R146" s="485">
        <f t="shared" si="356"/>
        <v>0</v>
      </c>
      <c r="S146" s="475">
        <v>0</v>
      </c>
      <c r="T146" s="475">
        <v>-127766</v>
      </c>
      <c r="U146" s="475">
        <v>0</v>
      </c>
      <c r="V146" s="475">
        <v>0</v>
      </c>
      <c r="W146" s="475">
        <v>0</v>
      </c>
      <c r="X146" s="475">
        <f t="shared" si="354"/>
        <v>-127766</v>
      </c>
      <c r="Y146" s="475">
        <v>0</v>
      </c>
      <c r="Z146" s="475">
        <v>0</v>
      </c>
      <c r="AA146" s="475">
        <v>0</v>
      </c>
      <c r="AB146" s="475">
        <f t="shared" si="357"/>
        <v>0</v>
      </c>
      <c r="AC146" s="475">
        <f t="shared" si="358"/>
        <v>-127766</v>
      </c>
      <c r="AD146" s="70">
        <f t="shared" si="359"/>
        <v>-43185</v>
      </c>
      <c r="AE146" s="70">
        <f t="shared" si="360"/>
        <v>-2555</v>
      </c>
      <c r="AF146" s="475">
        <v>0</v>
      </c>
      <c r="AG146" s="475">
        <v>0</v>
      </c>
      <c r="AH146" s="475">
        <f t="shared" si="361"/>
        <v>0</v>
      </c>
      <c r="AI146" s="475">
        <f t="shared" si="362"/>
        <v>-173506</v>
      </c>
      <c r="AJ146" s="476">
        <v>0</v>
      </c>
      <c r="AK146" s="476">
        <v>0</v>
      </c>
      <c r="AL146" s="476">
        <v>0</v>
      </c>
      <c r="AM146" s="476">
        <v>-0.21</v>
      </c>
      <c r="AN146" s="476">
        <v>0</v>
      </c>
      <c r="AO146" s="476">
        <v>0</v>
      </c>
      <c r="AP146" s="476">
        <v>0</v>
      </c>
      <c r="AQ146" s="476">
        <v>0</v>
      </c>
      <c r="AR146" s="476">
        <f t="shared" si="363"/>
        <v>-0.21</v>
      </c>
      <c r="AS146" s="476">
        <f t="shared" si="364"/>
        <v>0</v>
      </c>
      <c r="AT146" s="478">
        <f t="shared" si="365"/>
        <v>-0.21</v>
      </c>
      <c r="AU146" s="484">
        <f t="shared" si="366"/>
        <v>2187568</v>
      </c>
      <c r="AV146" s="475">
        <f t="shared" si="367"/>
        <v>1563413</v>
      </c>
      <c r="AW146" s="475">
        <f t="shared" si="368"/>
        <v>29000</v>
      </c>
      <c r="AX146" s="475">
        <f t="shared" si="369"/>
        <v>538236</v>
      </c>
      <c r="AY146" s="475">
        <f t="shared" si="369"/>
        <v>31269</v>
      </c>
      <c r="AZ146" s="475">
        <f t="shared" si="370"/>
        <v>25650</v>
      </c>
      <c r="BA146" s="476">
        <f t="shared" si="371"/>
        <v>2.9302999999999999</v>
      </c>
      <c r="BB146" s="476">
        <f t="shared" si="372"/>
        <v>1.9058999999999999</v>
      </c>
      <c r="BC146" s="478">
        <f t="shared" si="372"/>
        <v>1.0244</v>
      </c>
    </row>
    <row r="147" spans="1:55" ht="12.95" customHeight="1" x14ac:dyDescent="0.25">
      <c r="A147" s="308">
        <v>27</v>
      </c>
      <c r="B147" s="349">
        <v>5428</v>
      </c>
      <c r="C147" s="350">
        <v>600099059</v>
      </c>
      <c r="D147" s="309">
        <v>70985740</v>
      </c>
      <c r="E147" s="351" t="s">
        <v>424</v>
      </c>
      <c r="F147" s="309">
        <v>3117</v>
      </c>
      <c r="G147" s="351" t="s">
        <v>319</v>
      </c>
      <c r="H147" s="312" t="s">
        <v>278</v>
      </c>
      <c r="I147" s="477">
        <v>700</v>
      </c>
      <c r="J147" s="472">
        <v>0</v>
      </c>
      <c r="K147" s="472">
        <v>0</v>
      </c>
      <c r="L147" s="472">
        <v>0</v>
      </c>
      <c r="M147" s="472">
        <v>0</v>
      </c>
      <c r="N147" s="472">
        <v>700</v>
      </c>
      <c r="O147" s="473">
        <v>0</v>
      </c>
      <c r="P147" s="474">
        <v>0</v>
      </c>
      <c r="Q147" s="483">
        <v>0</v>
      </c>
      <c r="R147" s="485">
        <f t="shared" si="356"/>
        <v>0</v>
      </c>
      <c r="S147" s="475">
        <v>0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54"/>
        <v>0</v>
      </c>
      <c r="Y147" s="475">
        <v>0</v>
      </c>
      <c r="Z147" s="475">
        <v>0</v>
      </c>
      <c r="AA147" s="475">
        <v>0</v>
      </c>
      <c r="AB147" s="475">
        <f t="shared" si="357"/>
        <v>0</v>
      </c>
      <c r="AC147" s="475">
        <f t="shared" si="358"/>
        <v>0</v>
      </c>
      <c r="AD147" s="70">
        <f t="shared" si="359"/>
        <v>0</v>
      </c>
      <c r="AE147" s="70">
        <f t="shared" si="360"/>
        <v>0</v>
      </c>
      <c r="AF147" s="475">
        <v>0</v>
      </c>
      <c r="AG147" s="475">
        <v>0</v>
      </c>
      <c r="AH147" s="475">
        <f t="shared" si="361"/>
        <v>0</v>
      </c>
      <c r="AI147" s="475">
        <f t="shared" si="362"/>
        <v>0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 t="shared" si="363"/>
        <v>0</v>
      </c>
      <c r="AS147" s="476">
        <f t="shared" si="364"/>
        <v>0</v>
      </c>
      <c r="AT147" s="478">
        <f t="shared" si="365"/>
        <v>0</v>
      </c>
      <c r="AU147" s="484">
        <f t="shared" si="366"/>
        <v>700</v>
      </c>
      <c r="AV147" s="475">
        <f t="shared" si="367"/>
        <v>0</v>
      </c>
      <c r="AW147" s="475">
        <f t="shared" si="368"/>
        <v>0</v>
      </c>
      <c r="AX147" s="475">
        <f t="shared" si="369"/>
        <v>0</v>
      </c>
      <c r="AY147" s="475">
        <f t="shared" si="369"/>
        <v>0</v>
      </c>
      <c r="AZ147" s="475">
        <f t="shared" si="370"/>
        <v>700</v>
      </c>
      <c r="BA147" s="476">
        <f t="shared" si="371"/>
        <v>0</v>
      </c>
      <c r="BB147" s="476">
        <f t="shared" si="372"/>
        <v>0</v>
      </c>
      <c r="BC147" s="478">
        <f t="shared" si="372"/>
        <v>0</v>
      </c>
    </row>
    <row r="148" spans="1:55" ht="12.95" customHeight="1" x14ac:dyDescent="0.25">
      <c r="A148" s="308">
        <v>27</v>
      </c>
      <c r="B148" s="349">
        <v>5428</v>
      </c>
      <c r="C148" s="350">
        <v>600099059</v>
      </c>
      <c r="D148" s="309">
        <v>70985740</v>
      </c>
      <c r="E148" s="351" t="s">
        <v>424</v>
      </c>
      <c r="F148" s="309">
        <v>3141</v>
      </c>
      <c r="G148" s="351" t="s">
        <v>315</v>
      </c>
      <c r="H148" s="312" t="s">
        <v>278</v>
      </c>
      <c r="I148" s="477">
        <v>546438</v>
      </c>
      <c r="J148" s="472">
        <v>400847</v>
      </c>
      <c r="K148" s="472">
        <v>0</v>
      </c>
      <c r="L148" s="472">
        <v>135486</v>
      </c>
      <c r="M148" s="472">
        <v>8017</v>
      </c>
      <c r="N148" s="472">
        <v>2088</v>
      </c>
      <c r="O148" s="473">
        <v>1.26</v>
      </c>
      <c r="P148" s="474">
        <v>0</v>
      </c>
      <c r="Q148" s="483">
        <v>1.26</v>
      </c>
      <c r="R148" s="485">
        <f t="shared" si="356"/>
        <v>0</v>
      </c>
      <c r="S148" s="475">
        <v>0</v>
      </c>
      <c r="T148" s="475">
        <v>-20705</v>
      </c>
      <c r="U148" s="475">
        <v>0</v>
      </c>
      <c r="V148" s="475">
        <v>0</v>
      </c>
      <c r="W148" s="475">
        <v>0</v>
      </c>
      <c r="X148" s="475">
        <f t="shared" si="354"/>
        <v>-20705</v>
      </c>
      <c r="Y148" s="475">
        <v>0</v>
      </c>
      <c r="Z148" s="475">
        <v>0</v>
      </c>
      <c r="AA148" s="475">
        <v>0</v>
      </c>
      <c r="AB148" s="475">
        <f t="shared" si="357"/>
        <v>0</v>
      </c>
      <c r="AC148" s="475">
        <f t="shared" si="358"/>
        <v>-20705</v>
      </c>
      <c r="AD148" s="70">
        <f t="shared" si="359"/>
        <v>-6998</v>
      </c>
      <c r="AE148" s="70">
        <f t="shared" si="360"/>
        <v>-414</v>
      </c>
      <c r="AF148" s="475">
        <v>0</v>
      </c>
      <c r="AG148" s="475">
        <v>0</v>
      </c>
      <c r="AH148" s="475">
        <f t="shared" si="361"/>
        <v>0</v>
      </c>
      <c r="AI148" s="475">
        <f t="shared" si="362"/>
        <v>-28117</v>
      </c>
      <c r="AJ148" s="476">
        <v>0</v>
      </c>
      <c r="AK148" s="476">
        <v>0</v>
      </c>
      <c r="AL148" s="476">
        <v>0</v>
      </c>
      <c r="AM148" s="476">
        <v>0</v>
      </c>
      <c r="AN148" s="476">
        <v>-0.06</v>
      </c>
      <c r="AO148" s="476">
        <v>0</v>
      </c>
      <c r="AP148" s="476">
        <v>0</v>
      </c>
      <c r="AQ148" s="476">
        <v>0</v>
      </c>
      <c r="AR148" s="476">
        <f t="shared" si="363"/>
        <v>0</v>
      </c>
      <c r="AS148" s="476">
        <f t="shared" si="364"/>
        <v>-0.06</v>
      </c>
      <c r="AT148" s="478">
        <f t="shared" si="365"/>
        <v>-0.06</v>
      </c>
      <c r="AU148" s="484">
        <f t="shared" si="366"/>
        <v>518321</v>
      </c>
      <c r="AV148" s="475">
        <f t="shared" si="367"/>
        <v>380142</v>
      </c>
      <c r="AW148" s="475">
        <f t="shared" si="368"/>
        <v>0</v>
      </c>
      <c r="AX148" s="475">
        <f t="shared" si="369"/>
        <v>128488</v>
      </c>
      <c r="AY148" s="475">
        <f t="shared" si="369"/>
        <v>7603</v>
      </c>
      <c r="AZ148" s="475">
        <f t="shared" si="370"/>
        <v>2088</v>
      </c>
      <c r="BA148" s="476">
        <f t="shared" si="371"/>
        <v>1.2</v>
      </c>
      <c r="BB148" s="476">
        <f t="shared" si="372"/>
        <v>0</v>
      </c>
      <c r="BC148" s="478">
        <f t="shared" si="372"/>
        <v>1.2</v>
      </c>
    </row>
    <row r="149" spans="1:55" ht="12.95" customHeight="1" x14ac:dyDescent="0.25">
      <c r="A149" s="308">
        <v>27</v>
      </c>
      <c r="B149" s="349">
        <v>5428</v>
      </c>
      <c r="C149" s="350">
        <v>600099059</v>
      </c>
      <c r="D149" s="309">
        <v>70985740</v>
      </c>
      <c r="E149" s="351" t="s">
        <v>424</v>
      </c>
      <c r="F149" s="309">
        <v>3143</v>
      </c>
      <c r="G149" s="351" t="s">
        <v>626</v>
      </c>
      <c r="H149" s="312" t="s">
        <v>277</v>
      </c>
      <c r="I149" s="477">
        <v>543813</v>
      </c>
      <c r="J149" s="472">
        <v>397003</v>
      </c>
      <c r="K149" s="472">
        <v>3500</v>
      </c>
      <c r="L149" s="472">
        <v>135370</v>
      </c>
      <c r="M149" s="472">
        <v>7940</v>
      </c>
      <c r="N149" s="472">
        <v>0</v>
      </c>
      <c r="O149" s="473">
        <v>0.8417</v>
      </c>
      <c r="P149" s="474">
        <v>0.8417</v>
      </c>
      <c r="Q149" s="483">
        <v>0</v>
      </c>
      <c r="R149" s="485">
        <f t="shared" si="356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354"/>
        <v>0</v>
      </c>
      <c r="Y149" s="475">
        <v>0</v>
      </c>
      <c r="Z149" s="475">
        <v>0</v>
      </c>
      <c r="AA149" s="475">
        <v>0</v>
      </c>
      <c r="AB149" s="475">
        <f t="shared" si="357"/>
        <v>0</v>
      </c>
      <c r="AC149" s="475">
        <f t="shared" si="358"/>
        <v>0</v>
      </c>
      <c r="AD149" s="70">
        <f t="shared" si="359"/>
        <v>0</v>
      </c>
      <c r="AE149" s="70">
        <f t="shared" si="360"/>
        <v>0</v>
      </c>
      <c r="AF149" s="475">
        <v>0</v>
      </c>
      <c r="AG149" s="475">
        <v>0</v>
      </c>
      <c r="AH149" s="475">
        <f t="shared" si="361"/>
        <v>0</v>
      </c>
      <c r="AI149" s="475">
        <f t="shared" si="362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 t="shared" si="363"/>
        <v>0</v>
      </c>
      <c r="AS149" s="476">
        <f t="shared" si="364"/>
        <v>0</v>
      </c>
      <c r="AT149" s="478">
        <f t="shared" si="365"/>
        <v>0</v>
      </c>
      <c r="AU149" s="484">
        <f t="shared" si="366"/>
        <v>543813</v>
      </c>
      <c r="AV149" s="475">
        <f t="shared" si="367"/>
        <v>397003</v>
      </c>
      <c r="AW149" s="475">
        <f t="shared" si="368"/>
        <v>3500</v>
      </c>
      <c r="AX149" s="475">
        <f t="shared" si="369"/>
        <v>135370</v>
      </c>
      <c r="AY149" s="475">
        <f t="shared" si="369"/>
        <v>7940</v>
      </c>
      <c r="AZ149" s="475">
        <f t="shared" si="370"/>
        <v>0</v>
      </c>
      <c r="BA149" s="476">
        <f t="shared" si="371"/>
        <v>0.8417</v>
      </c>
      <c r="BB149" s="476">
        <f t="shared" si="372"/>
        <v>0.8417</v>
      </c>
      <c r="BC149" s="478">
        <f t="shared" si="372"/>
        <v>0</v>
      </c>
    </row>
    <row r="150" spans="1:55" ht="12.95" customHeight="1" x14ac:dyDescent="0.25">
      <c r="A150" s="308">
        <v>27</v>
      </c>
      <c r="B150" s="349">
        <v>5428</v>
      </c>
      <c r="C150" s="350">
        <v>600099059</v>
      </c>
      <c r="D150" s="309">
        <v>70985740</v>
      </c>
      <c r="E150" s="351" t="s">
        <v>424</v>
      </c>
      <c r="F150" s="309">
        <v>3143</v>
      </c>
      <c r="G150" s="351" t="s">
        <v>627</v>
      </c>
      <c r="H150" s="312" t="s">
        <v>278</v>
      </c>
      <c r="I150" s="477">
        <v>10455</v>
      </c>
      <c r="J150" s="472">
        <v>985</v>
      </c>
      <c r="K150" s="472">
        <v>6500</v>
      </c>
      <c r="L150" s="472">
        <v>2530</v>
      </c>
      <c r="M150" s="472">
        <v>20</v>
      </c>
      <c r="N150" s="472">
        <v>420</v>
      </c>
      <c r="O150" s="473">
        <v>0.03</v>
      </c>
      <c r="P150" s="474">
        <v>0</v>
      </c>
      <c r="Q150" s="483">
        <v>0.03</v>
      </c>
      <c r="R150" s="485">
        <f t="shared" si="356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54"/>
        <v>0</v>
      </c>
      <c r="Y150" s="475">
        <v>0</v>
      </c>
      <c r="Z150" s="475">
        <v>0</v>
      </c>
      <c r="AA150" s="475">
        <v>0</v>
      </c>
      <c r="AB150" s="475">
        <f t="shared" si="357"/>
        <v>0</v>
      </c>
      <c r="AC150" s="475">
        <f t="shared" si="358"/>
        <v>0</v>
      </c>
      <c r="AD150" s="70">
        <f t="shared" si="359"/>
        <v>0</v>
      </c>
      <c r="AE150" s="70">
        <f t="shared" si="360"/>
        <v>0</v>
      </c>
      <c r="AF150" s="475">
        <v>0</v>
      </c>
      <c r="AG150" s="475">
        <v>0</v>
      </c>
      <c r="AH150" s="475">
        <f t="shared" si="361"/>
        <v>0</v>
      </c>
      <c r="AI150" s="475">
        <f t="shared" si="362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 t="shared" si="363"/>
        <v>0</v>
      </c>
      <c r="AS150" s="476">
        <f t="shared" si="364"/>
        <v>0</v>
      </c>
      <c r="AT150" s="478">
        <f t="shared" si="365"/>
        <v>0</v>
      </c>
      <c r="AU150" s="484">
        <f t="shared" si="366"/>
        <v>10455</v>
      </c>
      <c r="AV150" s="475">
        <f t="shared" si="367"/>
        <v>985</v>
      </c>
      <c r="AW150" s="475">
        <f t="shared" si="368"/>
        <v>6500</v>
      </c>
      <c r="AX150" s="475">
        <f t="shared" si="369"/>
        <v>2530</v>
      </c>
      <c r="AY150" s="475">
        <f t="shared" si="369"/>
        <v>20</v>
      </c>
      <c r="AZ150" s="475">
        <f t="shared" si="370"/>
        <v>420</v>
      </c>
      <c r="BA150" s="476">
        <f t="shared" si="371"/>
        <v>0.03</v>
      </c>
      <c r="BB150" s="476">
        <f t="shared" si="372"/>
        <v>0</v>
      </c>
      <c r="BC150" s="478">
        <f t="shared" si="372"/>
        <v>0.03</v>
      </c>
    </row>
    <row r="151" spans="1:55" ht="12.95" customHeight="1" x14ac:dyDescent="0.25">
      <c r="A151" s="352">
        <v>27</v>
      </c>
      <c r="B151" s="353">
        <v>5428</v>
      </c>
      <c r="C151" s="354">
        <v>600099059</v>
      </c>
      <c r="D151" s="353">
        <v>70985740</v>
      </c>
      <c r="E151" s="355" t="s">
        <v>425</v>
      </c>
      <c r="F151" s="319"/>
      <c r="G151" s="357"/>
      <c r="H151" s="320"/>
      <c r="I151" s="582">
        <v>4872849</v>
      </c>
      <c r="J151" s="578">
        <v>3503884</v>
      </c>
      <c r="K151" s="578">
        <v>57000</v>
      </c>
      <c r="L151" s="578">
        <v>1203579</v>
      </c>
      <c r="M151" s="578">
        <v>70078</v>
      </c>
      <c r="N151" s="578">
        <v>38308</v>
      </c>
      <c r="O151" s="579">
        <v>7.6378000000000004</v>
      </c>
      <c r="P151" s="579">
        <v>4.8125</v>
      </c>
      <c r="Q151" s="584">
        <v>2.8252999999999999</v>
      </c>
      <c r="R151" s="582">
        <f t="shared" ref="R151:BC151" si="373">SUM(R145:R150)</f>
        <v>0</v>
      </c>
      <c r="S151" s="578">
        <f t="shared" si="373"/>
        <v>0</v>
      </c>
      <c r="T151" s="578">
        <f t="shared" si="373"/>
        <v>-148471</v>
      </c>
      <c r="U151" s="578">
        <f t="shared" si="373"/>
        <v>0</v>
      </c>
      <c r="V151" s="578">
        <f t="shared" si="373"/>
        <v>0</v>
      </c>
      <c r="W151" s="578">
        <f t="shared" si="373"/>
        <v>0</v>
      </c>
      <c r="X151" s="578">
        <f t="shared" si="373"/>
        <v>-148471</v>
      </c>
      <c r="Y151" s="578">
        <f t="shared" si="373"/>
        <v>0</v>
      </c>
      <c r="Z151" s="578">
        <f t="shared" si="373"/>
        <v>0</v>
      </c>
      <c r="AA151" s="578">
        <f t="shared" si="373"/>
        <v>0</v>
      </c>
      <c r="AB151" s="578">
        <f t="shared" si="373"/>
        <v>0</v>
      </c>
      <c r="AC151" s="578">
        <f t="shared" si="373"/>
        <v>-148471</v>
      </c>
      <c r="AD151" s="578">
        <f t="shared" si="373"/>
        <v>-50183</v>
      </c>
      <c r="AE151" s="578">
        <f t="shared" si="373"/>
        <v>-2969</v>
      </c>
      <c r="AF151" s="578">
        <f t="shared" si="373"/>
        <v>0</v>
      </c>
      <c r="AG151" s="578">
        <f t="shared" si="373"/>
        <v>0</v>
      </c>
      <c r="AH151" s="578">
        <f t="shared" si="373"/>
        <v>0</v>
      </c>
      <c r="AI151" s="578">
        <f t="shared" si="373"/>
        <v>-201623</v>
      </c>
      <c r="AJ151" s="579">
        <f t="shared" si="373"/>
        <v>0</v>
      </c>
      <c r="AK151" s="579">
        <f t="shared" si="373"/>
        <v>0</v>
      </c>
      <c r="AL151" s="579">
        <f t="shared" si="373"/>
        <v>0</v>
      </c>
      <c r="AM151" s="579">
        <f t="shared" si="373"/>
        <v>-0.21</v>
      </c>
      <c r="AN151" s="579">
        <f t="shared" si="373"/>
        <v>-0.06</v>
      </c>
      <c r="AO151" s="579">
        <f t="shared" si="373"/>
        <v>0</v>
      </c>
      <c r="AP151" s="579">
        <f t="shared" si="373"/>
        <v>0</v>
      </c>
      <c r="AQ151" s="579">
        <f t="shared" si="373"/>
        <v>0</v>
      </c>
      <c r="AR151" s="579">
        <f t="shared" si="373"/>
        <v>-0.21</v>
      </c>
      <c r="AS151" s="579">
        <f t="shared" si="373"/>
        <v>-0.06</v>
      </c>
      <c r="AT151" s="356">
        <f t="shared" si="373"/>
        <v>-0.27</v>
      </c>
      <c r="AU151" s="586">
        <f t="shared" si="373"/>
        <v>4671226</v>
      </c>
      <c r="AV151" s="578">
        <f t="shared" si="373"/>
        <v>3355413</v>
      </c>
      <c r="AW151" s="578">
        <f t="shared" si="373"/>
        <v>57000</v>
      </c>
      <c r="AX151" s="578">
        <f t="shared" si="373"/>
        <v>1153396</v>
      </c>
      <c r="AY151" s="578">
        <f t="shared" si="373"/>
        <v>67109</v>
      </c>
      <c r="AZ151" s="578">
        <f t="shared" si="373"/>
        <v>38308</v>
      </c>
      <c r="BA151" s="579">
        <f t="shared" si="373"/>
        <v>7.3678000000000008</v>
      </c>
      <c r="BB151" s="579">
        <f t="shared" si="373"/>
        <v>4.6025</v>
      </c>
      <c r="BC151" s="356">
        <f t="shared" si="373"/>
        <v>2.7652999999999994</v>
      </c>
    </row>
    <row r="152" spans="1:55" ht="12.95" customHeight="1" x14ac:dyDescent="0.25">
      <c r="A152" s="308">
        <v>28</v>
      </c>
      <c r="B152" s="349">
        <v>5472</v>
      </c>
      <c r="C152" s="350">
        <v>600098672</v>
      </c>
      <c r="D152" s="309">
        <v>72743565</v>
      </c>
      <c r="E152" s="351" t="s">
        <v>426</v>
      </c>
      <c r="F152" s="309">
        <v>3111</v>
      </c>
      <c r="G152" s="351" t="s">
        <v>325</v>
      </c>
      <c r="H152" s="312" t="s">
        <v>277</v>
      </c>
      <c r="I152" s="477">
        <v>3539298</v>
      </c>
      <c r="J152" s="472">
        <v>2588695</v>
      </c>
      <c r="K152" s="472">
        <v>0</v>
      </c>
      <c r="L152" s="472">
        <v>874979</v>
      </c>
      <c r="M152" s="472">
        <v>51774</v>
      </c>
      <c r="N152" s="472">
        <v>23850</v>
      </c>
      <c r="O152" s="473">
        <v>5.49</v>
      </c>
      <c r="P152" s="474">
        <v>4</v>
      </c>
      <c r="Q152" s="483">
        <v>1.49</v>
      </c>
      <c r="R152" s="485">
        <f t="shared" ref="R152:R153" si="374">Y152*-1</f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si="354"/>
        <v>0</v>
      </c>
      <c r="Y152" s="475">
        <v>0</v>
      </c>
      <c r="Z152" s="475">
        <v>0</v>
      </c>
      <c r="AA152" s="475">
        <v>0</v>
      </c>
      <c r="AB152" s="475">
        <f t="shared" ref="AB152:AB153" si="375">SUM(Y152:AA152)</f>
        <v>0</v>
      </c>
      <c r="AC152" s="475">
        <f t="shared" ref="AC152:AC153" si="376">X152+AB152</f>
        <v>0</v>
      </c>
      <c r="AD152" s="70">
        <f t="shared" ref="AD152:AD153" si="377">ROUND((X152+Y152+Z152)*33.8%,0)</f>
        <v>0</v>
      </c>
      <c r="AE152" s="70">
        <f t="shared" ref="AE152:AE153" si="378">ROUND(X152*2%,0)</f>
        <v>0</v>
      </c>
      <c r="AF152" s="475">
        <v>0</v>
      </c>
      <c r="AG152" s="475">
        <v>0</v>
      </c>
      <c r="AH152" s="475">
        <f t="shared" ref="AH152:AH153" si="379">SUM(AF152:AG152)</f>
        <v>0</v>
      </c>
      <c r="AI152" s="475">
        <f t="shared" ref="AI152:AI153" si="380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</v>
      </c>
      <c r="AS152" s="476">
        <f>AK152+AN152+AQ152</f>
        <v>0</v>
      </c>
      <c r="AT152" s="478">
        <f t="shared" ref="AT152:AT153" si="381">SUM(AR152:AS152)</f>
        <v>0</v>
      </c>
      <c r="AU152" s="484">
        <f>I152+AI152</f>
        <v>3539298</v>
      </c>
      <c r="AV152" s="475">
        <f>J152+X152</f>
        <v>2588695</v>
      </c>
      <c r="AW152" s="475">
        <f t="shared" ref="AW152:AW153" si="382">K152+AB152</f>
        <v>0</v>
      </c>
      <c r="AX152" s="475">
        <f>L152+AD152</f>
        <v>874979</v>
      </c>
      <c r="AY152" s="475">
        <f>M152+AE152</f>
        <v>51774</v>
      </c>
      <c r="AZ152" s="475">
        <f>N152+AH152</f>
        <v>23850</v>
      </c>
      <c r="BA152" s="476">
        <f>O152+AT152</f>
        <v>5.49</v>
      </c>
      <c r="BB152" s="476">
        <f>P152+AR152</f>
        <v>4</v>
      </c>
      <c r="BC152" s="478">
        <f>Q152+AS152</f>
        <v>1.49</v>
      </c>
    </row>
    <row r="153" spans="1:55" ht="12.95" customHeight="1" x14ac:dyDescent="0.25">
      <c r="A153" s="308">
        <v>28</v>
      </c>
      <c r="B153" s="349">
        <v>5472</v>
      </c>
      <c r="C153" s="350">
        <v>600098672</v>
      </c>
      <c r="D153" s="309">
        <v>72743565</v>
      </c>
      <c r="E153" s="351" t="s">
        <v>426</v>
      </c>
      <c r="F153" s="309">
        <v>3141</v>
      </c>
      <c r="G153" s="351" t="s">
        <v>315</v>
      </c>
      <c r="H153" s="312" t="s">
        <v>278</v>
      </c>
      <c r="I153" s="477">
        <v>715571</v>
      </c>
      <c r="J153" s="472">
        <v>524667</v>
      </c>
      <c r="K153" s="472">
        <v>0</v>
      </c>
      <c r="L153" s="472">
        <v>177337</v>
      </c>
      <c r="M153" s="472">
        <v>10493</v>
      </c>
      <c r="N153" s="472">
        <v>3074</v>
      </c>
      <c r="O153" s="473">
        <v>1.65</v>
      </c>
      <c r="P153" s="474">
        <v>0</v>
      </c>
      <c r="Q153" s="483">
        <v>1.65</v>
      </c>
      <c r="R153" s="485">
        <f t="shared" si="374"/>
        <v>0</v>
      </c>
      <c r="S153" s="475">
        <v>0</v>
      </c>
      <c r="T153" s="475">
        <v>-9097</v>
      </c>
      <c r="U153" s="475">
        <v>0</v>
      </c>
      <c r="V153" s="475">
        <v>0</v>
      </c>
      <c r="W153" s="475">
        <v>0</v>
      </c>
      <c r="X153" s="475">
        <f t="shared" si="354"/>
        <v>-9097</v>
      </c>
      <c r="Y153" s="475">
        <v>0</v>
      </c>
      <c r="Z153" s="475">
        <v>0</v>
      </c>
      <c r="AA153" s="475">
        <v>0</v>
      </c>
      <c r="AB153" s="475">
        <f t="shared" si="375"/>
        <v>0</v>
      </c>
      <c r="AC153" s="475">
        <f t="shared" si="376"/>
        <v>-9097</v>
      </c>
      <c r="AD153" s="70">
        <f t="shared" si="377"/>
        <v>-3075</v>
      </c>
      <c r="AE153" s="70">
        <f t="shared" si="378"/>
        <v>-182</v>
      </c>
      <c r="AF153" s="475">
        <v>0</v>
      </c>
      <c r="AG153" s="475">
        <v>0</v>
      </c>
      <c r="AH153" s="475">
        <f t="shared" si="379"/>
        <v>0</v>
      </c>
      <c r="AI153" s="475">
        <f t="shared" si="380"/>
        <v>-12354</v>
      </c>
      <c r="AJ153" s="476">
        <v>0</v>
      </c>
      <c r="AK153" s="476">
        <v>0</v>
      </c>
      <c r="AL153" s="476">
        <v>0</v>
      </c>
      <c r="AM153" s="476">
        <v>0</v>
      </c>
      <c r="AN153" s="476">
        <v>-0.03</v>
      </c>
      <c r="AO153" s="476">
        <v>0</v>
      </c>
      <c r="AP153" s="476">
        <v>0</v>
      </c>
      <c r="AQ153" s="476">
        <v>0</v>
      </c>
      <c r="AR153" s="476">
        <f>AJ153+AL153+AM153+AO153+AP153</f>
        <v>0</v>
      </c>
      <c r="AS153" s="476">
        <f>AK153+AN153+AQ153</f>
        <v>-0.03</v>
      </c>
      <c r="AT153" s="478">
        <f t="shared" si="381"/>
        <v>-0.03</v>
      </c>
      <c r="AU153" s="484">
        <f>I153+AI153</f>
        <v>703217</v>
      </c>
      <c r="AV153" s="475">
        <f>J153+X153</f>
        <v>515570</v>
      </c>
      <c r="AW153" s="475">
        <f t="shared" si="382"/>
        <v>0</v>
      </c>
      <c r="AX153" s="475">
        <f>L153+AD153</f>
        <v>174262</v>
      </c>
      <c r="AY153" s="475">
        <f>M153+AE153</f>
        <v>10311</v>
      </c>
      <c r="AZ153" s="475">
        <f>N153+AH153</f>
        <v>3074</v>
      </c>
      <c r="BA153" s="476">
        <f>O153+AT153</f>
        <v>1.6199999999999999</v>
      </c>
      <c r="BB153" s="476">
        <f>P153+AR153</f>
        <v>0</v>
      </c>
      <c r="BC153" s="478">
        <f>Q153+AS153</f>
        <v>1.6199999999999999</v>
      </c>
    </row>
    <row r="154" spans="1:55" ht="12.95" customHeight="1" x14ac:dyDescent="0.25">
      <c r="A154" s="352">
        <v>28</v>
      </c>
      <c r="B154" s="353">
        <v>5472</v>
      </c>
      <c r="C154" s="354">
        <v>600098672</v>
      </c>
      <c r="D154" s="353">
        <v>72743565</v>
      </c>
      <c r="E154" s="355" t="s">
        <v>427</v>
      </c>
      <c r="F154" s="319"/>
      <c r="G154" s="357"/>
      <c r="H154" s="320"/>
      <c r="I154" s="561">
        <v>4254869</v>
      </c>
      <c r="J154" s="558">
        <v>3113362</v>
      </c>
      <c r="K154" s="558">
        <v>0</v>
      </c>
      <c r="L154" s="558">
        <v>1052316</v>
      </c>
      <c r="M154" s="558">
        <v>62267</v>
      </c>
      <c r="N154" s="558">
        <v>26924</v>
      </c>
      <c r="O154" s="559">
        <v>7.1400000000000006</v>
      </c>
      <c r="P154" s="559">
        <v>4</v>
      </c>
      <c r="Q154" s="563">
        <v>3.1399999999999997</v>
      </c>
      <c r="R154" s="561">
        <f t="shared" ref="R154:BC154" si="383">SUM(R152:R153)</f>
        <v>0</v>
      </c>
      <c r="S154" s="558">
        <f t="shared" si="383"/>
        <v>0</v>
      </c>
      <c r="T154" s="558">
        <f t="shared" si="383"/>
        <v>-9097</v>
      </c>
      <c r="U154" s="558">
        <f t="shared" si="383"/>
        <v>0</v>
      </c>
      <c r="V154" s="558">
        <f t="shared" si="383"/>
        <v>0</v>
      </c>
      <c r="W154" s="558">
        <f t="shared" si="383"/>
        <v>0</v>
      </c>
      <c r="X154" s="558">
        <f t="shared" si="383"/>
        <v>-9097</v>
      </c>
      <c r="Y154" s="558">
        <f t="shared" si="383"/>
        <v>0</v>
      </c>
      <c r="Z154" s="558">
        <f t="shared" si="383"/>
        <v>0</v>
      </c>
      <c r="AA154" s="558">
        <f t="shared" si="383"/>
        <v>0</v>
      </c>
      <c r="AB154" s="558">
        <f t="shared" si="383"/>
        <v>0</v>
      </c>
      <c r="AC154" s="558">
        <f t="shared" si="383"/>
        <v>-9097</v>
      </c>
      <c r="AD154" s="558">
        <f t="shared" si="383"/>
        <v>-3075</v>
      </c>
      <c r="AE154" s="558">
        <f t="shared" si="383"/>
        <v>-182</v>
      </c>
      <c r="AF154" s="558">
        <f t="shared" si="383"/>
        <v>0</v>
      </c>
      <c r="AG154" s="558">
        <f t="shared" si="383"/>
        <v>0</v>
      </c>
      <c r="AH154" s="558">
        <f t="shared" si="383"/>
        <v>0</v>
      </c>
      <c r="AI154" s="558">
        <f t="shared" si="383"/>
        <v>-12354</v>
      </c>
      <c r="AJ154" s="559">
        <f t="shared" si="383"/>
        <v>0</v>
      </c>
      <c r="AK154" s="559">
        <f t="shared" si="383"/>
        <v>0</v>
      </c>
      <c r="AL154" s="559">
        <f t="shared" si="383"/>
        <v>0</v>
      </c>
      <c r="AM154" s="559">
        <f t="shared" si="383"/>
        <v>0</v>
      </c>
      <c r="AN154" s="559">
        <f t="shared" si="383"/>
        <v>-0.03</v>
      </c>
      <c r="AO154" s="559">
        <f t="shared" si="383"/>
        <v>0</v>
      </c>
      <c r="AP154" s="559">
        <f t="shared" si="383"/>
        <v>0</v>
      </c>
      <c r="AQ154" s="559">
        <f t="shared" si="383"/>
        <v>0</v>
      </c>
      <c r="AR154" s="559">
        <f t="shared" si="383"/>
        <v>0</v>
      </c>
      <c r="AS154" s="559">
        <f t="shared" si="383"/>
        <v>-0.03</v>
      </c>
      <c r="AT154" s="318">
        <f t="shared" si="383"/>
        <v>-0.03</v>
      </c>
      <c r="AU154" s="565">
        <f t="shared" si="383"/>
        <v>4242515</v>
      </c>
      <c r="AV154" s="558">
        <f t="shared" si="383"/>
        <v>3104265</v>
      </c>
      <c r="AW154" s="558">
        <f t="shared" si="383"/>
        <v>0</v>
      </c>
      <c r="AX154" s="558">
        <f t="shared" si="383"/>
        <v>1049241</v>
      </c>
      <c r="AY154" s="558">
        <f t="shared" si="383"/>
        <v>62085</v>
      </c>
      <c r="AZ154" s="558">
        <f t="shared" si="383"/>
        <v>26924</v>
      </c>
      <c r="BA154" s="559">
        <f t="shared" si="383"/>
        <v>7.11</v>
      </c>
      <c r="BB154" s="559">
        <f t="shared" si="383"/>
        <v>4</v>
      </c>
      <c r="BC154" s="318">
        <f t="shared" si="383"/>
        <v>3.11</v>
      </c>
    </row>
    <row r="155" spans="1:55" ht="12.95" customHeight="1" x14ac:dyDescent="0.25">
      <c r="A155" s="308">
        <v>29</v>
      </c>
      <c r="B155" s="349">
        <v>5471</v>
      </c>
      <c r="C155" s="350">
        <v>600099229</v>
      </c>
      <c r="D155" s="309">
        <v>72743646</v>
      </c>
      <c r="E155" s="351" t="s">
        <v>428</v>
      </c>
      <c r="F155" s="309">
        <v>3113</v>
      </c>
      <c r="G155" s="351" t="s">
        <v>329</v>
      </c>
      <c r="H155" s="312" t="s">
        <v>277</v>
      </c>
      <c r="I155" s="477">
        <v>13843782</v>
      </c>
      <c r="J155" s="472">
        <v>9965542</v>
      </c>
      <c r="K155" s="472">
        <v>27000</v>
      </c>
      <c r="L155" s="472">
        <v>3377479</v>
      </c>
      <c r="M155" s="472">
        <v>199311</v>
      </c>
      <c r="N155" s="472">
        <v>274450</v>
      </c>
      <c r="O155" s="473">
        <v>18.182700000000001</v>
      </c>
      <c r="P155" s="474">
        <v>13.6282</v>
      </c>
      <c r="Q155" s="483">
        <v>4.5545</v>
      </c>
      <c r="R155" s="485">
        <f t="shared" ref="R155:R159" si="384">Y155*-1</f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354"/>
        <v>0</v>
      </c>
      <c r="Y155" s="475">
        <v>0</v>
      </c>
      <c r="Z155" s="475">
        <v>0</v>
      </c>
      <c r="AA155" s="475">
        <v>0</v>
      </c>
      <c r="AB155" s="475">
        <f t="shared" ref="AB155:AB159" si="385">SUM(Y155:AA155)</f>
        <v>0</v>
      </c>
      <c r="AC155" s="475">
        <f t="shared" ref="AC155:AC159" si="386">X155+AB155</f>
        <v>0</v>
      </c>
      <c r="AD155" s="70">
        <f t="shared" ref="AD155:AD159" si="387">ROUND((X155+Y155+Z155)*33.8%,0)</f>
        <v>0</v>
      </c>
      <c r="AE155" s="70">
        <f t="shared" ref="AE155:AE159" si="388">ROUND(X155*2%,0)</f>
        <v>0</v>
      </c>
      <c r="AF155" s="475">
        <v>0</v>
      </c>
      <c r="AG155" s="475">
        <v>0</v>
      </c>
      <c r="AH155" s="475">
        <f t="shared" ref="AH155:AH159" si="389">SUM(AF155:AG155)</f>
        <v>0</v>
      </c>
      <c r="AI155" s="475">
        <f t="shared" ref="AI155:AI159" si="390">AC155+AD155+AE155+AH155</f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476">
        <f>AJ155+AL155+AM155+AO155+AP155</f>
        <v>0</v>
      </c>
      <c r="AS155" s="476">
        <f>AK155+AN155+AQ155</f>
        <v>0</v>
      </c>
      <c r="AT155" s="478">
        <f t="shared" ref="AT155:AT159" si="391">SUM(AR155:AS155)</f>
        <v>0</v>
      </c>
      <c r="AU155" s="484">
        <f>I155+AI155</f>
        <v>13843782</v>
      </c>
      <c r="AV155" s="475">
        <f>J155+X155</f>
        <v>9965542</v>
      </c>
      <c r="AW155" s="475">
        <f t="shared" ref="AW155:AW159" si="392">K155+AB155</f>
        <v>27000</v>
      </c>
      <c r="AX155" s="475">
        <f t="shared" ref="AX155:AY159" si="393">L155+AD155</f>
        <v>3377479</v>
      </c>
      <c r="AY155" s="475">
        <f t="shared" si="393"/>
        <v>199311</v>
      </c>
      <c r="AZ155" s="475">
        <f>N155+AH155</f>
        <v>274450</v>
      </c>
      <c r="BA155" s="476">
        <f>O155+AT155</f>
        <v>18.182700000000001</v>
      </c>
      <c r="BB155" s="476">
        <f t="shared" ref="BB155:BC159" si="394">P155+AR155</f>
        <v>13.6282</v>
      </c>
      <c r="BC155" s="478">
        <f t="shared" si="394"/>
        <v>4.5545</v>
      </c>
    </row>
    <row r="156" spans="1:55" ht="12.95" customHeight="1" x14ac:dyDescent="0.25">
      <c r="A156" s="308">
        <v>29</v>
      </c>
      <c r="B156" s="349">
        <v>5471</v>
      </c>
      <c r="C156" s="350">
        <v>600099229</v>
      </c>
      <c r="D156" s="309">
        <v>72743646</v>
      </c>
      <c r="E156" s="351" t="s">
        <v>428</v>
      </c>
      <c r="F156" s="309">
        <v>3113</v>
      </c>
      <c r="G156" s="351" t="s">
        <v>319</v>
      </c>
      <c r="H156" s="312" t="s">
        <v>278</v>
      </c>
      <c r="I156" s="477">
        <v>597997</v>
      </c>
      <c r="J156" s="472">
        <v>437627</v>
      </c>
      <c r="K156" s="472">
        <v>0</v>
      </c>
      <c r="L156" s="472">
        <v>147918</v>
      </c>
      <c r="M156" s="472">
        <v>8752</v>
      </c>
      <c r="N156" s="472">
        <v>3700</v>
      </c>
      <c r="O156" s="473">
        <v>1.23</v>
      </c>
      <c r="P156" s="474">
        <v>1.23</v>
      </c>
      <c r="Q156" s="483">
        <v>0</v>
      </c>
      <c r="R156" s="485">
        <f t="shared" si="384"/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si="354"/>
        <v>0</v>
      </c>
      <c r="Y156" s="475">
        <v>0</v>
      </c>
      <c r="Z156" s="475">
        <v>0</v>
      </c>
      <c r="AA156" s="475">
        <v>0</v>
      </c>
      <c r="AB156" s="475">
        <f t="shared" si="385"/>
        <v>0</v>
      </c>
      <c r="AC156" s="475">
        <f t="shared" si="386"/>
        <v>0</v>
      </c>
      <c r="AD156" s="70">
        <f t="shared" si="387"/>
        <v>0</v>
      </c>
      <c r="AE156" s="70">
        <f t="shared" si="388"/>
        <v>0</v>
      </c>
      <c r="AF156" s="475">
        <v>0</v>
      </c>
      <c r="AG156" s="475">
        <v>0</v>
      </c>
      <c r="AH156" s="475">
        <f t="shared" si="389"/>
        <v>0</v>
      </c>
      <c r="AI156" s="475">
        <f t="shared" si="390"/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>AJ156+AL156+AM156+AO156+AP156</f>
        <v>0</v>
      </c>
      <c r="AS156" s="476">
        <f>AK156+AN156+AQ156</f>
        <v>0</v>
      </c>
      <c r="AT156" s="478">
        <f t="shared" si="391"/>
        <v>0</v>
      </c>
      <c r="AU156" s="484">
        <f>I156+AI156</f>
        <v>597997</v>
      </c>
      <c r="AV156" s="475">
        <f>J156+X156</f>
        <v>437627</v>
      </c>
      <c r="AW156" s="475">
        <f t="shared" si="392"/>
        <v>0</v>
      </c>
      <c r="AX156" s="475">
        <f t="shared" si="393"/>
        <v>147918</v>
      </c>
      <c r="AY156" s="475">
        <f t="shared" si="393"/>
        <v>8752</v>
      </c>
      <c r="AZ156" s="475">
        <f>N156+AH156</f>
        <v>3700</v>
      </c>
      <c r="BA156" s="476">
        <f>O156+AT156</f>
        <v>1.23</v>
      </c>
      <c r="BB156" s="476">
        <f t="shared" si="394"/>
        <v>1.23</v>
      </c>
      <c r="BC156" s="478">
        <f t="shared" si="394"/>
        <v>0</v>
      </c>
    </row>
    <row r="157" spans="1:55" ht="12.95" customHeight="1" x14ac:dyDescent="0.25">
      <c r="A157" s="308">
        <v>29</v>
      </c>
      <c r="B157" s="349">
        <v>5471</v>
      </c>
      <c r="C157" s="350">
        <v>600099229</v>
      </c>
      <c r="D157" s="309">
        <v>72743646</v>
      </c>
      <c r="E157" s="351" t="s">
        <v>428</v>
      </c>
      <c r="F157" s="309">
        <v>3141</v>
      </c>
      <c r="G157" s="351" t="s">
        <v>315</v>
      </c>
      <c r="H157" s="312" t="s">
        <v>278</v>
      </c>
      <c r="I157" s="477">
        <v>1345037</v>
      </c>
      <c r="J157" s="472">
        <v>983108</v>
      </c>
      <c r="K157" s="472">
        <v>0</v>
      </c>
      <c r="L157" s="472">
        <v>332291</v>
      </c>
      <c r="M157" s="472">
        <v>19662</v>
      </c>
      <c r="N157" s="472">
        <v>9976</v>
      </c>
      <c r="O157" s="473">
        <v>3.1</v>
      </c>
      <c r="P157" s="474">
        <v>0</v>
      </c>
      <c r="Q157" s="483">
        <v>3.1</v>
      </c>
      <c r="R157" s="485">
        <f t="shared" si="384"/>
        <v>0</v>
      </c>
      <c r="S157" s="475">
        <v>0</v>
      </c>
      <c r="T157" s="475">
        <v>-4489</v>
      </c>
      <c r="U157" s="475">
        <v>0</v>
      </c>
      <c r="V157" s="475">
        <v>0</v>
      </c>
      <c r="W157" s="475">
        <v>0</v>
      </c>
      <c r="X157" s="475">
        <f t="shared" si="354"/>
        <v>-4489</v>
      </c>
      <c r="Y157" s="475">
        <v>0</v>
      </c>
      <c r="Z157" s="475">
        <v>0</v>
      </c>
      <c r="AA157" s="475">
        <v>0</v>
      </c>
      <c r="AB157" s="475">
        <f t="shared" si="385"/>
        <v>0</v>
      </c>
      <c r="AC157" s="475">
        <f t="shared" si="386"/>
        <v>-4489</v>
      </c>
      <c r="AD157" s="70">
        <f t="shared" si="387"/>
        <v>-1517</v>
      </c>
      <c r="AE157" s="70">
        <f t="shared" si="388"/>
        <v>-90</v>
      </c>
      <c r="AF157" s="475">
        <v>0</v>
      </c>
      <c r="AG157" s="475">
        <v>0</v>
      </c>
      <c r="AH157" s="475">
        <f t="shared" si="389"/>
        <v>0</v>
      </c>
      <c r="AI157" s="475">
        <f t="shared" si="390"/>
        <v>-6096</v>
      </c>
      <c r="AJ157" s="476">
        <v>0</v>
      </c>
      <c r="AK157" s="476">
        <v>0</v>
      </c>
      <c r="AL157" s="476">
        <v>0</v>
      </c>
      <c r="AM157" s="476">
        <v>0</v>
      </c>
      <c r="AN157" s="476">
        <v>-0.01</v>
      </c>
      <c r="AO157" s="476">
        <v>0</v>
      </c>
      <c r="AP157" s="476">
        <v>0</v>
      </c>
      <c r="AQ157" s="476">
        <v>0</v>
      </c>
      <c r="AR157" s="476">
        <f>AJ157+AL157+AM157+AO157+AP157</f>
        <v>0</v>
      </c>
      <c r="AS157" s="476">
        <f>AK157+AN157+AQ157</f>
        <v>-0.01</v>
      </c>
      <c r="AT157" s="478">
        <f t="shared" si="391"/>
        <v>-0.01</v>
      </c>
      <c r="AU157" s="484">
        <f>I157+AI157</f>
        <v>1338941</v>
      </c>
      <c r="AV157" s="475">
        <f>J157+X157</f>
        <v>978619</v>
      </c>
      <c r="AW157" s="475">
        <f t="shared" si="392"/>
        <v>0</v>
      </c>
      <c r="AX157" s="475">
        <f t="shared" si="393"/>
        <v>330774</v>
      </c>
      <c r="AY157" s="475">
        <f t="shared" si="393"/>
        <v>19572</v>
      </c>
      <c r="AZ157" s="475">
        <f>N157+AH157</f>
        <v>9976</v>
      </c>
      <c r="BA157" s="476">
        <f>O157+AT157</f>
        <v>3.0900000000000003</v>
      </c>
      <c r="BB157" s="476">
        <f t="shared" si="394"/>
        <v>0</v>
      </c>
      <c r="BC157" s="478">
        <f t="shared" si="394"/>
        <v>3.0900000000000003</v>
      </c>
    </row>
    <row r="158" spans="1:55" ht="12.95" customHeight="1" x14ac:dyDescent="0.25">
      <c r="A158" s="308">
        <v>29</v>
      </c>
      <c r="B158" s="349">
        <v>5471</v>
      </c>
      <c r="C158" s="350">
        <v>600099229</v>
      </c>
      <c r="D158" s="309">
        <v>72743646</v>
      </c>
      <c r="E158" s="351" t="s">
        <v>428</v>
      </c>
      <c r="F158" s="309">
        <v>3143</v>
      </c>
      <c r="G158" s="351" t="s">
        <v>626</v>
      </c>
      <c r="H158" s="312" t="s">
        <v>277</v>
      </c>
      <c r="I158" s="477">
        <v>690495</v>
      </c>
      <c r="J158" s="472">
        <v>458216</v>
      </c>
      <c r="K158" s="472">
        <v>51000</v>
      </c>
      <c r="L158" s="472">
        <v>172115</v>
      </c>
      <c r="M158" s="472">
        <v>9164</v>
      </c>
      <c r="N158" s="472">
        <v>0</v>
      </c>
      <c r="O158" s="473">
        <v>0.77500000000000002</v>
      </c>
      <c r="P158" s="474">
        <v>0.77500000000000002</v>
      </c>
      <c r="Q158" s="483">
        <v>0</v>
      </c>
      <c r="R158" s="485">
        <f t="shared" si="384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si="354"/>
        <v>0</v>
      </c>
      <c r="Y158" s="475">
        <v>0</v>
      </c>
      <c r="Z158" s="475">
        <v>0</v>
      </c>
      <c r="AA158" s="475">
        <v>0</v>
      </c>
      <c r="AB158" s="475">
        <f t="shared" si="385"/>
        <v>0</v>
      </c>
      <c r="AC158" s="475">
        <f t="shared" si="386"/>
        <v>0</v>
      </c>
      <c r="AD158" s="70">
        <f t="shared" si="387"/>
        <v>0</v>
      </c>
      <c r="AE158" s="70">
        <f t="shared" si="388"/>
        <v>0</v>
      </c>
      <c r="AF158" s="475">
        <v>0</v>
      </c>
      <c r="AG158" s="475">
        <v>0</v>
      </c>
      <c r="AH158" s="475">
        <f t="shared" si="389"/>
        <v>0</v>
      </c>
      <c r="AI158" s="475">
        <f t="shared" si="390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0</v>
      </c>
      <c r="AS158" s="476">
        <f>AK158+AN158+AQ158</f>
        <v>0</v>
      </c>
      <c r="AT158" s="478">
        <f t="shared" si="391"/>
        <v>0</v>
      </c>
      <c r="AU158" s="484">
        <f>I158+AI158</f>
        <v>690495</v>
      </c>
      <c r="AV158" s="475">
        <f>J158+X158</f>
        <v>458216</v>
      </c>
      <c r="AW158" s="475">
        <f t="shared" si="392"/>
        <v>51000</v>
      </c>
      <c r="AX158" s="475">
        <f t="shared" si="393"/>
        <v>172115</v>
      </c>
      <c r="AY158" s="475">
        <f t="shared" si="393"/>
        <v>9164</v>
      </c>
      <c r="AZ158" s="475">
        <f>N158+AH158</f>
        <v>0</v>
      </c>
      <c r="BA158" s="476">
        <f>O158+AT158</f>
        <v>0.77500000000000002</v>
      </c>
      <c r="BB158" s="476">
        <f t="shared" si="394"/>
        <v>0.77500000000000002</v>
      </c>
      <c r="BC158" s="478">
        <f t="shared" si="394"/>
        <v>0</v>
      </c>
    </row>
    <row r="159" spans="1:55" ht="12.95" customHeight="1" x14ac:dyDescent="0.25">
      <c r="A159" s="308">
        <v>29</v>
      </c>
      <c r="B159" s="349">
        <v>5471</v>
      </c>
      <c r="C159" s="350">
        <v>600099229</v>
      </c>
      <c r="D159" s="309">
        <v>72743646</v>
      </c>
      <c r="E159" s="351" t="s">
        <v>428</v>
      </c>
      <c r="F159" s="309">
        <v>3143</v>
      </c>
      <c r="G159" s="351" t="s">
        <v>627</v>
      </c>
      <c r="H159" s="312" t="s">
        <v>278</v>
      </c>
      <c r="I159" s="477">
        <v>34019</v>
      </c>
      <c r="J159" s="472">
        <v>24057</v>
      </c>
      <c r="K159" s="472">
        <v>0</v>
      </c>
      <c r="L159" s="472">
        <v>8131</v>
      </c>
      <c r="M159" s="472">
        <v>481</v>
      </c>
      <c r="N159" s="472">
        <v>1350</v>
      </c>
      <c r="O159" s="473">
        <v>0.09</v>
      </c>
      <c r="P159" s="474">
        <v>0</v>
      </c>
      <c r="Q159" s="483">
        <v>0.09</v>
      </c>
      <c r="R159" s="485">
        <f t="shared" si="384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54"/>
        <v>0</v>
      </c>
      <c r="Y159" s="475">
        <v>0</v>
      </c>
      <c r="Z159" s="475">
        <v>0</v>
      </c>
      <c r="AA159" s="475">
        <v>0</v>
      </c>
      <c r="AB159" s="475">
        <f t="shared" si="385"/>
        <v>0</v>
      </c>
      <c r="AC159" s="475">
        <f t="shared" si="386"/>
        <v>0</v>
      </c>
      <c r="AD159" s="70">
        <f t="shared" si="387"/>
        <v>0</v>
      </c>
      <c r="AE159" s="70">
        <f t="shared" si="388"/>
        <v>0</v>
      </c>
      <c r="AF159" s="475">
        <v>0</v>
      </c>
      <c r="AG159" s="475">
        <v>0</v>
      </c>
      <c r="AH159" s="475">
        <f t="shared" si="389"/>
        <v>0</v>
      </c>
      <c r="AI159" s="475">
        <f t="shared" si="390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391"/>
        <v>0</v>
      </c>
      <c r="AU159" s="484">
        <f>I159+AI159</f>
        <v>34019</v>
      </c>
      <c r="AV159" s="475">
        <f>J159+X159</f>
        <v>24057</v>
      </c>
      <c r="AW159" s="475">
        <f t="shared" si="392"/>
        <v>0</v>
      </c>
      <c r="AX159" s="475">
        <f t="shared" si="393"/>
        <v>8131</v>
      </c>
      <c r="AY159" s="475">
        <f t="shared" si="393"/>
        <v>481</v>
      </c>
      <c r="AZ159" s="475">
        <f>N159+AH159</f>
        <v>1350</v>
      </c>
      <c r="BA159" s="476">
        <f>O159+AT159</f>
        <v>0.09</v>
      </c>
      <c r="BB159" s="476">
        <f t="shared" si="394"/>
        <v>0</v>
      </c>
      <c r="BC159" s="478">
        <f t="shared" si="394"/>
        <v>0.09</v>
      </c>
    </row>
    <row r="160" spans="1:55" ht="12.95" customHeight="1" x14ac:dyDescent="0.25">
      <c r="A160" s="352">
        <v>29</v>
      </c>
      <c r="B160" s="353">
        <v>5471</v>
      </c>
      <c r="C160" s="354">
        <v>600099229</v>
      </c>
      <c r="D160" s="353">
        <v>72743646</v>
      </c>
      <c r="E160" s="355" t="s">
        <v>429</v>
      </c>
      <c r="F160" s="319"/>
      <c r="G160" s="357"/>
      <c r="H160" s="320"/>
      <c r="I160" s="561">
        <v>16511330</v>
      </c>
      <c r="J160" s="558">
        <v>11868550</v>
      </c>
      <c r="K160" s="558">
        <v>78000</v>
      </c>
      <c r="L160" s="558">
        <v>4037934</v>
      </c>
      <c r="M160" s="558">
        <v>237370</v>
      </c>
      <c r="N160" s="558">
        <v>289476</v>
      </c>
      <c r="O160" s="559">
        <v>23.377700000000001</v>
      </c>
      <c r="P160" s="559">
        <v>15.6332</v>
      </c>
      <c r="Q160" s="563">
        <v>7.7445000000000004</v>
      </c>
      <c r="R160" s="561">
        <f t="shared" ref="R160:BC160" si="395">SUM(R155:R159)</f>
        <v>0</v>
      </c>
      <c r="S160" s="558">
        <f t="shared" si="395"/>
        <v>0</v>
      </c>
      <c r="T160" s="558">
        <f t="shared" si="395"/>
        <v>-4489</v>
      </c>
      <c r="U160" s="558">
        <f t="shared" si="395"/>
        <v>0</v>
      </c>
      <c r="V160" s="558">
        <f t="shared" si="395"/>
        <v>0</v>
      </c>
      <c r="W160" s="558">
        <f t="shared" si="395"/>
        <v>0</v>
      </c>
      <c r="X160" s="558">
        <f t="shared" si="395"/>
        <v>-4489</v>
      </c>
      <c r="Y160" s="558">
        <f t="shared" si="395"/>
        <v>0</v>
      </c>
      <c r="Z160" s="558">
        <f t="shared" si="395"/>
        <v>0</v>
      </c>
      <c r="AA160" s="558">
        <f t="shared" si="395"/>
        <v>0</v>
      </c>
      <c r="AB160" s="558">
        <f t="shared" si="395"/>
        <v>0</v>
      </c>
      <c r="AC160" s="558">
        <f t="shared" si="395"/>
        <v>-4489</v>
      </c>
      <c r="AD160" s="558">
        <f t="shared" si="395"/>
        <v>-1517</v>
      </c>
      <c r="AE160" s="558">
        <f t="shared" si="395"/>
        <v>-90</v>
      </c>
      <c r="AF160" s="558">
        <f t="shared" si="395"/>
        <v>0</v>
      </c>
      <c r="AG160" s="558">
        <f t="shared" si="395"/>
        <v>0</v>
      </c>
      <c r="AH160" s="558">
        <f t="shared" si="395"/>
        <v>0</v>
      </c>
      <c r="AI160" s="558">
        <f t="shared" si="395"/>
        <v>-6096</v>
      </c>
      <c r="AJ160" s="559">
        <f t="shared" si="395"/>
        <v>0</v>
      </c>
      <c r="AK160" s="559">
        <f t="shared" si="395"/>
        <v>0</v>
      </c>
      <c r="AL160" s="559">
        <f t="shared" si="395"/>
        <v>0</v>
      </c>
      <c r="AM160" s="559">
        <f t="shared" si="395"/>
        <v>0</v>
      </c>
      <c r="AN160" s="559">
        <f t="shared" si="395"/>
        <v>-0.01</v>
      </c>
      <c r="AO160" s="559">
        <f t="shared" si="395"/>
        <v>0</v>
      </c>
      <c r="AP160" s="559">
        <f t="shared" si="395"/>
        <v>0</v>
      </c>
      <c r="AQ160" s="559">
        <f t="shared" si="395"/>
        <v>0</v>
      </c>
      <c r="AR160" s="559">
        <f t="shared" si="395"/>
        <v>0</v>
      </c>
      <c r="AS160" s="559">
        <f t="shared" si="395"/>
        <v>-0.01</v>
      </c>
      <c r="AT160" s="318">
        <f t="shared" si="395"/>
        <v>-0.01</v>
      </c>
      <c r="AU160" s="565">
        <f t="shared" si="395"/>
        <v>16505234</v>
      </c>
      <c r="AV160" s="558">
        <f t="shared" si="395"/>
        <v>11864061</v>
      </c>
      <c r="AW160" s="558">
        <f t="shared" si="395"/>
        <v>78000</v>
      </c>
      <c r="AX160" s="558">
        <f t="shared" si="395"/>
        <v>4036417</v>
      </c>
      <c r="AY160" s="558">
        <f t="shared" si="395"/>
        <v>237280</v>
      </c>
      <c r="AZ160" s="558">
        <f t="shared" si="395"/>
        <v>289476</v>
      </c>
      <c r="BA160" s="559">
        <f t="shared" si="395"/>
        <v>23.367699999999999</v>
      </c>
      <c r="BB160" s="559">
        <f t="shared" si="395"/>
        <v>15.6332</v>
      </c>
      <c r="BC160" s="318">
        <f t="shared" si="395"/>
        <v>7.7345000000000006</v>
      </c>
    </row>
    <row r="161" spans="1:55" ht="12.95" customHeight="1" x14ac:dyDescent="0.25">
      <c r="A161" s="308">
        <v>30</v>
      </c>
      <c r="B161" s="349">
        <v>5473</v>
      </c>
      <c r="C161" s="350">
        <v>600098583</v>
      </c>
      <c r="D161" s="309">
        <v>75016320</v>
      </c>
      <c r="E161" s="351" t="s">
        <v>430</v>
      </c>
      <c r="F161" s="309">
        <v>3111</v>
      </c>
      <c r="G161" s="351" t="s">
        <v>325</v>
      </c>
      <c r="H161" s="312" t="s">
        <v>277</v>
      </c>
      <c r="I161" s="477">
        <v>2178570</v>
      </c>
      <c r="J161" s="472">
        <v>1594971</v>
      </c>
      <c r="K161" s="472">
        <v>0</v>
      </c>
      <c r="L161" s="472">
        <v>539100</v>
      </c>
      <c r="M161" s="472">
        <v>31899</v>
      </c>
      <c r="N161" s="472">
        <v>12600</v>
      </c>
      <c r="O161" s="473">
        <v>3.1848000000000001</v>
      </c>
      <c r="P161" s="474">
        <v>2.3548</v>
      </c>
      <c r="Q161" s="483">
        <v>0.83</v>
      </c>
      <c r="R161" s="485">
        <f t="shared" ref="R161:R163" si="396">Y161*-1</f>
        <v>0</v>
      </c>
      <c r="S161" s="475">
        <v>0</v>
      </c>
      <c r="T161" s="475">
        <v>0</v>
      </c>
      <c r="U161" s="475">
        <v>0</v>
      </c>
      <c r="V161" s="475">
        <v>-11046</v>
      </c>
      <c r="W161" s="475">
        <v>0</v>
      </c>
      <c r="X161" s="475">
        <f t="shared" si="354"/>
        <v>-11046</v>
      </c>
      <c r="Y161" s="475">
        <v>0</v>
      </c>
      <c r="Z161" s="475">
        <v>0</v>
      </c>
      <c r="AA161" s="475">
        <v>0</v>
      </c>
      <c r="AB161" s="475">
        <f t="shared" ref="AB161:AB163" si="397">SUM(Y161:AA161)</f>
        <v>0</v>
      </c>
      <c r="AC161" s="475">
        <f t="shared" ref="AC161:AC163" si="398">X161+AB161</f>
        <v>-11046</v>
      </c>
      <c r="AD161" s="70">
        <f t="shared" ref="AD161:AD163" si="399">ROUND((X161+Y161+Z161)*33.8%,0)</f>
        <v>-3734</v>
      </c>
      <c r="AE161" s="70">
        <f t="shared" ref="AE161:AE163" si="400">ROUND(X161*2%,0)</f>
        <v>-221</v>
      </c>
      <c r="AF161" s="475">
        <v>0</v>
      </c>
      <c r="AG161" s="475">
        <v>15001</v>
      </c>
      <c r="AH161" s="475">
        <f t="shared" ref="AH161:AH163" si="401">SUM(AF161:AG161)</f>
        <v>15001</v>
      </c>
      <c r="AI161" s="475">
        <f t="shared" ref="AI161:AI163" si="402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ref="AT161:AT163" si="403">SUM(AR161:AS161)</f>
        <v>0</v>
      </c>
      <c r="AU161" s="484">
        <f>I161+AI161</f>
        <v>2178570</v>
      </c>
      <c r="AV161" s="475">
        <f>J161+X161</f>
        <v>1583925</v>
      </c>
      <c r="AW161" s="475">
        <f t="shared" ref="AW161:AW163" si="404">K161+AB161</f>
        <v>0</v>
      </c>
      <c r="AX161" s="475">
        <f t="shared" ref="AX161:AY163" si="405">L161+AD161</f>
        <v>535366</v>
      </c>
      <c r="AY161" s="475">
        <f t="shared" si="405"/>
        <v>31678</v>
      </c>
      <c r="AZ161" s="475">
        <f>N161+AH161</f>
        <v>27601</v>
      </c>
      <c r="BA161" s="476">
        <f>O161+AT161</f>
        <v>3.1848000000000001</v>
      </c>
      <c r="BB161" s="476">
        <f t="shared" ref="BB161:BC163" si="406">P161+AR161</f>
        <v>2.3548</v>
      </c>
      <c r="BC161" s="478">
        <f t="shared" si="406"/>
        <v>0.83</v>
      </c>
    </row>
    <row r="162" spans="1:55" ht="12.95" customHeight="1" x14ac:dyDescent="0.25">
      <c r="A162" s="308">
        <v>30</v>
      </c>
      <c r="B162" s="349">
        <v>5473</v>
      </c>
      <c r="C162" s="350">
        <v>600098583</v>
      </c>
      <c r="D162" s="309">
        <v>75016320</v>
      </c>
      <c r="E162" s="351" t="s">
        <v>430</v>
      </c>
      <c r="F162" s="309">
        <v>3111</v>
      </c>
      <c r="G162" s="351" t="s">
        <v>319</v>
      </c>
      <c r="H162" s="312" t="s">
        <v>278</v>
      </c>
      <c r="I162" s="477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396"/>
        <v>0</v>
      </c>
      <c r="S162" s="475">
        <v>0</v>
      </c>
      <c r="T162" s="475">
        <v>0</v>
      </c>
      <c r="U162" s="475">
        <v>0</v>
      </c>
      <c r="V162" s="475">
        <v>0</v>
      </c>
      <c r="W162" s="475">
        <v>0</v>
      </c>
      <c r="X162" s="475">
        <f t="shared" si="354"/>
        <v>0</v>
      </c>
      <c r="Y162" s="475">
        <v>0</v>
      </c>
      <c r="Z162" s="475">
        <v>0</v>
      </c>
      <c r="AA162" s="475">
        <v>0</v>
      </c>
      <c r="AB162" s="475">
        <f t="shared" si="397"/>
        <v>0</v>
      </c>
      <c r="AC162" s="475">
        <f t="shared" si="398"/>
        <v>0</v>
      </c>
      <c r="AD162" s="70">
        <f t="shared" si="399"/>
        <v>0</v>
      </c>
      <c r="AE162" s="70">
        <f t="shared" si="400"/>
        <v>0</v>
      </c>
      <c r="AF162" s="475">
        <v>0</v>
      </c>
      <c r="AG162" s="475">
        <v>0</v>
      </c>
      <c r="AH162" s="475">
        <f t="shared" si="401"/>
        <v>0</v>
      </c>
      <c r="AI162" s="475">
        <f t="shared" si="402"/>
        <v>0</v>
      </c>
      <c r="AJ162" s="476">
        <v>0</v>
      </c>
      <c r="AK162" s="476">
        <v>0</v>
      </c>
      <c r="AL162" s="476">
        <v>0</v>
      </c>
      <c r="AM162" s="476">
        <v>0</v>
      </c>
      <c r="AN162" s="476">
        <v>0</v>
      </c>
      <c r="AO162" s="476">
        <v>0</v>
      </c>
      <c r="AP162" s="476">
        <v>0</v>
      </c>
      <c r="AQ162" s="476">
        <v>0</v>
      </c>
      <c r="AR162" s="476">
        <f>AJ162+AL162+AM162+AO162+AP162</f>
        <v>0</v>
      </c>
      <c r="AS162" s="476">
        <f>AK162+AN162+AQ162</f>
        <v>0</v>
      </c>
      <c r="AT162" s="478">
        <f t="shared" si="403"/>
        <v>0</v>
      </c>
      <c r="AU162" s="484">
        <f>I162+AI162</f>
        <v>0</v>
      </c>
      <c r="AV162" s="475">
        <f>J162+X162</f>
        <v>0</v>
      </c>
      <c r="AW162" s="475">
        <f t="shared" si="404"/>
        <v>0</v>
      </c>
      <c r="AX162" s="475">
        <f t="shared" si="405"/>
        <v>0</v>
      </c>
      <c r="AY162" s="475">
        <f t="shared" si="405"/>
        <v>0</v>
      </c>
      <c r="AZ162" s="475">
        <f>N162+AH162</f>
        <v>0</v>
      </c>
      <c r="BA162" s="476">
        <f>O162+AT162</f>
        <v>0</v>
      </c>
      <c r="BB162" s="476">
        <f t="shared" si="406"/>
        <v>0</v>
      </c>
      <c r="BC162" s="478">
        <f t="shared" si="406"/>
        <v>0</v>
      </c>
    </row>
    <row r="163" spans="1:55" ht="13.5" customHeight="1" x14ac:dyDescent="0.25">
      <c r="A163" s="308">
        <v>30</v>
      </c>
      <c r="B163" s="349">
        <v>5473</v>
      </c>
      <c r="C163" s="350">
        <v>600098583</v>
      </c>
      <c r="D163" s="309">
        <v>75016320</v>
      </c>
      <c r="E163" s="351" t="s">
        <v>430</v>
      </c>
      <c r="F163" s="309">
        <v>3141</v>
      </c>
      <c r="G163" s="351" t="s">
        <v>315</v>
      </c>
      <c r="H163" s="312" t="s">
        <v>278</v>
      </c>
      <c r="I163" s="477">
        <v>454627</v>
      </c>
      <c r="J163" s="472">
        <v>317817</v>
      </c>
      <c r="K163" s="472">
        <v>16000</v>
      </c>
      <c r="L163" s="472">
        <v>112830</v>
      </c>
      <c r="M163" s="472">
        <v>6356</v>
      </c>
      <c r="N163" s="472">
        <v>1624</v>
      </c>
      <c r="O163" s="473">
        <v>1</v>
      </c>
      <c r="P163" s="474">
        <v>0</v>
      </c>
      <c r="Q163" s="483">
        <v>1</v>
      </c>
      <c r="R163" s="485">
        <f t="shared" si="396"/>
        <v>0</v>
      </c>
      <c r="S163" s="475">
        <v>0</v>
      </c>
      <c r="T163" s="475">
        <v>-6031</v>
      </c>
      <c r="U163" s="475">
        <v>0</v>
      </c>
      <c r="V163" s="475">
        <v>0</v>
      </c>
      <c r="W163" s="475">
        <v>0</v>
      </c>
      <c r="X163" s="475">
        <f t="shared" si="354"/>
        <v>-6031</v>
      </c>
      <c r="Y163" s="475">
        <v>0</v>
      </c>
      <c r="Z163" s="475">
        <v>0</v>
      </c>
      <c r="AA163" s="475">
        <v>0</v>
      </c>
      <c r="AB163" s="475">
        <f t="shared" si="397"/>
        <v>0</v>
      </c>
      <c r="AC163" s="475">
        <f t="shared" si="398"/>
        <v>-6031</v>
      </c>
      <c r="AD163" s="70">
        <f t="shared" si="399"/>
        <v>-2038</v>
      </c>
      <c r="AE163" s="70">
        <f t="shared" si="400"/>
        <v>-121</v>
      </c>
      <c r="AF163" s="475">
        <v>0</v>
      </c>
      <c r="AG163" s="475">
        <v>0</v>
      </c>
      <c r="AH163" s="475">
        <f t="shared" si="401"/>
        <v>0</v>
      </c>
      <c r="AI163" s="475">
        <f t="shared" si="402"/>
        <v>-8190</v>
      </c>
      <c r="AJ163" s="476">
        <v>0</v>
      </c>
      <c r="AK163" s="476">
        <v>0</v>
      </c>
      <c r="AL163" s="476">
        <v>0</v>
      </c>
      <c r="AM163" s="476">
        <v>0</v>
      </c>
      <c r="AN163" s="476">
        <v>-0.02</v>
      </c>
      <c r="AO163" s="476">
        <v>0</v>
      </c>
      <c r="AP163" s="476">
        <v>0</v>
      </c>
      <c r="AQ163" s="476">
        <v>0</v>
      </c>
      <c r="AR163" s="476">
        <f>AJ163+AL163+AM163+AO163+AP163</f>
        <v>0</v>
      </c>
      <c r="AS163" s="476">
        <f>AK163+AN163+AQ163</f>
        <v>-0.02</v>
      </c>
      <c r="AT163" s="478">
        <f t="shared" si="403"/>
        <v>-0.02</v>
      </c>
      <c r="AU163" s="484">
        <f>I163+AI163</f>
        <v>446437</v>
      </c>
      <c r="AV163" s="475">
        <f>J163+X163</f>
        <v>311786</v>
      </c>
      <c r="AW163" s="475">
        <f t="shared" si="404"/>
        <v>16000</v>
      </c>
      <c r="AX163" s="475">
        <f t="shared" si="405"/>
        <v>110792</v>
      </c>
      <c r="AY163" s="475">
        <f t="shared" si="405"/>
        <v>6235</v>
      </c>
      <c r="AZ163" s="475">
        <f>N163+AH163</f>
        <v>1624</v>
      </c>
      <c r="BA163" s="476">
        <f>O163+AT163</f>
        <v>0.98</v>
      </c>
      <c r="BB163" s="476">
        <f t="shared" si="406"/>
        <v>0</v>
      </c>
      <c r="BC163" s="478">
        <f t="shared" si="406"/>
        <v>0.98</v>
      </c>
    </row>
    <row r="164" spans="1:55" ht="12.75" customHeight="1" thickBot="1" x14ac:dyDescent="0.3">
      <c r="A164" s="363">
        <v>30</v>
      </c>
      <c r="B164" s="364">
        <v>5473</v>
      </c>
      <c r="C164" s="365">
        <v>600098583</v>
      </c>
      <c r="D164" s="364">
        <v>75016320</v>
      </c>
      <c r="E164" s="366" t="s">
        <v>431</v>
      </c>
      <c r="F164" s="323"/>
      <c r="G164" s="367"/>
      <c r="H164" s="324"/>
      <c r="I164" s="566">
        <v>2633197</v>
      </c>
      <c r="J164" s="567">
        <v>1912788</v>
      </c>
      <c r="K164" s="567">
        <v>16000</v>
      </c>
      <c r="L164" s="567">
        <v>651930</v>
      </c>
      <c r="M164" s="567">
        <v>38255</v>
      </c>
      <c r="N164" s="567">
        <v>14224</v>
      </c>
      <c r="O164" s="568">
        <v>4.1848000000000001</v>
      </c>
      <c r="P164" s="568">
        <v>2.3548</v>
      </c>
      <c r="Q164" s="569">
        <v>1.83</v>
      </c>
      <c r="R164" s="658">
        <f t="shared" ref="R164:BC164" si="407">SUM(R161:R163)</f>
        <v>0</v>
      </c>
      <c r="S164" s="659">
        <f t="shared" si="407"/>
        <v>0</v>
      </c>
      <c r="T164" s="659">
        <f t="shared" si="407"/>
        <v>-6031</v>
      </c>
      <c r="U164" s="659">
        <f t="shared" si="407"/>
        <v>0</v>
      </c>
      <c r="V164" s="659">
        <f t="shared" si="407"/>
        <v>-11046</v>
      </c>
      <c r="W164" s="659">
        <f t="shared" si="407"/>
        <v>0</v>
      </c>
      <c r="X164" s="659">
        <f t="shared" si="407"/>
        <v>-17077</v>
      </c>
      <c r="Y164" s="659">
        <f t="shared" si="407"/>
        <v>0</v>
      </c>
      <c r="Z164" s="659">
        <f t="shared" si="407"/>
        <v>0</v>
      </c>
      <c r="AA164" s="659">
        <f t="shared" si="407"/>
        <v>0</v>
      </c>
      <c r="AB164" s="659">
        <f t="shared" si="407"/>
        <v>0</v>
      </c>
      <c r="AC164" s="659">
        <f t="shared" si="407"/>
        <v>-17077</v>
      </c>
      <c r="AD164" s="659">
        <f t="shared" si="407"/>
        <v>-5772</v>
      </c>
      <c r="AE164" s="659">
        <f t="shared" si="407"/>
        <v>-342</v>
      </c>
      <c r="AF164" s="659">
        <f t="shared" si="407"/>
        <v>0</v>
      </c>
      <c r="AG164" s="659">
        <f t="shared" si="407"/>
        <v>15001</v>
      </c>
      <c r="AH164" s="659">
        <f t="shared" si="407"/>
        <v>15001</v>
      </c>
      <c r="AI164" s="659">
        <f t="shared" si="407"/>
        <v>-8190</v>
      </c>
      <c r="AJ164" s="660">
        <f t="shared" si="407"/>
        <v>0</v>
      </c>
      <c r="AK164" s="660">
        <f t="shared" si="407"/>
        <v>0</v>
      </c>
      <c r="AL164" s="660">
        <f t="shared" si="407"/>
        <v>0</v>
      </c>
      <c r="AM164" s="660">
        <f t="shared" si="407"/>
        <v>0</v>
      </c>
      <c r="AN164" s="660">
        <f t="shared" si="407"/>
        <v>-0.02</v>
      </c>
      <c r="AO164" s="660">
        <f t="shared" si="407"/>
        <v>0</v>
      </c>
      <c r="AP164" s="660">
        <f t="shared" si="407"/>
        <v>0</v>
      </c>
      <c r="AQ164" s="660">
        <f t="shared" si="407"/>
        <v>0</v>
      </c>
      <c r="AR164" s="660">
        <f t="shared" si="407"/>
        <v>0</v>
      </c>
      <c r="AS164" s="660">
        <f t="shared" si="407"/>
        <v>-0.02</v>
      </c>
      <c r="AT164" s="746">
        <f t="shared" si="407"/>
        <v>-0.02</v>
      </c>
      <c r="AU164" s="571">
        <f t="shared" si="407"/>
        <v>2625007</v>
      </c>
      <c r="AV164" s="567">
        <f t="shared" si="407"/>
        <v>1895711</v>
      </c>
      <c r="AW164" s="567">
        <f t="shared" si="407"/>
        <v>16000</v>
      </c>
      <c r="AX164" s="567">
        <f t="shared" si="407"/>
        <v>646158</v>
      </c>
      <c r="AY164" s="567">
        <f t="shared" si="407"/>
        <v>37913</v>
      </c>
      <c r="AZ164" s="567">
        <f t="shared" si="407"/>
        <v>29225</v>
      </c>
      <c r="BA164" s="568">
        <f t="shared" si="407"/>
        <v>4.1647999999999996</v>
      </c>
      <c r="BB164" s="568">
        <f t="shared" si="407"/>
        <v>2.3548</v>
      </c>
      <c r="BC164" s="570">
        <f t="shared" si="407"/>
        <v>1.81</v>
      </c>
    </row>
    <row r="165" spans="1:55" ht="12.75" customHeight="1" thickBot="1" x14ac:dyDescent="0.3">
      <c r="A165" s="368"/>
      <c r="B165" s="331"/>
      <c r="C165" s="369"/>
      <c r="D165" s="331"/>
      <c r="E165" s="333" t="s">
        <v>794</v>
      </c>
      <c r="F165" s="331"/>
      <c r="G165" s="331"/>
      <c r="H165" s="334"/>
      <c r="I165" s="572">
        <f t="shared" ref="I165:BC165" si="408">I164+I160+I154+I151+I144+I137+I130+I127+I124+I118+I114+I110+I108+I102+I98+I92+I88+I81+I74+I67+I60+I53+I51+I44+I38+I32+I25+I23+I19+I15</f>
        <v>354582386</v>
      </c>
      <c r="J165" s="573">
        <f t="shared" si="408"/>
        <v>255725780</v>
      </c>
      <c r="K165" s="573">
        <f t="shared" si="408"/>
        <v>1851400</v>
      </c>
      <c r="L165" s="573">
        <f t="shared" si="408"/>
        <v>87061086</v>
      </c>
      <c r="M165" s="573">
        <f t="shared" si="408"/>
        <v>5114514</v>
      </c>
      <c r="N165" s="573">
        <f t="shared" si="408"/>
        <v>4829606</v>
      </c>
      <c r="O165" s="574">
        <f t="shared" si="408"/>
        <v>529.72509999999988</v>
      </c>
      <c r="P165" s="574">
        <f t="shared" si="408"/>
        <v>364.78100000000001</v>
      </c>
      <c r="Q165" s="575">
        <f t="shared" si="408"/>
        <v>164.94409999999999</v>
      </c>
      <c r="R165" s="654">
        <f t="shared" si="408"/>
        <v>0</v>
      </c>
      <c r="S165" s="655">
        <f t="shared" si="408"/>
        <v>222177</v>
      </c>
      <c r="T165" s="655">
        <f t="shared" si="408"/>
        <v>-33961</v>
      </c>
      <c r="U165" s="655">
        <f t="shared" si="408"/>
        <v>0</v>
      </c>
      <c r="V165" s="655">
        <f t="shared" si="408"/>
        <v>-198823</v>
      </c>
      <c r="W165" s="655">
        <f t="shared" si="408"/>
        <v>0</v>
      </c>
      <c r="X165" s="655">
        <f t="shared" si="408"/>
        <v>-10607</v>
      </c>
      <c r="Y165" s="655">
        <f t="shared" si="408"/>
        <v>0</v>
      </c>
      <c r="Z165" s="655">
        <f t="shared" si="408"/>
        <v>0</v>
      </c>
      <c r="AA165" s="655">
        <f t="shared" si="408"/>
        <v>0</v>
      </c>
      <c r="AB165" s="655">
        <f t="shared" si="408"/>
        <v>0</v>
      </c>
      <c r="AC165" s="655">
        <f t="shared" si="408"/>
        <v>-10607</v>
      </c>
      <c r="AD165" s="655">
        <f t="shared" si="408"/>
        <v>-3585</v>
      </c>
      <c r="AE165" s="655">
        <f t="shared" si="408"/>
        <v>-215</v>
      </c>
      <c r="AF165" s="655">
        <f t="shared" si="408"/>
        <v>24250</v>
      </c>
      <c r="AG165" s="655">
        <f t="shared" si="408"/>
        <v>270003</v>
      </c>
      <c r="AH165" s="655">
        <f t="shared" si="408"/>
        <v>294253</v>
      </c>
      <c r="AI165" s="655">
        <f t="shared" si="408"/>
        <v>279846</v>
      </c>
      <c r="AJ165" s="656">
        <f t="shared" si="408"/>
        <v>0</v>
      </c>
      <c r="AK165" s="656">
        <f t="shared" si="408"/>
        <v>0</v>
      </c>
      <c r="AL165" s="656">
        <f t="shared" si="408"/>
        <v>0.85000000000000009</v>
      </c>
      <c r="AM165" s="656">
        <f t="shared" si="408"/>
        <v>0.19000000000000006</v>
      </c>
      <c r="AN165" s="656">
        <f t="shared" si="408"/>
        <v>-0.21000000000000008</v>
      </c>
      <c r="AO165" s="656">
        <f t="shared" si="408"/>
        <v>0</v>
      </c>
      <c r="AP165" s="656">
        <f t="shared" si="408"/>
        <v>0</v>
      </c>
      <c r="AQ165" s="656">
        <f t="shared" si="408"/>
        <v>0</v>
      </c>
      <c r="AR165" s="656">
        <f t="shared" si="408"/>
        <v>1.0399999999999998</v>
      </c>
      <c r="AS165" s="656">
        <f t="shared" si="408"/>
        <v>-0.21000000000000008</v>
      </c>
      <c r="AT165" s="745">
        <f t="shared" si="408"/>
        <v>0.83000000000000007</v>
      </c>
      <c r="AU165" s="577">
        <f t="shared" si="408"/>
        <v>354862232</v>
      </c>
      <c r="AV165" s="573">
        <f t="shared" si="408"/>
        <v>255715173</v>
      </c>
      <c r="AW165" s="573">
        <f t="shared" si="408"/>
        <v>1851400</v>
      </c>
      <c r="AX165" s="573">
        <f t="shared" si="408"/>
        <v>87057501</v>
      </c>
      <c r="AY165" s="573">
        <f t="shared" si="408"/>
        <v>5114299</v>
      </c>
      <c r="AZ165" s="573">
        <f t="shared" si="408"/>
        <v>5123859</v>
      </c>
      <c r="BA165" s="574">
        <f t="shared" si="408"/>
        <v>530.55510000000004</v>
      </c>
      <c r="BB165" s="574">
        <f t="shared" si="408"/>
        <v>365.82100000000003</v>
      </c>
      <c r="BC165" s="576">
        <f t="shared" si="408"/>
        <v>164.73409999999998</v>
      </c>
    </row>
    <row r="166" spans="1:55" ht="12.75" customHeight="1" x14ac:dyDescent="0.25">
      <c r="B166" s="337"/>
      <c r="D166" s="337"/>
      <c r="E166" s="338"/>
      <c r="F166" s="337"/>
      <c r="I166" s="490">
        <f>SUM(J165:N165)</f>
        <v>354582386</v>
      </c>
      <c r="J166" s="490"/>
      <c r="K166" s="490"/>
      <c r="L166" s="490"/>
      <c r="M166" s="490"/>
      <c r="N166" s="490"/>
      <c r="O166" s="491">
        <f>SUM(P165:Q165)</f>
        <v>529.7251</v>
      </c>
      <c r="P166" s="491"/>
      <c r="Q166" s="491"/>
      <c r="R166" s="490">
        <f>Y165</f>
        <v>0</v>
      </c>
      <c r="S166" s="491"/>
      <c r="T166" s="491"/>
      <c r="U166" s="491"/>
      <c r="V166" s="491"/>
      <c r="W166" s="491"/>
      <c r="X166" s="497">
        <f>SUM(R165:W165)</f>
        <v>-10607</v>
      </c>
      <c r="Y166" s="497">
        <f>R165</f>
        <v>0</v>
      </c>
      <c r="Z166" s="498"/>
      <c r="AA166" s="498"/>
      <c r="AB166" s="497">
        <f>SUM(Y165:AA165)</f>
        <v>0</v>
      </c>
      <c r="AC166" s="497">
        <f>X165+AB165</f>
        <v>-10607</v>
      </c>
      <c r="AD166" s="499"/>
      <c r="AE166" s="499"/>
      <c r="AF166" s="498"/>
      <c r="AG166" s="498"/>
      <c r="AH166" s="497">
        <f>SUM(AF165:AG165)</f>
        <v>294253</v>
      </c>
      <c r="AI166" s="497">
        <f>AC165+AD165+AE165+AH165</f>
        <v>279846</v>
      </c>
      <c r="AJ166" s="500"/>
      <c r="AK166" s="500"/>
      <c r="AL166" s="500"/>
      <c r="AM166" s="500"/>
      <c r="AN166" s="500"/>
      <c r="AO166" s="500"/>
      <c r="AP166" s="500"/>
      <c r="AQ166" s="500"/>
      <c r="AR166" s="706">
        <f>AJ165+AL165+AM165+AO165+AP165</f>
        <v>1.04</v>
      </c>
      <c r="AS166" s="706">
        <f>AK165+AN165+AQ165</f>
        <v>-0.21000000000000008</v>
      </c>
      <c r="AT166" s="706">
        <f>SUM(AR165:AS165)</f>
        <v>0.82999999999999974</v>
      </c>
      <c r="AU166" s="490">
        <f>SUM(AV165:AZ165)</f>
        <v>354862232</v>
      </c>
      <c r="AV166" s="55"/>
      <c r="AW166" s="55"/>
      <c r="AX166" s="55"/>
      <c r="AY166" s="55"/>
      <c r="AZ166" s="55"/>
      <c r="BA166" s="491">
        <f>SUM(BB165:BC165)</f>
        <v>530.55510000000004</v>
      </c>
      <c r="BB166" s="93"/>
      <c r="BC166" s="93"/>
    </row>
    <row r="167" spans="1:55" ht="12.95" customHeight="1" thickBot="1" x14ac:dyDescent="0.3">
      <c r="B167" s="337"/>
      <c r="D167" s="337"/>
      <c r="F167" s="337"/>
      <c r="I167" s="91">
        <f>SUM(J168:N168)</f>
        <v>354582386</v>
      </c>
      <c r="J167" s="53"/>
      <c r="K167" s="53"/>
      <c r="L167" s="496"/>
      <c r="M167" s="496"/>
      <c r="N167" s="53"/>
      <c r="O167" s="92">
        <f>SUM(P168:Q168)</f>
        <v>529.7251</v>
      </c>
      <c r="P167" s="183"/>
      <c r="Q167" s="183"/>
      <c r="R167" s="491"/>
      <c r="S167" s="491"/>
      <c r="T167" s="491"/>
      <c r="U167" s="491"/>
      <c r="V167" s="491"/>
      <c r="W167" s="491"/>
      <c r="X167" s="497">
        <f>SUM(R168:W168)</f>
        <v>-10607</v>
      </c>
      <c r="Y167" s="498"/>
      <c r="Z167" s="498"/>
      <c r="AA167" s="498"/>
      <c r="AB167" s="497">
        <f>SUM(Y168:AA168)</f>
        <v>0</v>
      </c>
      <c r="AC167" s="497">
        <f>X168+AB168</f>
        <v>-10607</v>
      </c>
      <c r="AD167" s="499"/>
      <c r="AE167" s="499"/>
      <c r="AF167" s="498"/>
      <c r="AG167" s="498"/>
      <c r="AH167" s="497">
        <f>SUM(AF168:AG168)</f>
        <v>294253</v>
      </c>
      <c r="AI167" s="497">
        <f>AC168+AD168+AE168+AH168</f>
        <v>279846</v>
      </c>
      <c r="AJ167" s="500"/>
      <c r="AK167" s="500"/>
      <c r="AL167" s="500"/>
      <c r="AM167" s="500"/>
      <c r="AN167" s="500"/>
      <c r="AO167" s="500"/>
      <c r="AP167" s="500"/>
      <c r="AQ167" s="500"/>
      <c r="AR167" s="663">
        <f>AJ168+AL168+AM168+AO168+AP168</f>
        <v>1.04</v>
      </c>
      <c r="AS167" s="663">
        <f>AK168+AN168+AQ168</f>
        <v>-0.21000000000000002</v>
      </c>
      <c r="AT167" s="663">
        <f>SUM(AR168:AS168)</f>
        <v>0.83000000000000029</v>
      </c>
      <c r="AU167" s="490">
        <f>SUM(AV168:AZ168)</f>
        <v>354862232</v>
      </c>
      <c r="AV167" s="55"/>
      <c r="AW167" s="55"/>
      <c r="AX167" s="55"/>
      <c r="AY167" s="55"/>
      <c r="AZ167" s="55"/>
      <c r="BA167" s="491">
        <f>SUM(BB168:BC168)</f>
        <v>530.55509999999992</v>
      </c>
      <c r="BB167" s="93"/>
      <c r="BC167" s="93"/>
    </row>
    <row r="168" spans="1:55" s="95" customFormat="1" ht="12.95" customHeight="1" thickBot="1" x14ac:dyDescent="0.3">
      <c r="D168" s="339"/>
      <c r="E168" s="340"/>
      <c r="F168" s="339"/>
      <c r="G168" s="341"/>
      <c r="H168" s="589" t="s">
        <v>0</v>
      </c>
      <c r="I168" s="146">
        <f t="shared" ref="I168:BC168" si="409">SUM(I169:I178)</f>
        <v>354582386</v>
      </c>
      <c r="J168" s="34">
        <f t="shared" si="409"/>
        <v>255725780</v>
      </c>
      <c r="K168" s="34">
        <f t="shared" si="409"/>
        <v>1851400</v>
      </c>
      <c r="L168" s="34">
        <f t="shared" si="409"/>
        <v>87061086</v>
      </c>
      <c r="M168" s="34">
        <f t="shared" si="409"/>
        <v>5114514</v>
      </c>
      <c r="N168" s="34">
        <f t="shared" si="409"/>
        <v>4829606</v>
      </c>
      <c r="O168" s="35">
        <f t="shared" si="409"/>
        <v>529.72510000000011</v>
      </c>
      <c r="P168" s="35">
        <f t="shared" si="409"/>
        <v>364.78100000000001</v>
      </c>
      <c r="Q168" s="36">
        <f t="shared" si="409"/>
        <v>164.94409999999996</v>
      </c>
      <c r="R168" s="156">
        <f t="shared" si="409"/>
        <v>0</v>
      </c>
      <c r="S168" s="34">
        <f t="shared" si="409"/>
        <v>222177</v>
      </c>
      <c r="T168" s="34">
        <f t="shared" si="409"/>
        <v>-33961</v>
      </c>
      <c r="U168" s="34">
        <f t="shared" si="409"/>
        <v>0</v>
      </c>
      <c r="V168" s="34">
        <f t="shared" si="409"/>
        <v>-198823</v>
      </c>
      <c r="W168" s="34">
        <f t="shared" si="409"/>
        <v>0</v>
      </c>
      <c r="X168" s="34">
        <f t="shared" si="409"/>
        <v>-10607</v>
      </c>
      <c r="Y168" s="34">
        <f t="shared" si="409"/>
        <v>0</v>
      </c>
      <c r="Z168" s="34">
        <f t="shared" si="409"/>
        <v>0</v>
      </c>
      <c r="AA168" s="34">
        <f t="shared" si="409"/>
        <v>0</v>
      </c>
      <c r="AB168" s="34">
        <f t="shared" si="409"/>
        <v>0</v>
      </c>
      <c r="AC168" s="34">
        <f t="shared" si="409"/>
        <v>-10607</v>
      </c>
      <c r="AD168" s="34">
        <f t="shared" si="409"/>
        <v>-3585</v>
      </c>
      <c r="AE168" s="34">
        <f t="shared" si="409"/>
        <v>-215</v>
      </c>
      <c r="AF168" s="34">
        <f t="shared" si="409"/>
        <v>24250</v>
      </c>
      <c r="AG168" s="34">
        <f t="shared" si="409"/>
        <v>270003</v>
      </c>
      <c r="AH168" s="34">
        <f t="shared" si="409"/>
        <v>294253</v>
      </c>
      <c r="AI168" s="34">
        <f t="shared" si="409"/>
        <v>279846</v>
      </c>
      <c r="AJ168" s="35">
        <f t="shared" si="409"/>
        <v>0</v>
      </c>
      <c r="AK168" s="35">
        <f t="shared" si="409"/>
        <v>0</v>
      </c>
      <c r="AL168" s="35">
        <f t="shared" si="409"/>
        <v>0.85</v>
      </c>
      <c r="AM168" s="35">
        <f t="shared" si="409"/>
        <v>0.19000000000000006</v>
      </c>
      <c r="AN168" s="35">
        <f t="shared" si="409"/>
        <v>-0.21000000000000002</v>
      </c>
      <c r="AO168" s="35">
        <f t="shared" si="409"/>
        <v>0</v>
      </c>
      <c r="AP168" s="35">
        <f t="shared" si="409"/>
        <v>0</v>
      </c>
      <c r="AQ168" s="35">
        <f t="shared" si="409"/>
        <v>0</v>
      </c>
      <c r="AR168" s="35">
        <f t="shared" si="409"/>
        <v>1.0400000000000003</v>
      </c>
      <c r="AS168" s="35">
        <f t="shared" si="409"/>
        <v>-0.21000000000000002</v>
      </c>
      <c r="AT168" s="35">
        <f t="shared" si="409"/>
        <v>0.83000000000000018</v>
      </c>
      <c r="AU168" s="146">
        <f t="shared" si="409"/>
        <v>354862232</v>
      </c>
      <c r="AV168" s="34">
        <f t="shared" si="409"/>
        <v>255715173</v>
      </c>
      <c r="AW168" s="34">
        <f t="shared" si="409"/>
        <v>1851400</v>
      </c>
      <c r="AX168" s="34">
        <f t="shared" si="409"/>
        <v>87057501</v>
      </c>
      <c r="AY168" s="34">
        <f t="shared" si="409"/>
        <v>5114299</v>
      </c>
      <c r="AZ168" s="34">
        <f t="shared" si="409"/>
        <v>5123859</v>
      </c>
      <c r="BA168" s="35">
        <f t="shared" si="409"/>
        <v>530.55510000000004</v>
      </c>
      <c r="BB168" s="35">
        <f t="shared" si="409"/>
        <v>365.82099999999997</v>
      </c>
      <c r="BC168" s="36">
        <f t="shared" si="409"/>
        <v>164.73409999999996</v>
      </c>
    </row>
    <row r="169" spans="1:55" s="95" customFormat="1" ht="12.95" customHeight="1" x14ac:dyDescent="0.25">
      <c r="D169" s="339"/>
      <c r="E169" s="340"/>
      <c r="F169" s="339"/>
      <c r="G169" s="341"/>
      <c r="H169" s="588">
        <v>3111</v>
      </c>
      <c r="I169" s="618">
        <f t="shared" ref="I169:BC169" si="410">SUMIF($F$12:$F$462,"=3111",I$12:I$462)</f>
        <v>68475982</v>
      </c>
      <c r="J169" s="619">
        <f t="shared" si="410"/>
        <v>49700990</v>
      </c>
      <c r="K169" s="619">
        <f t="shared" si="410"/>
        <v>267820</v>
      </c>
      <c r="L169" s="619">
        <f t="shared" si="410"/>
        <v>16889458</v>
      </c>
      <c r="M169" s="619">
        <f t="shared" si="410"/>
        <v>994016</v>
      </c>
      <c r="N169" s="619">
        <f t="shared" si="410"/>
        <v>623698</v>
      </c>
      <c r="O169" s="624">
        <f t="shared" si="410"/>
        <v>110.83739999999999</v>
      </c>
      <c r="P169" s="624">
        <f t="shared" si="410"/>
        <v>84.286900000000003</v>
      </c>
      <c r="Q169" s="627">
        <f t="shared" si="410"/>
        <v>26.550499999999996</v>
      </c>
      <c r="R169" s="620">
        <f t="shared" si="410"/>
        <v>0</v>
      </c>
      <c r="S169" s="619">
        <f t="shared" si="410"/>
        <v>216528</v>
      </c>
      <c r="T169" s="619">
        <f t="shared" si="410"/>
        <v>434683</v>
      </c>
      <c r="U169" s="619">
        <f t="shared" si="410"/>
        <v>0</v>
      </c>
      <c r="V169" s="619">
        <f t="shared" si="410"/>
        <v>-198823</v>
      </c>
      <c r="W169" s="619">
        <f t="shared" si="410"/>
        <v>0</v>
      </c>
      <c r="X169" s="619">
        <f t="shared" si="410"/>
        <v>452388</v>
      </c>
      <c r="Y169" s="619">
        <f t="shared" si="410"/>
        <v>0</v>
      </c>
      <c r="Z169" s="619">
        <f t="shared" si="410"/>
        <v>0</v>
      </c>
      <c r="AA169" s="619">
        <f t="shared" si="410"/>
        <v>0</v>
      </c>
      <c r="AB169" s="619">
        <f t="shared" si="410"/>
        <v>0</v>
      </c>
      <c r="AC169" s="619">
        <f t="shared" si="410"/>
        <v>452388</v>
      </c>
      <c r="AD169" s="619">
        <f t="shared" si="410"/>
        <v>152906</v>
      </c>
      <c r="AE169" s="619">
        <f t="shared" si="410"/>
        <v>9047</v>
      </c>
      <c r="AF169" s="619">
        <f t="shared" si="410"/>
        <v>0</v>
      </c>
      <c r="AG169" s="619">
        <f t="shared" si="410"/>
        <v>270003</v>
      </c>
      <c r="AH169" s="619">
        <f t="shared" si="410"/>
        <v>270003</v>
      </c>
      <c r="AI169" s="619">
        <f t="shared" si="410"/>
        <v>884344</v>
      </c>
      <c r="AJ169" s="624">
        <f t="shared" si="410"/>
        <v>0</v>
      </c>
      <c r="AK169" s="624">
        <f t="shared" si="410"/>
        <v>0</v>
      </c>
      <c r="AL169" s="624">
        <f t="shared" si="410"/>
        <v>0.63</v>
      </c>
      <c r="AM169" s="624">
        <f t="shared" si="410"/>
        <v>0.78</v>
      </c>
      <c r="AN169" s="624">
        <f t="shared" si="410"/>
        <v>0</v>
      </c>
      <c r="AO169" s="624">
        <f t="shared" si="410"/>
        <v>0</v>
      </c>
      <c r="AP169" s="624">
        <f t="shared" si="410"/>
        <v>0</v>
      </c>
      <c r="AQ169" s="624">
        <f t="shared" si="410"/>
        <v>0</v>
      </c>
      <c r="AR169" s="624">
        <f t="shared" si="410"/>
        <v>1.4100000000000001</v>
      </c>
      <c r="AS169" s="624">
        <f t="shared" si="410"/>
        <v>0</v>
      </c>
      <c r="AT169" s="624">
        <f t="shared" si="410"/>
        <v>1.4100000000000001</v>
      </c>
      <c r="AU169" s="618">
        <f t="shared" si="410"/>
        <v>69360326</v>
      </c>
      <c r="AV169" s="619">
        <f t="shared" si="410"/>
        <v>50153378</v>
      </c>
      <c r="AW169" s="619">
        <f t="shared" si="410"/>
        <v>267820</v>
      </c>
      <c r="AX169" s="619">
        <f t="shared" si="410"/>
        <v>17042364</v>
      </c>
      <c r="AY169" s="619">
        <f t="shared" si="410"/>
        <v>1003063</v>
      </c>
      <c r="AZ169" s="619">
        <f t="shared" si="410"/>
        <v>893701</v>
      </c>
      <c r="BA169" s="624">
        <f t="shared" si="410"/>
        <v>112.24739999999998</v>
      </c>
      <c r="BB169" s="624">
        <f t="shared" si="410"/>
        <v>85.696899999999999</v>
      </c>
      <c r="BC169" s="627">
        <f t="shared" si="410"/>
        <v>26.550499999999996</v>
      </c>
    </row>
    <row r="170" spans="1:55" s="95" customFormat="1" ht="12.95" customHeight="1" x14ac:dyDescent="0.25">
      <c r="D170" s="339"/>
      <c r="E170" s="340"/>
      <c r="F170" s="339"/>
      <c r="G170" s="341"/>
      <c r="H170" s="19">
        <v>3113</v>
      </c>
      <c r="I170" s="174">
        <f t="shared" ref="I170:BC170" si="411">SUMIF($F$12:$F$462,"=3113",I$12:I$462)</f>
        <v>150232199</v>
      </c>
      <c r="J170" s="16">
        <f t="shared" si="411"/>
        <v>107840279</v>
      </c>
      <c r="K170" s="16">
        <f t="shared" si="411"/>
        <v>487800</v>
      </c>
      <c r="L170" s="16">
        <f t="shared" si="411"/>
        <v>36614891</v>
      </c>
      <c r="M170" s="16">
        <f t="shared" si="411"/>
        <v>2156808</v>
      </c>
      <c r="N170" s="16">
        <f t="shared" si="411"/>
        <v>3132421</v>
      </c>
      <c r="O170" s="13">
        <f t="shared" si="411"/>
        <v>204.7148</v>
      </c>
      <c r="P170" s="13">
        <f t="shared" si="411"/>
        <v>158.35</v>
      </c>
      <c r="Q170" s="17">
        <f t="shared" si="411"/>
        <v>46.364799999999995</v>
      </c>
      <c r="R170" s="175">
        <f t="shared" si="411"/>
        <v>0</v>
      </c>
      <c r="S170" s="16">
        <f t="shared" si="411"/>
        <v>1466</v>
      </c>
      <c r="T170" s="16">
        <f t="shared" si="411"/>
        <v>-434421</v>
      </c>
      <c r="U170" s="16">
        <f t="shared" si="411"/>
        <v>0</v>
      </c>
      <c r="V170" s="16">
        <f t="shared" si="411"/>
        <v>0</v>
      </c>
      <c r="W170" s="16">
        <f t="shared" si="411"/>
        <v>0</v>
      </c>
      <c r="X170" s="16">
        <f t="shared" si="411"/>
        <v>-432955</v>
      </c>
      <c r="Y170" s="16">
        <f t="shared" si="411"/>
        <v>0</v>
      </c>
      <c r="Z170" s="16">
        <f t="shared" si="411"/>
        <v>0</v>
      </c>
      <c r="AA170" s="16">
        <f t="shared" si="411"/>
        <v>0</v>
      </c>
      <c r="AB170" s="16">
        <f t="shared" si="411"/>
        <v>0</v>
      </c>
      <c r="AC170" s="16">
        <f t="shared" si="411"/>
        <v>-432955</v>
      </c>
      <c r="AD170" s="16">
        <f t="shared" si="411"/>
        <v>-146339</v>
      </c>
      <c r="AE170" s="16">
        <f t="shared" si="411"/>
        <v>-8660</v>
      </c>
      <c r="AF170" s="16">
        <f t="shared" si="411"/>
        <v>11500</v>
      </c>
      <c r="AG170" s="16">
        <f t="shared" si="411"/>
        <v>0</v>
      </c>
      <c r="AH170" s="16">
        <f t="shared" si="411"/>
        <v>11500</v>
      </c>
      <c r="AI170" s="16">
        <f t="shared" si="411"/>
        <v>-576454</v>
      </c>
      <c r="AJ170" s="13">
        <f t="shared" si="411"/>
        <v>0</v>
      </c>
      <c r="AK170" s="13">
        <f t="shared" si="411"/>
        <v>0</v>
      </c>
      <c r="AL170" s="13">
        <f t="shared" si="411"/>
        <v>0.13</v>
      </c>
      <c r="AM170" s="13">
        <f t="shared" si="411"/>
        <v>-0.73</v>
      </c>
      <c r="AN170" s="13">
        <f t="shared" si="411"/>
        <v>0</v>
      </c>
      <c r="AO170" s="13">
        <f t="shared" si="411"/>
        <v>0</v>
      </c>
      <c r="AP170" s="13">
        <f t="shared" si="411"/>
        <v>0</v>
      </c>
      <c r="AQ170" s="13">
        <f t="shared" si="411"/>
        <v>0</v>
      </c>
      <c r="AR170" s="13">
        <f t="shared" si="411"/>
        <v>-0.6</v>
      </c>
      <c r="AS170" s="13">
        <f t="shared" si="411"/>
        <v>0</v>
      </c>
      <c r="AT170" s="13">
        <f t="shared" si="411"/>
        <v>-0.6</v>
      </c>
      <c r="AU170" s="174">
        <f t="shared" si="411"/>
        <v>149655745</v>
      </c>
      <c r="AV170" s="16">
        <f t="shared" si="411"/>
        <v>107407324</v>
      </c>
      <c r="AW170" s="16">
        <f t="shared" si="411"/>
        <v>487800</v>
      </c>
      <c r="AX170" s="16">
        <f t="shared" si="411"/>
        <v>36468552</v>
      </c>
      <c r="AY170" s="16">
        <f t="shared" si="411"/>
        <v>2148148</v>
      </c>
      <c r="AZ170" s="16">
        <f t="shared" si="411"/>
        <v>3143921</v>
      </c>
      <c r="BA170" s="13">
        <f t="shared" si="411"/>
        <v>204.11479999999997</v>
      </c>
      <c r="BB170" s="13">
        <f t="shared" si="411"/>
        <v>157.74999999999997</v>
      </c>
      <c r="BC170" s="17">
        <f t="shared" si="411"/>
        <v>46.364799999999995</v>
      </c>
    </row>
    <row r="171" spans="1:55" s="95" customFormat="1" ht="12.95" customHeight="1" x14ac:dyDescent="0.25">
      <c r="D171" s="339"/>
      <c r="E171" s="340"/>
      <c r="F171" s="339"/>
      <c r="G171" s="341"/>
      <c r="H171" s="19">
        <v>3114</v>
      </c>
      <c r="I171" s="174">
        <f t="shared" ref="I171:BC171" si="412">SUMIF($F$12:$F$462,"=3114",I$12:I$462)</f>
        <v>18274416</v>
      </c>
      <c r="J171" s="16">
        <f t="shared" si="412"/>
        <v>13270102</v>
      </c>
      <c r="K171" s="16">
        <f t="shared" si="412"/>
        <v>82000</v>
      </c>
      <c r="L171" s="16">
        <f t="shared" si="412"/>
        <v>4513011</v>
      </c>
      <c r="M171" s="16">
        <f t="shared" si="412"/>
        <v>265403</v>
      </c>
      <c r="N171" s="16">
        <f t="shared" si="412"/>
        <v>143900</v>
      </c>
      <c r="O171" s="13">
        <f t="shared" si="412"/>
        <v>23.665299999999998</v>
      </c>
      <c r="P171" s="13">
        <f t="shared" si="412"/>
        <v>18.4573</v>
      </c>
      <c r="Q171" s="17">
        <f t="shared" si="412"/>
        <v>5.2079999999999993</v>
      </c>
      <c r="R171" s="175">
        <f t="shared" si="412"/>
        <v>0</v>
      </c>
      <c r="S171" s="16">
        <f t="shared" si="412"/>
        <v>0</v>
      </c>
      <c r="T171" s="16">
        <f t="shared" si="412"/>
        <v>0</v>
      </c>
      <c r="U171" s="16">
        <f t="shared" si="412"/>
        <v>0</v>
      </c>
      <c r="V171" s="16">
        <f t="shared" si="412"/>
        <v>0</v>
      </c>
      <c r="W171" s="16">
        <f t="shared" si="412"/>
        <v>0</v>
      </c>
      <c r="X171" s="16">
        <f t="shared" si="412"/>
        <v>0</v>
      </c>
      <c r="Y171" s="16">
        <f t="shared" si="412"/>
        <v>0</v>
      </c>
      <c r="Z171" s="16">
        <f t="shared" si="412"/>
        <v>0</v>
      </c>
      <c r="AA171" s="16">
        <f t="shared" si="412"/>
        <v>0</v>
      </c>
      <c r="AB171" s="16">
        <f t="shared" si="412"/>
        <v>0</v>
      </c>
      <c r="AC171" s="16">
        <f t="shared" si="412"/>
        <v>0</v>
      </c>
      <c r="AD171" s="16">
        <f t="shared" si="412"/>
        <v>0</v>
      </c>
      <c r="AE171" s="16">
        <f t="shared" si="412"/>
        <v>0</v>
      </c>
      <c r="AF171" s="16">
        <f t="shared" si="412"/>
        <v>0</v>
      </c>
      <c r="AG171" s="16">
        <f t="shared" si="412"/>
        <v>0</v>
      </c>
      <c r="AH171" s="16">
        <f t="shared" si="412"/>
        <v>0</v>
      </c>
      <c r="AI171" s="16">
        <f t="shared" si="412"/>
        <v>0</v>
      </c>
      <c r="AJ171" s="13">
        <f t="shared" si="412"/>
        <v>0</v>
      </c>
      <c r="AK171" s="13">
        <f t="shared" si="412"/>
        <v>0</v>
      </c>
      <c r="AL171" s="13">
        <f t="shared" si="412"/>
        <v>0</v>
      </c>
      <c r="AM171" s="13">
        <f t="shared" si="412"/>
        <v>0</v>
      </c>
      <c r="AN171" s="13">
        <f t="shared" si="412"/>
        <v>0</v>
      </c>
      <c r="AO171" s="13">
        <f t="shared" si="412"/>
        <v>0</v>
      </c>
      <c r="AP171" s="13">
        <f t="shared" si="412"/>
        <v>0</v>
      </c>
      <c r="AQ171" s="13">
        <f t="shared" si="412"/>
        <v>0</v>
      </c>
      <c r="AR171" s="13">
        <f t="shared" si="412"/>
        <v>0</v>
      </c>
      <c r="AS171" s="13">
        <f t="shared" si="412"/>
        <v>0</v>
      </c>
      <c r="AT171" s="13">
        <f t="shared" si="412"/>
        <v>0</v>
      </c>
      <c r="AU171" s="174">
        <f t="shared" si="412"/>
        <v>18274416</v>
      </c>
      <c r="AV171" s="16">
        <f t="shared" si="412"/>
        <v>13270102</v>
      </c>
      <c r="AW171" s="16">
        <f t="shared" si="412"/>
        <v>82000</v>
      </c>
      <c r="AX171" s="16">
        <f t="shared" si="412"/>
        <v>4513011</v>
      </c>
      <c r="AY171" s="16">
        <f t="shared" si="412"/>
        <v>265403</v>
      </c>
      <c r="AZ171" s="16">
        <f t="shared" si="412"/>
        <v>143900</v>
      </c>
      <c r="BA171" s="13">
        <f t="shared" si="412"/>
        <v>23.665299999999998</v>
      </c>
      <c r="BB171" s="13">
        <f t="shared" si="412"/>
        <v>18.4573</v>
      </c>
      <c r="BC171" s="17">
        <f t="shared" si="412"/>
        <v>5.2079999999999993</v>
      </c>
    </row>
    <row r="172" spans="1:55" s="95" customFormat="1" ht="12.95" customHeight="1" x14ac:dyDescent="0.25">
      <c r="D172" s="339"/>
      <c r="E172" s="340"/>
      <c r="F172" s="339"/>
      <c r="G172" s="341"/>
      <c r="H172" s="19">
        <v>3117</v>
      </c>
      <c r="I172" s="174">
        <f t="shared" ref="I172:BC172" si="413">SUMIF($F$12:$F$462,"=3117",I$12:I$462)</f>
        <v>28600372</v>
      </c>
      <c r="J172" s="16">
        <f t="shared" si="413"/>
        <v>20554235</v>
      </c>
      <c r="K172" s="16">
        <f t="shared" si="413"/>
        <v>160000</v>
      </c>
      <c r="L172" s="16">
        <f t="shared" si="413"/>
        <v>7001412</v>
      </c>
      <c r="M172" s="16">
        <f t="shared" si="413"/>
        <v>411085</v>
      </c>
      <c r="N172" s="16">
        <f t="shared" si="413"/>
        <v>473640</v>
      </c>
      <c r="O172" s="13">
        <f t="shared" si="413"/>
        <v>41.182900000000004</v>
      </c>
      <c r="P172" s="13">
        <f t="shared" si="413"/>
        <v>29.302099999999999</v>
      </c>
      <c r="Q172" s="17">
        <f t="shared" si="413"/>
        <v>11.880799999999999</v>
      </c>
      <c r="R172" s="175">
        <f t="shared" si="413"/>
        <v>0</v>
      </c>
      <c r="S172" s="16">
        <f t="shared" si="413"/>
        <v>4183</v>
      </c>
      <c r="T172" s="16">
        <f t="shared" si="413"/>
        <v>-8804</v>
      </c>
      <c r="U172" s="16">
        <f t="shared" si="413"/>
        <v>0</v>
      </c>
      <c r="V172" s="16">
        <f t="shared" si="413"/>
        <v>0</v>
      </c>
      <c r="W172" s="16">
        <f t="shared" si="413"/>
        <v>0</v>
      </c>
      <c r="X172" s="16">
        <f t="shared" si="413"/>
        <v>-4621</v>
      </c>
      <c r="Y172" s="16">
        <f t="shared" si="413"/>
        <v>0</v>
      </c>
      <c r="Z172" s="16">
        <f t="shared" si="413"/>
        <v>0</v>
      </c>
      <c r="AA172" s="16">
        <f t="shared" si="413"/>
        <v>0</v>
      </c>
      <c r="AB172" s="16">
        <f t="shared" si="413"/>
        <v>0</v>
      </c>
      <c r="AC172" s="16">
        <f t="shared" si="413"/>
        <v>-4621</v>
      </c>
      <c r="AD172" s="16">
        <f t="shared" si="413"/>
        <v>-1561</v>
      </c>
      <c r="AE172" s="16">
        <f t="shared" si="413"/>
        <v>-92</v>
      </c>
      <c r="AF172" s="16">
        <f t="shared" si="413"/>
        <v>12750</v>
      </c>
      <c r="AG172" s="16">
        <f t="shared" si="413"/>
        <v>0</v>
      </c>
      <c r="AH172" s="16">
        <f t="shared" si="413"/>
        <v>12750</v>
      </c>
      <c r="AI172" s="16">
        <f t="shared" si="413"/>
        <v>6476</v>
      </c>
      <c r="AJ172" s="13">
        <f t="shared" si="413"/>
        <v>0</v>
      </c>
      <c r="AK172" s="13">
        <f t="shared" si="413"/>
        <v>0</v>
      </c>
      <c r="AL172" s="13">
        <f t="shared" si="413"/>
        <v>0.09</v>
      </c>
      <c r="AM172" s="13">
        <f t="shared" si="413"/>
        <v>6.0000000000000026E-2</v>
      </c>
      <c r="AN172" s="13">
        <f t="shared" si="413"/>
        <v>0</v>
      </c>
      <c r="AO172" s="13">
        <f t="shared" si="413"/>
        <v>0</v>
      </c>
      <c r="AP172" s="13">
        <f t="shared" si="413"/>
        <v>0</v>
      </c>
      <c r="AQ172" s="13">
        <f t="shared" si="413"/>
        <v>0</v>
      </c>
      <c r="AR172" s="13">
        <f t="shared" si="413"/>
        <v>0.15</v>
      </c>
      <c r="AS172" s="13">
        <f t="shared" si="413"/>
        <v>0</v>
      </c>
      <c r="AT172" s="13">
        <f t="shared" si="413"/>
        <v>0.15</v>
      </c>
      <c r="AU172" s="174">
        <f t="shared" si="413"/>
        <v>28606848</v>
      </c>
      <c r="AV172" s="16">
        <f t="shared" si="413"/>
        <v>20549614</v>
      </c>
      <c r="AW172" s="16">
        <f t="shared" si="413"/>
        <v>160000</v>
      </c>
      <c r="AX172" s="16">
        <f t="shared" si="413"/>
        <v>6999851</v>
      </c>
      <c r="AY172" s="16">
        <f t="shared" si="413"/>
        <v>410993</v>
      </c>
      <c r="AZ172" s="16">
        <f t="shared" si="413"/>
        <v>486390</v>
      </c>
      <c r="BA172" s="13">
        <f t="shared" si="413"/>
        <v>41.332900000000002</v>
      </c>
      <c r="BB172" s="13">
        <f t="shared" si="413"/>
        <v>29.452099999999998</v>
      </c>
      <c r="BC172" s="17">
        <f t="shared" si="413"/>
        <v>11.880799999999999</v>
      </c>
    </row>
    <row r="173" spans="1:55" s="95" customFormat="1" ht="12.95" customHeight="1" x14ac:dyDescent="0.25">
      <c r="D173" s="339"/>
      <c r="E173" s="340"/>
      <c r="F173" s="339"/>
      <c r="G173" s="341"/>
      <c r="H173" s="19">
        <v>3122</v>
      </c>
      <c r="I173" s="174">
        <f t="shared" ref="I173:BC173" si="414">SUMIF($F$12:$F$462,"=3122",I$12:I$462)</f>
        <v>8799755</v>
      </c>
      <c r="J173" s="16">
        <f t="shared" si="414"/>
        <v>6073108</v>
      </c>
      <c r="K173" s="16">
        <f t="shared" si="414"/>
        <v>341760</v>
      </c>
      <c r="L173" s="16">
        <f t="shared" si="414"/>
        <v>2168225</v>
      </c>
      <c r="M173" s="16">
        <f t="shared" si="414"/>
        <v>121462</v>
      </c>
      <c r="N173" s="16">
        <f t="shared" si="414"/>
        <v>95200</v>
      </c>
      <c r="O173" s="13">
        <f t="shared" si="414"/>
        <v>9.7884000000000011</v>
      </c>
      <c r="P173" s="13">
        <f t="shared" si="414"/>
        <v>8.4656000000000002</v>
      </c>
      <c r="Q173" s="17">
        <f t="shared" si="414"/>
        <v>1.3228</v>
      </c>
      <c r="R173" s="175">
        <f t="shared" si="414"/>
        <v>0</v>
      </c>
      <c r="S173" s="16">
        <f t="shared" si="414"/>
        <v>0</v>
      </c>
      <c r="T173" s="16">
        <f t="shared" si="414"/>
        <v>0</v>
      </c>
      <c r="U173" s="16">
        <f t="shared" si="414"/>
        <v>0</v>
      </c>
      <c r="V173" s="16">
        <f t="shared" si="414"/>
        <v>0</v>
      </c>
      <c r="W173" s="16">
        <f t="shared" si="414"/>
        <v>0</v>
      </c>
      <c r="X173" s="16">
        <f t="shared" si="414"/>
        <v>0</v>
      </c>
      <c r="Y173" s="16">
        <f t="shared" si="414"/>
        <v>0</v>
      </c>
      <c r="Z173" s="16">
        <f t="shared" si="414"/>
        <v>0</v>
      </c>
      <c r="AA173" s="16">
        <f t="shared" si="414"/>
        <v>0</v>
      </c>
      <c r="AB173" s="16">
        <f t="shared" si="414"/>
        <v>0</v>
      </c>
      <c r="AC173" s="16">
        <f t="shared" si="414"/>
        <v>0</v>
      </c>
      <c r="AD173" s="16">
        <f t="shared" si="414"/>
        <v>0</v>
      </c>
      <c r="AE173" s="16">
        <f t="shared" si="414"/>
        <v>0</v>
      </c>
      <c r="AF173" s="16">
        <f t="shared" si="414"/>
        <v>0</v>
      </c>
      <c r="AG173" s="16">
        <f t="shared" si="414"/>
        <v>0</v>
      </c>
      <c r="AH173" s="16">
        <f t="shared" si="414"/>
        <v>0</v>
      </c>
      <c r="AI173" s="16">
        <f t="shared" si="414"/>
        <v>0</v>
      </c>
      <c r="AJ173" s="13">
        <f t="shared" si="414"/>
        <v>0</v>
      </c>
      <c r="AK173" s="13">
        <f t="shared" si="414"/>
        <v>0</v>
      </c>
      <c r="AL173" s="13">
        <f t="shared" si="414"/>
        <v>0</v>
      </c>
      <c r="AM173" s="13">
        <f t="shared" si="414"/>
        <v>0</v>
      </c>
      <c r="AN173" s="13">
        <f t="shared" si="414"/>
        <v>0</v>
      </c>
      <c r="AO173" s="13">
        <f t="shared" si="414"/>
        <v>0</v>
      </c>
      <c r="AP173" s="13">
        <f t="shared" si="414"/>
        <v>0</v>
      </c>
      <c r="AQ173" s="13">
        <f t="shared" si="414"/>
        <v>0</v>
      </c>
      <c r="AR173" s="13">
        <f t="shared" si="414"/>
        <v>0</v>
      </c>
      <c r="AS173" s="13">
        <f t="shared" si="414"/>
        <v>0</v>
      </c>
      <c r="AT173" s="13">
        <f t="shared" si="414"/>
        <v>0</v>
      </c>
      <c r="AU173" s="174">
        <f t="shared" si="414"/>
        <v>8799755</v>
      </c>
      <c r="AV173" s="16">
        <f t="shared" si="414"/>
        <v>6073108</v>
      </c>
      <c r="AW173" s="16">
        <f t="shared" si="414"/>
        <v>341760</v>
      </c>
      <c r="AX173" s="16">
        <f t="shared" si="414"/>
        <v>2168225</v>
      </c>
      <c r="AY173" s="16">
        <f t="shared" si="414"/>
        <v>121462</v>
      </c>
      <c r="AZ173" s="16">
        <f t="shared" si="414"/>
        <v>95200</v>
      </c>
      <c r="BA173" s="13">
        <f t="shared" si="414"/>
        <v>9.7884000000000011</v>
      </c>
      <c r="BB173" s="13">
        <f t="shared" si="414"/>
        <v>8.4656000000000002</v>
      </c>
      <c r="BC173" s="17">
        <f t="shared" si="414"/>
        <v>1.3228</v>
      </c>
    </row>
    <row r="174" spans="1:55" s="95" customFormat="1" ht="12.95" customHeight="1" x14ac:dyDescent="0.25">
      <c r="D174" s="339"/>
      <c r="E174" s="340"/>
      <c r="F174" s="339"/>
      <c r="G174" s="341"/>
      <c r="H174" s="19">
        <v>3124</v>
      </c>
      <c r="I174" s="174">
        <f t="shared" ref="I174:BC174" si="415">SUMIF($F$12:$F$462,"=3124",I$12:I$462)</f>
        <v>0</v>
      </c>
      <c r="J174" s="16">
        <f t="shared" si="415"/>
        <v>0</v>
      </c>
      <c r="K174" s="16">
        <f t="shared" si="415"/>
        <v>0</v>
      </c>
      <c r="L174" s="16">
        <f t="shared" si="415"/>
        <v>0</v>
      </c>
      <c r="M174" s="16">
        <f t="shared" si="415"/>
        <v>0</v>
      </c>
      <c r="N174" s="16">
        <f t="shared" si="415"/>
        <v>0</v>
      </c>
      <c r="O174" s="13">
        <f t="shared" si="415"/>
        <v>0</v>
      </c>
      <c r="P174" s="13">
        <f t="shared" si="415"/>
        <v>0</v>
      </c>
      <c r="Q174" s="17">
        <f t="shared" si="415"/>
        <v>0</v>
      </c>
      <c r="R174" s="175">
        <f t="shared" si="415"/>
        <v>0</v>
      </c>
      <c r="S174" s="16">
        <f t="shared" si="415"/>
        <v>0</v>
      </c>
      <c r="T174" s="16">
        <f t="shared" si="415"/>
        <v>0</v>
      </c>
      <c r="U174" s="16">
        <f t="shared" si="415"/>
        <v>0</v>
      </c>
      <c r="V174" s="16">
        <f t="shared" si="415"/>
        <v>0</v>
      </c>
      <c r="W174" s="16">
        <f t="shared" si="415"/>
        <v>0</v>
      </c>
      <c r="X174" s="16">
        <f t="shared" si="415"/>
        <v>0</v>
      </c>
      <c r="Y174" s="16">
        <f t="shared" si="415"/>
        <v>0</v>
      </c>
      <c r="Z174" s="16">
        <f t="shared" si="415"/>
        <v>0</v>
      </c>
      <c r="AA174" s="16">
        <f t="shared" si="415"/>
        <v>0</v>
      </c>
      <c r="AB174" s="16">
        <f t="shared" si="415"/>
        <v>0</v>
      </c>
      <c r="AC174" s="16">
        <f t="shared" si="415"/>
        <v>0</v>
      </c>
      <c r="AD174" s="16">
        <f t="shared" si="415"/>
        <v>0</v>
      </c>
      <c r="AE174" s="16">
        <f t="shared" si="415"/>
        <v>0</v>
      </c>
      <c r="AF174" s="16">
        <f t="shared" si="415"/>
        <v>0</v>
      </c>
      <c r="AG174" s="16">
        <f t="shared" si="415"/>
        <v>0</v>
      </c>
      <c r="AH174" s="16">
        <f t="shared" si="415"/>
        <v>0</v>
      </c>
      <c r="AI174" s="16">
        <f t="shared" si="415"/>
        <v>0</v>
      </c>
      <c r="AJ174" s="13">
        <f t="shared" si="415"/>
        <v>0</v>
      </c>
      <c r="AK174" s="13">
        <f t="shared" si="415"/>
        <v>0</v>
      </c>
      <c r="AL174" s="13">
        <f t="shared" si="415"/>
        <v>0</v>
      </c>
      <c r="AM174" s="13">
        <f t="shared" si="415"/>
        <v>0</v>
      </c>
      <c r="AN174" s="13">
        <f t="shared" si="415"/>
        <v>0</v>
      </c>
      <c r="AO174" s="13">
        <f t="shared" si="415"/>
        <v>0</v>
      </c>
      <c r="AP174" s="13">
        <f t="shared" si="415"/>
        <v>0</v>
      </c>
      <c r="AQ174" s="13">
        <f t="shared" si="415"/>
        <v>0</v>
      </c>
      <c r="AR174" s="13">
        <f t="shared" si="415"/>
        <v>0</v>
      </c>
      <c r="AS174" s="13">
        <f t="shared" si="415"/>
        <v>0</v>
      </c>
      <c r="AT174" s="13">
        <f t="shared" si="415"/>
        <v>0</v>
      </c>
      <c r="AU174" s="174">
        <f t="shared" si="415"/>
        <v>0</v>
      </c>
      <c r="AV174" s="16">
        <f t="shared" si="415"/>
        <v>0</v>
      </c>
      <c r="AW174" s="16">
        <f t="shared" si="415"/>
        <v>0</v>
      </c>
      <c r="AX174" s="16">
        <f t="shared" si="415"/>
        <v>0</v>
      </c>
      <c r="AY174" s="16">
        <f t="shared" si="415"/>
        <v>0</v>
      </c>
      <c r="AZ174" s="16">
        <f t="shared" si="415"/>
        <v>0</v>
      </c>
      <c r="BA174" s="13">
        <f t="shared" si="415"/>
        <v>0</v>
      </c>
      <c r="BB174" s="13">
        <f t="shared" si="415"/>
        <v>0</v>
      </c>
      <c r="BC174" s="17">
        <f t="shared" si="415"/>
        <v>0</v>
      </c>
    </row>
    <row r="175" spans="1:55" s="95" customFormat="1" ht="12.95" customHeight="1" x14ac:dyDescent="0.25">
      <c r="D175" s="339"/>
      <c r="E175" s="340"/>
      <c r="F175" s="339"/>
      <c r="G175" s="341"/>
      <c r="H175" s="19">
        <v>3141</v>
      </c>
      <c r="I175" s="174">
        <f t="shared" ref="I175:BC175" si="416">SUMIF($F$12:$F$462,"=3141",I$12:I$462)</f>
        <v>27784855</v>
      </c>
      <c r="J175" s="16">
        <f t="shared" si="416"/>
        <v>20196228</v>
      </c>
      <c r="K175" s="16">
        <f t="shared" si="416"/>
        <v>134700</v>
      </c>
      <c r="L175" s="16">
        <f t="shared" si="416"/>
        <v>6871852</v>
      </c>
      <c r="M175" s="16">
        <f t="shared" si="416"/>
        <v>403923</v>
      </c>
      <c r="N175" s="16">
        <f t="shared" si="416"/>
        <v>178152</v>
      </c>
      <c r="O175" s="13">
        <f t="shared" si="416"/>
        <v>63.779999999999994</v>
      </c>
      <c r="P175" s="13">
        <f t="shared" si="416"/>
        <v>0</v>
      </c>
      <c r="Q175" s="17">
        <f t="shared" si="416"/>
        <v>63.779999999999994</v>
      </c>
      <c r="R175" s="175">
        <f t="shared" si="416"/>
        <v>0</v>
      </c>
      <c r="S175" s="16">
        <f t="shared" si="416"/>
        <v>0</v>
      </c>
      <c r="T175" s="16">
        <f t="shared" si="416"/>
        <v>-64095</v>
      </c>
      <c r="U175" s="16">
        <f t="shared" si="416"/>
        <v>0</v>
      </c>
      <c r="V175" s="16">
        <f t="shared" si="416"/>
        <v>0</v>
      </c>
      <c r="W175" s="16">
        <f t="shared" si="416"/>
        <v>0</v>
      </c>
      <c r="X175" s="16">
        <f t="shared" si="416"/>
        <v>-64095</v>
      </c>
      <c r="Y175" s="16">
        <f t="shared" si="416"/>
        <v>0</v>
      </c>
      <c r="Z175" s="16">
        <f t="shared" si="416"/>
        <v>0</v>
      </c>
      <c r="AA175" s="16">
        <f t="shared" si="416"/>
        <v>0</v>
      </c>
      <c r="AB175" s="16">
        <f t="shared" si="416"/>
        <v>0</v>
      </c>
      <c r="AC175" s="16">
        <f t="shared" si="416"/>
        <v>-64095</v>
      </c>
      <c r="AD175" s="16">
        <f t="shared" si="416"/>
        <v>-21663</v>
      </c>
      <c r="AE175" s="16">
        <f t="shared" si="416"/>
        <v>-1284</v>
      </c>
      <c r="AF175" s="16">
        <f t="shared" si="416"/>
        <v>0</v>
      </c>
      <c r="AG175" s="16">
        <f t="shared" si="416"/>
        <v>0</v>
      </c>
      <c r="AH175" s="16">
        <f t="shared" si="416"/>
        <v>0</v>
      </c>
      <c r="AI175" s="16">
        <f t="shared" si="416"/>
        <v>-87042</v>
      </c>
      <c r="AJ175" s="13">
        <f t="shared" si="416"/>
        <v>0</v>
      </c>
      <c r="AK175" s="13">
        <f t="shared" si="416"/>
        <v>0</v>
      </c>
      <c r="AL175" s="13">
        <f t="shared" si="416"/>
        <v>0</v>
      </c>
      <c r="AM175" s="13">
        <f t="shared" si="416"/>
        <v>0</v>
      </c>
      <c r="AN175" s="13">
        <f t="shared" si="416"/>
        <v>-0.21000000000000002</v>
      </c>
      <c r="AO175" s="13">
        <f t="shared" si="416"/>
        <v>0</v>
      </c>
      <c r="AP175" s="13">
        <f t="shared" si="416"/>
        <v>0</v>
      </c>
      <c r="AQ175" s="13">
        <f t="shared" si="416"/>
        <v>0</v>
      </c>
      <c r="AR175" s="13">
        <f t="shared" si="416"/>
        <v>0</v>
      </c>
      <c r="AS175" s="13">
        <f t="shared" si="416"/>
        <v>-0.21000000000000002</v>
      </c>
      <c r="AT175" s="13">
        <f t="shared" si="416"/>
        <v>-0.21000000000000002</v>
      </c>
      <c r="AU175" s="174">
        <f t="shared" si="416"/>
        <v>27697813</v>
      </c>
      <c r="AV175" s="16">
        <f t="shared" si="416"/>
        <v>20132133</v>
      </c>
      <c r="AW175" s="16">
        <f t="shared" si="416"/>
        <v>134700</v>
      </c>
      <c r="AX175" s="16">
        <f t="shared" si="416"/>
        <v>6850189</v>
      </c>
      <c r="AY175" s="16">
        <f t="shared" si="416"/>
        <v>402639</v>
      </c>
      <c r="AZ175" s="16">
        <f t="shared" si="416"/>
        <v>178152</v>
      </c>
      <c r="BA175" s="13">
        <f t="shared" si="416"/>
        <v>63.569999999999993</v>
      </c>
      <c r="BB175" s="13">
        <f t="shared" si="416"/>
        <v>0</v>
      </c>
      <c r="BC175" s="17">
        <f t="shared" si="416"/>
        <v>63.569999999999993</v>
      </c>
    </row>
    <row r="176" spans="1:55" s="95" customFormat="1" ht="12.95" customHeight="1" x14ac:dyDescent="0.25">
      <c r="D176" s="339"/>
      <c r="E176" s="340"/>
      <c r="F176" s="339"/>
      <c r="G176" s="341"/>
      <c r="H176" s="19">
        <v>3143</v>
      </c>
      <c r="I176" s="174">
        <f t="shared" ref="I176:BC176" si="417">SUMIF($F$12:$F$462,"=3143",I$12:I$462)</f>
        <v>14173486</v>
      </c>
      <c r="J176" s="16">
        <f t="shared" si="417"/>
        <v>10177994</v>
      </c>
      <c r="K176" s="16">
        <f t="shared" si="417"/>
        <v>249200</v>
      </c>
      <c r="L176" s="16">
        <f t="shared" si="417"/>
        <v>3524391</v>
      </c>
      <c r="M176" s="16">
        <f t="shared" si="417"/>
        <v>203561</v>
      </c>
      <c r="N176" s="16">
        <f t="shared" si="417"/>
        <v>18340</v>
      </c>
      <c r="O176" s="13">
        <f t="shared" si="417"/>
        <v>22.096599999999999</v>
      </c>
      <c r="P176" s="13">
        <f t="shared" si="417"/>
        <v>20.846599999999995</v>
      </c>
      <c r="Q176" s="17">
        <f t="shared" si="417"/>
        <v>1.2500000000000004</v>
      </c>
      <c r="R176" s="175">
        <f t="shared" si="417"/>
        <v>0</v>
      </c>
      <c r="S176" s="16">
        <f t="shared" si="417"/>
        <v>0</v>
      </c>
      <c r="T176" s="16">
        <f t="shared" si="417"/>
        <v>38676</v>
      </c>
      <c r="U176" s="16">
        <f t="shared" si="417"/>
        <v>0</v>
      </c>
      <c r="V176" s="16">
        <f t="shared" si="417"/>
        <v>0</v>
      </c>
      <c r="W176" s="16">
        <f t="shared" si="417"/>
        <v>0</v>
      </c>
      <c r="X176" s="16">
        <f t="shared" si="417"/>
        <v>38676</v>
      </c>
      <c r="Y176" s="16">
        <f t="shared" si="417"/>
        <v>0</v>
      </c>
      <c r="Z176" s="16">
        <f t="shared" si="417"/>
        <v>0</v>
      </c>
      <c r="AA176" s="16">
        <f t="shared" si="417"/>
        <v>0</v>
      </c>
      <c r="AB176" s="16">
        <f t="shared" si="417"/>
        <v>0</v>
      </c>
      <c r="AC176" s="16">
        <f t="shared" si="417"/>
        <v>38676</v>
      </c>
      <c r="AD176" s="16">
        <f t="shared" si="417"/>
        <v>13072</v>
      </c>
      <c r="AE176" s="16">
        <f t="shared" si="417"/>
        <v>774</v>
      </c>
      <c r="AF176" s="16">
        <f t="shared" si="417"/>
        <v>0</v>
      </c>
      <c r="AG176" s="16">
        <f t="shared" si="417"/>
        <v>0</v>
      </c>
      <c r="AH176" s="16">
        <f t="shared" si="417"/>
        <v>0</v>
      </c>
      <c r="AI176" s="16">
        <f t="shared" si="417"/>
        <v>52522</v>
      </c>
      <c r="AJ176" s="13">
        <f t="shared" si="417"/>
        <v>0</v>
      </c>
      <c r="AK176" s="13">
        <f t="shared" si="417"/>
        <v>0</v>
      </c>
      <c r="AL176" s="13">
        <f t="shared" si="417"/>
        <v>0</v>
      </c>
      <c r="AM176" s="13">
        <f t="shared" si="417"/>
        <v>0.08</v>
      </c>
      <c r="AN176" s="13">
        <f t="shared" si="417"/>
        <v>0</v>
      </c>
      <c r="AO176" s="13">
        <f t="shared" si="417"/>
        <v>0</v>
      </c>
      <c r="AP176" s="13">
        <f t="shared" si="417"/>
        <v>0</v>
      </c>
      <c r="AQ176" s="13">
        <f t="shared" si="417"/>
        <v>0</v>
      </c>
      <c r="AR176" s="13">
        <f t="shared" si="417"/>
        <v>0.08</v>
      </c>
      <c r="AS176" s="13">
        <f t="shared" si="417"/>
        <v>0</v>
      </c>
      <c r="AT176" s="13">
        <f t="shared" si="417"/>
        <v>0.08</v>
      </c>
      <c r="AU176" s="174">
        <f t="shared" si="417"/>
        <v>14226008</v>
      </c>
      <c r="AV176" s="16">
        <f t="shared" si="417"/>
        <v>10216670</v>
      </c>
      <c r="AW176" s="16">
        <f t="shared" si="417"/>
        <v>249200</v>
      </c>
      <c r="AX176" s="16">
        <f t="shared" si="417"/>
        <v>3537463</v>
      </c>
      <c r="AY176" s="16">
        <f t="shared" si="417"/>
        <v>204335</v>
      </c>
      <c r="AZ176" s="16">
        <f t="shared" si="417"/>
        <v>18340</v>
      </c>
      <c r="BA176" s="13">
        <f t="shared" si="417"/>
        <v>22.176599999999997</v>
      </c>
      <c r="BB176" s="13">
        <f t="shared" si="417"/>
        <v>20.926599999999993</v>
      </c>
      <c r="BC176" s="17">
        <f t="shared" si="417"/>
        <v>1.2500000000000004</v>
      </c>
    </row>
    <row r="177" spans="1:55" s="95" customFormat="1" ht="12.95" customHeight="1" x14ac:dyDescent="0.25">
      <c r="D177" s="339"/>
      <c r="E177" s="340"/>
      <c r="F177" s="339"/>
      <c r="G177" s="341"/>
      <c r="H177" s="19">
        <v>3231</v>
      </c>
      <c r="I177" s="174">
        <f t="shared" ref="I177:BC177" si="418">SUMIF($F$12:$F$462,"=3231",I$12:I$462)</f>
        <v>31496675</v>
      </c>
      <c r="J177" s="16">
        <f t="shared" si="418"/>
        <v>23036046</v>
      </c>
      <c r="K177" s="16">
        <f t="shared" si="418"/>
        <v>78120</v>
      </c>
      <c r="L177" s="16">
        <f t="shared" si="418"/>
        <v>7812588</v>
      </c>
      <c r="M177" s="16">
        <f t="shared" si="418"/>
        <v>460721</v>
      </c>
      <c r="N177" s="16">
        <f t="shared" si="418"/>
        <v>109200</v>
      </c>
      <c r="O177" s="13">
        <f t="shared" si="418"/>
        <v>42.969700000000003</v>
      </c>
      <c r="P177" s="13">
        <f t="shared" si="418"/>
        <v>38.032499999999999</v>
      </c>
      <c r="Q177" s="17">
        <f t="shared" si="418"/>
        <v>4.9372000000000007</v>
      </c>
      <c r="R177" s="175">
        <f t="shared" si="418"/>
        <v>0</v>
      </c>
      <c r="S177" s="16">
        <f t="shared" si="418"/>
        <v>0</v>
      </c>
      <c r="T177" s="16">
        <f t="shared" si="418"/>
        <v>0</v>
      </c>
      <c r="U177" s="16">
        <f t="shared" si="418"/>
        <v>0</v>
      </c>
      <c r="V177" s="16">
        <f t="shared" si="418"/>
        <v>0</v>
      </c>
      <c r="W177" s="16">
        <f t="shared" si="418"/>
        <v>0</v>
      </c>
      <c r="X177" s="16">
        <f t="shared" si="418"/>
        <v>0</v>
      </c>
      <c r="Y177" s="16">
        <f t="shared" si="418"/>
        <v>0</v>
      </c>
      <c r="Z177" s="16">
        <f t="shared" si="418"/>
        <v>0</v>
      </c>
      <c r="AA177" s="16">
        <f t="shared" si="418"/>
        <v>0</v>
      </c>
      <c r="AB177" s="16">
        <f t="shared" si="418"/>
        <v>0</v>
      </c>
      <c r="AC177" s="16">
        <f t="shared" si="418"/>
        <v>0</v>
      </c>
      <c r="AD177" s="16">
        <f t="shared" si="418"/>
        <v>0</v>
      </c>
      <c r="AE177" s="16">
        <f t="shared" si="418"/>
        <v>0</v>
      </c>
      <c r="AF177" s="16">
        <f t="shared" si="418"/>
        <v>0</v>
      </c>
      <c r="AG177" s="16">
        <f t="shared" si="418"/>
        <v>0</v>
      </c>
      <c r="AH177" s="16">
        <f t="shared" si="418"/>
        <v>0</v>
      </c>
      <c r="AI177" s="16">
        <f t="shared" si="418"/>
        <v>0</v>
      </c>
      <c r="AJ177" s="13">
        <f t="shared" si="418"/>
        <v>0</v>
      </c>
      <c r="AK177" s="13">
        <f t="shared" si="418"/>
        <v>0</v>
      </c>
      <c r="AL177" s="13">
        <f t="shared" si="418"/>
        <v>0</v>
      </c>
      <c r="AM177" s="13">
        <f t="shared" si="418"/>
        <v>0</v>
      </c>
      <c r="AN177" s="13">
        <f t="shared" si="418"/>
        <v>0</v>
      </c>
      <c r="AO177" s="13">
        <f t="shared" si="418"/>
        <v>0</v>
      </c>
      <c r="AP177" s="13">
        <f t="shared" si="418"/>
        <v>0</v>
      </c>
      <c r="AQ177" s="13">
        <f t="shared" si="418"/>
        <v>0</v>
      </c>
      <c r="AR177" s="13">
        <f t="shared" si="418"/>
        <v>0</v>
      </c>
      <c r="AS177" s="13">
        <f t="shared" si="418"/>
        <v>0</v>
      </c>
      <c r="AT177" s="13">
        <f t="shared" si="418"/>
        <v>0</v>
      </c>
      <c r="AU177" s="174">
        <f t="shared" si="418"/>
        <v>31496675</v>
      </c>
      <c r="AV177" s="16">
        <f t="shared" si="418"/>
        <v>23036046</v>
      </c>
      <c r="AW177" s="16">
        <f t="shared" si="418"/>
        <v>78120</v>
      </c>
      <c r="AX177" s="16">
        <f t="shared" si="418"/>
        <v>7812588</v>
      </c>
      <c r="AY177" s="16">
        <f t="shared" si="418"/>
        <v>460721</v>
      </c>
      <c r="AZ177" s="16">
        <f t="shared" si="418"/>
        <v>109200</v>
      </c>
      <c r="BA177" s="13">
        <f t="shared" si="418"/>
        <v>42.969700000000003</v>
      </c>
      <c r="BB177" s="13">
        <f t="shared" si="418"/>
        <v>38.032499999999999</v>
      </c>
      <c r="BC177" s="17">
        <f t="shared" si="418"/>
        <v>4.9372000000000007</v>
      </c>
    </row>
    <row r="178" spans="1:55" s="95" customFormat="1" ht="15.75" thickBot="1" x14ac:dyDescent="0.3">
      <c r="D178" s="339"/>
      <c r="E178" s="340"/>
      <c r="F178" s="339"/>
      <c r="G178" s="341"/>
      <c r="H178" s="145">
        <v>3233</v>
      </c>
      <c r="I178" s="177">
        <f t="shared" ref="I178:BC178" si="419">SUMIF($F$12:$F$462,"=3233",I$12:I$462)</f>
        <v>6744646</v>
      </c>
      <c r="J178" s="178">
        <f t="shared" si="419"/>
        <v>4876798</v>
      </c>
      <c r="K178" s="178">
        <f t="shared" si="419"/>
        <v>50000</v>
      </c>
      <c r="L178" s="178">
        <f t="shared" si="419"/>
        <v>1665258</v>
      </c>
      <c r="M178" s="178">
        <f t="shared" si="419"/>
        <v>97535</v>
      </c>
      <c r="N178" s="178">
        <f t="shared" si="419"/>
        <v>55055</v>
      </c>
      <c r="O178" s="179">
        <f t="shared" si="419"/>
        <v>10.690000000000001</v>
      </c>
      <c r="P178" s="179">
        <f t="shared" si="419"/>
        <v>7.04</v>
      </c>
      <c r="Q178" s="180">
        <f t="shared" si="419"/>
        <v>3.6500000000000004</v>
      </c>
      <c r="R178" s="181">
        <f t="shared" si="419"/>
        <v>0</v>
      </c>
      <c r="S178" s="178">
        <f t="shared" si="419"/>
        <v>0</v>
      </c>
      <c r="T178" s="178">
        <f t="shared" si="419"/>
        <v>0</v>
      </c>
      <c r="U178" s="178">
        <f t="shared" si="419"/>
        <v>0</v>
      </c>
      <c r="V178" s="178">
        <f t="shared" si="419"/>
        <v>0</v>
      </c>
      <c r="W178" s="178">
        <f t="shared" si="419"/>
        <v>0</v>
      </c>
      <c r="X178" s="178">
        <f t="shared" si="419"/>
        <v>0</v>
      </c>
      <c r="Y178" s="178">
        <f t="shared" si="419"/>
        <v>0</v>
      </c>
      <c r="Z178" s="178">
        <f t="shared" si="419"/>
        <v>0</v>
      </c>
      <c r="AA178" s="178">
        <f t="shared" si="419"/>
        <v>0</v>
      </c>
      <c r="AB178" s="178">
        <f t="shared" si="419"/>
        <v>0</v>
      </c>
      <c r="AC178" s="178">
        <f t="shared" si="419"/>
        <v>0</v>
      </c>
      <c r="AD178" s="178">
        <f t="shared" si="419"/>
        <v>0</v>
      </c>
      <c r="AE178" s="178">
        <f t="shared" si="419"/>
        <v>0</v>
      </c>
      <c r="AF178" s="178">
        <f t="shared" si="419"/>
        <v>0</v>
      </c>
      <c r="AG178" s="178">
        <f t="shared" si="419"/>
        <v>0</v>
      </c>
      <c r="AH178" s="178">
        <f t="shared" si="419"/>
        <v>0</v>
      </c>
      <c r="AI178" s="178">
        <f t="shared" si="419"/>
        <v>0</v>
      </c>
      <c r="AJ178" s="179">
        <f t="shared" si="419"/>
        <v>0</v>
      </c>
      <c r="AK178" s="179">
        <f t="shared" si="419"/>
        <v>0</v>
      </c>
      <c r="AL178" s="179">
        <f t="shared" si="419"/>
        <v>0</v>
      </c>
      <c r="AM178" s="179">
        <f t="shared" si="419"/>
        <v>0</v>
      </c>
      <c r="AN178" s="179">
        <f t="shared" si="419"/>
        <v>0</v>
      </c>
      <c r="AO178" s="179">
        <f t="shared" si="419"/>
        <v>0</v>
      </c>
      <c r="AP178" s="179">
        <f t="shared" si="419"/>
        <v>0</v>
      </c>
      <c r="AQ178" s="179">
        <f t="shared" si="419"/>
        <v>0</v>
      </c>
      <c r="AR178" s="179">
        <f t="shared" si="419"/>
        <v>0</v>
      </c>
      <c r="AS178" s="179">
        <f t="shared" si="419"/>
        <v>0</v>
      </c>
      <c r="AT178" s="179">
        <f t="shared" si="419"/>
        <v>0</v>
      </c>
      <c r="AU178" s="177">
        <f t="shared" si="419"/>
        <v>6744646</v>
      </c>
      <c r="AV178" s="178">
        <f t="shared" si="419"/>
        <v>4876798</v>
      </c>
      <c r="AW178" s="178">
        <f t="shared" si="419"/>
        <v>50000</v>
      </c>
      <c r="AX178" s="178">
        <f t="shared" si="419"/>
        <v>1665258</v>
      </c>
      <c r="AY178" s="178">
        <f t="shared" si="419"/>
        <v>97535</v>
      </c>
      <c r="AZ178" s="178">
        <f t="shared" si="419"/>
        <v>55055</v>
      </c>
      <c r="BA178" s="179">
        <f t="shared" si="419"/>
        <v>10.690000000000001</v>
      </c>
      <c r="BB178" s="179">
        <f t="shared" si="419"/>
        <v>7.04</v>
      </c>
      <c r="BC178" s="180">
        <f t="shared" si="419"/>
        <v>3.6500000000000004</v>
      </c>
    </row>
    <row r="180" spans="1:55" s="342" customFormat="1" x14ac:dyDescent="0.25">
      <c r="A180" s="336"/>
      <c r="B180" s="278"/>
      <c r="C180" s="370"/>
      <c r="D180" s="278"/>
      <c r="E180" s="278"/>
      <c r="F180" s="278"/>
      <c r="G180" s="278"/>
      <c r="H180" s="278"/>
      <c r="O180" s="343"/>
      <c r="P180" s="343"/>
      <c r="Q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  <c r="BA180" s="343"/>
      <c r="BB180" s="343"/>
      <c r="BC180" s="343"/>
    </row>
  </sheetData>
  <mergeCells count="26"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2023-10-13T07:23:15Z</cp:lastPrinted>
  <dcterms:created xsi:type="dcterms:W3CDTF">2009-03-06T07:28:09Z</dcterms:created>
  <dcterms:modified xsi:type="dcterms:W3CDTF">2023-10-17T09:28:20Z</dcterms:modified>
</cp:coreProperties>
</file>